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0"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抵押物清单" sheetId="97" r:id="rId10"/>
    <sheet name="定义" sheetId="10" r:id="rId11"/>
    <sheet name="项目基本情况" sheetId="4" r:id="rId12"/>
    <sheet name="面积清单" sheetId="98" r:id="rId13"/>
    <sheet name="数据-基础表" sheetId="3" r:id="rId14"/>
    <sheet name="抵押物清单（分楼）" sheetId="42" state="hidden" r:id="rId15"/>
    <sheet name="数据-汇总表" sheetId="6" r:id="rId16"/>
    <sheet name="数据-取费表" sheetId="1" r:id="rId17"/>
    <sheet name="估价对象房地状况" sheetId="20" state="hidden" r:id="rId18"/>
    <sheet name="系统读取表" sheetId="74" r:id="rId19"/>
    <sheet name="结果表" sheetId="9" r:id="rId20"/>
    <sheet name="成本法" sheetId="68" r:id="rId21"/>
    <sheet name="成本法 (元)" sheetId="69" state="hidden" r:id="rId22"/>
    <sheet name="土地案例" sheetId="99" r:id="rId23"/>
    <sheet name="土地比较法-住宅、综合" sheetId="39" r:id="rId24"/>
    <sheet name="假设开发法" sheetId="12" r:id="rId25"/>
    <sheet name="平层公寓" sheetId="21" state="hidden" r:id="rId26"/>
    <sheet name="地上商业" sheetId="83" r:id="rId27"/>
    <sheet name="地下车库" sheetId="79" state="hidden" r:id="rId28"/>
    <sheet name="收益法 (元)" sheetId="67" state="hidden" r:id="rId29"/>
    <sheet name="收益法（汇总）" sheetId="70" state="hidden" r:id="rId30"/>
    <sheet name="酒店收入计算" sheetId="66"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市调情况" sheetId="101" r:id="rId49"/>
  </sheets>
  <externalReferences>
    <externalReference r:id="rId50"/>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25" hidden="1">平层公寓!$A$1:$L$49</definedName>
    <definedName name="_xlnm._FilterDatabase" localSheetId="13" hidden="1">'数据-基础表'!$A$12:$AT$587</definedName>
    <definedName name="_xlnm._FilterDatabase" localSheetId="36" hidden="1">'土地比较法-工业'!$A$1:$L$43</definedName>
    <definedName name="_xlnm._FilterDatabase" localSheetId="23" hidden="1">'土地比较法-住宅、综合'!$A$1:$L$48</definedName>
    <definedName name="_xlnm._FilterDatabase" localSheetId="11" hidden="1">项目基本情况!$A$42:$N$42</definedName>
    <definedName name="_xlnm.Print_Area" localSheetId="26">地上商业!$A$1:$AK$69</definedName>
    <definedName name="_xlnm.Print_Area" localSheetId="27">地下车库!$A$1:$AK$69</definedName>
    <definedName name="_xlnm.Print_Area" localSheetId="8">估价师及机构信息!$A$1:$F$29</definedName>
    <definedName name="_xlnm.Print_Area" localSheetId="19">结果表!$A$1:$I$142</definedName>
    <definedName name="_xlnm.Print_Area" localSheetId="28">'收益法 (元)'!$A$1:$AK$69</definedName>
    <definedName name="_xlnm.Print_Area" localSheetId="15">'数据-汇总表'!$A$1:$P$32</definedName>
    <definedName name="_xlnm.Print_Area" localSheetId="13">'数据-基础表'!$A$1:$J$14</definedName>
    <definedName name="八级">区片价!$O$1:$O$40</definedName>
    <definedName name="办公层高" localSheetId="9">'[1]比较法-办公'!$B$119:$M$119</definedName>
    <definedName name="办公层高" localSheetId="12">'[1]比较法-办公'!$B$119:$M$119</definedName>
    <definedName name="办公层高">'比较法-办公'!$B$119:$M$119</definedName>
    <definedName name="办公朝向" localSheetId="9">'[1]比较法-办公'!$B$91:$M$91</definedName>
    <definedName name="办公朝向" localSheetId="12">'[1]比较法-办公'!$B$91:$M$91</definedName>
    <definedName name="办公朝向">'比较法-办公'!$B$91:$M$91</definedName>
    <definedName name="办公道路级别" localSheetId="9">'[1]比较法-办公'!$B$87:$M$87</definedName>
    <definedName name="办公道路级别" localSheetId="12">'[1]比较法-办公'!$B$87:$M$87</definedName>
    <definedName name="办公道路级别">'比较法-办公'!$B$87:$M$87</definedName>
    <definedName name="办公公共部分装修" localSheetId="9">'[1]比较法-办公'!$B$108:$M$108</definedName>
    <definedName name="办公公共部分装修" localSheetId="12">'[1]比较法-办公'!$B$108:$M$108</definedName>
    <definedName name="办公公共部分装修">'比较法-办公'!$B$108:$M$108</definedName>
    <definedName name="办公基础设施水平" localSheetId="9">'[1]比较法-办公'!$B$117:$M$117</definedName>
    <definedName name="办公基础设施水平" localSheetId="12">'[1]比较法-办公'!$B$117:$M$117</definedName>
    <definedName name="办公基础设施水平">'比较法-办公'!$B$117:$M$117</definedName>
    <definedName name="办公集聚程度" localSheetId="9">[1]定义!$M$1:$M$6</definedName>
    <definedName name="办公集聚程度" localSheetId="12">[1]定义!$M$1:$M$6</definedName>
    <definedName name="办公集聚程度">定义!$M$1:$M$6</definedName>
    <definedName name="办公建筑结构" localSheetId="9">'[1]比较法-办公'!$B$106:$M$106</definedName>
    <definedName name="办公建筑结构" localSheetId="12">'[1]比较法-办公'!$B$106:$M$106</definedName>
    <definedName name="办公建筑结构">'比较法-办公'!$B$106:$M$106</definedName>
    <definedName name="办公建筑类型" localSheetId="9">'[1]比较法-办公'!$B$101:$M$101</definedName>
    <definedName name="办公建筑类型" localSheetId="12">'[1]比较法-办公'!$B$101:$M$101</definedName>
    <definedName name="办公建筑类型">'比较法-办公'!$B$101:$M$101</definedName>
    <definedName name="办公交易情况" localSheetId="9">'[1]比较法-办公'!$A$62:$M$62</definedName>
    <definedName name="办公交易情况" localSheetId="12">'[1]比较法-办公'!$A$62:$M$62</definedName>
    <definedName name="办公交易情况">'比较法-办公'!$A$62:$M$62</definedName>
    <definedName name="办公楼层" localSheetId="9">'[1]比较法-办公'!$B$89:$M$89</definedName>
    <definedName name="办公楼层" localSheetId="12">'[1]比较法-办公'!$B$89:$M$89</definedName>
    <definedName name="办公楼层">'比较法-办公'!$B$89:$M$89</definedName>
    <definedName name="办公内部装修" localSheetId="9">'[1]比较法-办公'!$B$123:$M$123</definedName>
    <definedName name="办公内部装修" localSheetId="12">'[1]比较法-办公'!$B$123:$M$123</definedName>
    <definedName name="办公内部装修">'比较法-办公'!$B$123:$M$123</definedName>
    <definedName name="办公物业管理" localSheetId="9">'[1]比较法-办公'!$B$115:$M$115</definedName>
    <definedName name="办公物业管理" localSheetId="12">'[1]比较法-办公'!$B$115:$M$115</definedName>
    <definedName name="办公物业管理">'比较法-办公'!$B$115:$M$115</definedName>
    <definedName name="办公用途" localSheetId="9">'[1]比较法-办公'!$B$64:$M$64</definedName>
    <definedName name="办公用途" localSheetId="12">'[1]比较法-办公'!$B$64:$M$64</definedName>
    <definedName name="办公用途">'比较法-办公'!$B$64:$M$64</definedName>
    <definedName name="仓储公共部分装修" localSheetId="9">'[1]比较法-仓储'!$B$77:$M$77</definedName>
    <definedName name="仓储公共部分装修" localSheetId="12">'[1]比较法-仓储'!$B$77:$M$77</definedName>
    <definedName name="仓储公共部分装修">'比较法-仓储'!$B$77:$M$77</definedName>
    <definedName name="仓储交易情况" localSheetId="9">'[1]比较法-仓储'!$A$49:$M$49</definedName>
    <definedName name="仓储交易情况" localSheetId="12">'[1]比较法-仓储'!$A$49:$M$49</definedName>
    <definedName name="仓储交易情况">'比较法-仓储'!$A$49:$M$49</definedName>
    <definedName name="仓储楼层" localSheetId="9">'[1]比较法-仓储'!$B$69:$M$69</definedName>
    <definedName name="仓储楼层" localSheetId="12">'[1]比较法-仓储'!$B$69:$M$69</definedName>
    <definedName name="仓储楼层">'比较法-仓储'!$B$69:$M$69</definedName>
    <definedName name="仓储物业等级" localSheetId="9">'[1]比较法-仓储'!$B$82:$M$82</definedName>
    <definedName name="仓储物业等级" localSheetId="12">'[1]比较法-仓储'!$B$82:$M$82</definedName>
    <definedName name="仓储物业等级">'比较法-仓储'!$B$82:$M$82</definedName>
    <definedName name="仓储用途" localSheetId="9">'[1]比较法-仓储'!$B$51:$M$51</definedName>
    <definedName name="仓储用途" localSheetId="12">'[1]比较法-仓储'!$B$51:$M$51</definedName>
    <definedName name="仓储用途">'比较法-仓储'!$B$51:$M$51</definedName>
    <definedName name="产业集聚程度" localSheetId="9">[1]定义!$N$1:$N$6</definedName>
    <definedName name="产业集聚程度" localSheetId="12">[1]定义!$N$1:$N$6</definedName>
    <definedName name="产业集聚程度">定义!$N$1:$N$6</definedName>
    <definedName name="车位公共部分装修" localSheetId="9">'[1]比较法-车位'!$B$83:$M$83</definedName>
    <definedName name="车位公共部分装修" localSheetId="12">'[1]比较法-车位'!$B$83:$M$83</definedName>
    <definedName name="车位公共部分装修">'比较法-车位'!$B$83:$M$83</definedName>
    <definedName name="车位交易情况" localSheetId="9">'[1]比较法-车位'!$A$51:$M$51</definedName>
    <definedName name="车位交易情况" localSheetId="12">'[1]比较法-车位'!$A$51:$M$51</definedName>
    <definedName name="车位交易情况">'比较法-车位'!$A$51:$M$51</definedName>
    <definedName name="车位类型" localSheetId="9">'[1]比较法-车位'!$B$93:$M$93</definedName>
    <definedName name="车位类型" localSheetId="12">'[1]比较法-车位'!$B$93:$M$93</definedName>
    <definedName name="车位类型">'比较法-车位'!$B$93:$M$93</definedName>
    <definedName name="车位楼层" localSheetId="9">'[1]比较法-车位'!$B$71:$M$71</definedName>
    <definedName name="车位楼层" localSheetId="12">'[1]比较法-车位'!$B$71:$M$71</definedName>
    <definedName name="车位楼层">'比较法-车位'!$B$71:$M$71</definedName>
    <definedName name="车位配套类型" localSheetId="9">'[1]比较法-车位'!$B$79:$M$79</definedName>
    <definedName name="车位配套类型" localSheetId="12">'[1]比较法-车位'!$B$79:$M$79</definedName>
    <definedName name="车位配套类型">'比较法-车位'!$B$79:$M$79</definedName>
    <definedName name="车位物业等级" localSheetId="9">'[1]比较法-车位'!$B$88:$M$88</definedName>
    <definedName name="车位物业等级" localSheetId="12">'[1]比较法-车位'!$B$88:$M$88</definedName>
    <definedName name="车位物业等级">'比较法-车位'!$B$88:$M$88</definedName>
    <definedName name="车位用途" localSheetId="9">'[1]比较法-车位'!$B$53:$M$53</definedName>
    <definedName name="车位用途" localSheetId="12">'[1]比较法-车位'!$B$53:$M$53</definedName>
    <definedName name="车位用途">'比较法-车位'!$B$53:$M$53</definedName>
    <definedName name="城镇土地纳税等级分级范围" localSheetId="9">'[1]数据-取费表'!$A$53:$A$63</definedName>
    <definedName name="城镇土地纳税等级分级范围" localSheetId="12">'[1]数据-取费表'!$A$53:$A$63</definedName>
    <definedName name="城镇土地纳税等级分级范围">'数据-取费表'!$A$53:$A$63</definedName>
    <definedName name="单价内涵" localSheetId="9">[1]定义!$V$1:$V$3</definedName>
    <definedName name="单价内涵" localSheetId="12">[1]定义!$V$1:$V$3</definedName>
    <definedName name="单价内涵">定义!$V$1:$V$3</definedName>
    <definedName name="地类判定" localSheetId="9">[1]定义!$H$1:$H$9</definedName>
    <definedName name="地类判定" localSheetId="12">[1]定义!$H$1:$H$9</definedName>
    <definedName name="地类判定">定义!$H$1:$H$9</definedName>
    <definedName name="二级">区片价!$I$1:$I$20</definedName>
    <definedName name="二级分类" localSheetId="9">[1]修正!$C$17:$C$39</definedName>
    <definedName name="二级分类" localSheetId="12">[1]修正!$C$17:$C$39</definedName>
    <definedName name="二级分类">修正!$C$17:$C$39</definedName>
    <definedName name="法定最高年限" localSheetId="9">[1]定义!$G$1:$G$4</definedName>
    <definedName name="法定最高年限" localSheetId="12">[1]定义!$G$1:$G$4</definedName>
    <definedName name="法定最高年限">定义!$G$1:$G$4</definedName>
    <definedName name="工业公共部分装修" localSheetId="9">'[1]比较法-工业'!$B$95:$M$95</definedName>
    <definedName name="工业公共部分装修" localSheetId="12">'[1]比较法-工业'!$B$95:$M$95</definedName>
    <definedName name="工业公共部分装修">'比较法-工业'!$B$95:$M$95</definedName>
    <definedName name="工业基础设施水平" localSheetId="9">'[1]比较法-工业'!$B$102:$M$102</definedName>
    <definedName name="工业基础设施水平" localSheetId="12">'[1]比较法-工业'!$B$102:$M$102</definedName>
    <definedName name="工业基础设施水平">'比较法-工业'!$B$102:$M$102</definedName>
    <definedName name="工业建筑结构" localSheetId="9">'[1]比较法-工业'!$B$93:$M$93</definedName>
    <definedName name="工业建筑结构" localSheetId="12">'[1]比较法-工业'!$B$93:$M$93</definedName>
    <definedName name="工业建筑结构">'比较法-工业'!$B$93:$M$93</definedName>
    <definedName name="工业建筑类型" localSheetId="9">'[1]比较法-工业'!$B$88:$M$88</definedName>
    <definedName name="工业建筑类型" localSheetId="12">'[1]比较法-工业'!$B$88:$M$88</definedName>
    <definedName name="工业建筑类型">'比较法-工业'!$B$88:$M$88</definedName>
    <definedName name="工业交易情况" localSheetId="9">'[1]比较法-工业'!$A$55:$M$55</definedName>
    <definedName name="工业交易情况" localSheetId="12">'[1]比较法-工业'!$A$55:$M$55</definedName>
    <definedName name="工业交易情况">'比较法-工业'!$A$55:$M$55</definedName>
    <definedName name="工业内部装修" localSheetId="9">'[1]比较法-工业'!$B$104:$M$104</definedName>
    <definedName name="工业内部装修" localSheetId="12">'[1]比较法-工业'!$B$104:$M$104</definedName>
    <definedName name="工业内部装修">'比较法-工业'!$B$104:$M$104</definedName>
    <definedName name="工业物业管理" localSheetId="9">'[1]比较法-工业'!$B$100:$M$100</definedName>
    <definedName name="工业物业管理" localSheetId="12">'[1]比较法-工业'!$B$100:$M$100</definedName>
    <definedName name="工业物业管理">'比较法-工业'!$B$100:$M$100</definedName>
    <definedName name="工业用途" localSheetId="9">'[1]比较法-工业'!$B$57:$M$57</definedName>
    <definedName name="工业用途" localSheetId="12">'[1]比较法-工业'!$B$57:$M$57</definedName>
    <definedName name="工业用途">'比较法-工业'!$B$57:$M$57</definedName>
    <definedName name="公共配套设施" localSheetId="9">[1]定义!$Q$1:$Q$6</definedName>
    <definedName name="公共配套设施" localSheetId="12">[1]定义!$Q$1:$Q$6</definedName>
    <definedName name="公共配套设施">定义!$Q$1:$Q$6</definedName>
    <definedName name="估价方法" localSheetId="9">[1]定义!$B$1:$B$50</definedName>
    <definedName name="估价方法" localSheetId="12">[1]定义!$B$1:$B$50</definedName>
    <definedName name="估价方法">定义!$B$1:$B$50</definedName>
    <definedName name="环境" localSheetId="9">[1]定义!$S$1:$S$6</definedName>
    <definedName name="环境" localSheetId="12">[1]定义!$S$1:$S$6</definedName>
    <definedName name="环境">定义!$S$1:$S$6</definedName>
    <definedName name="基础设施水平" localSheetId="9">[1]定义!$R$1:$R$6</definedName>
    <definedName name="基础设施水平" localSheetId="12">[1]定义!$R$1:$R$6</definedName>
    <definedName name="基础设施水平">定义!$R$1:$R$6</definedName>
    <definedName name="季度">基准地价修正!$Q$19:$AD$19</definedName>
    <definedName name="价值类型2" localSheetId="9">[1]定义!$B$54:$B$56</definedName>
    <definedName name="价值类型2" localSheetId="12">[1]定义!$B$54:$B$56</definedName>
    <definedName name="价值类型2">定义!$B$54:$B$56</definedName>
    <definedName name="交通便捷度" localSheetId="9">[1]定义!$O$1:$O$6</definedName>
    <definedName name="交通便捷度" localSheetId="12">[1]定义!$O$1:$O$6</definedName>
    <definedName name="交通便捷度">定义!$O$1:$O$6</definedName>
    <definedName name="九级">区片价!$P$1:$P$46</definedName>
    <definedName name="居住社区成熟度" localSheetId="9">[1]定义!$K$1:$K$6</definedName>
    <definedName name="居住社区成熟度" localSheetId="12">[1]定义!$K$1:$K$6</definedName>
    <definedName name="居住社区成熟度">定义!$K$1:$K$6</definedName>
    <definedName name="类别" localSheetId="9">[1]定义!$J$1:$J$3</definedName>
    <definedName name="类别" localSheetId="12">[1]定义!$J$1:$J$3</definedName>
    <definedName name="类别">定义!$J$1:$J$3</definedName>
    <definedName name="临街状况" localSheetId="9">[1]定义!$T$1:$T$5</definedName>
    <definedName name="临街状况" localSheetId="12">[1]定义!$T$1:$T$5</definedName>
    <definedName name="临街状况">定义!$T$1:$T$5</definedName>
    <definedName name="六级">区片价!$M$1:$M$49</definedName>
    <definedName name="内部装修维护情况" localSheetId="9">[1]定义!$U$1:$U$6</definedName>
    <definedName name="内部装修维护情况" localSheetId="12">[1]定义!$U$1:$U$6</definedName>
    <definedName name="内部装修维护情况">定义!$U$1:$U$6</definedName>
    <definedName name="判定" localSheetId="9">[1]定义!$D$1:$D$4</definedName>
    <definedName name="判定" localSheetId="12">[1]定义!$D$1:$D$4</definedName>
    <definedName name="判定">定义!$D$1:$D$4</definedName>
    <definedName name="七级">区片价!$N$1:$N$49</definedName>
    <definedName name="七通一平" localSheetId="9">[1]修正!$A$6:$A$14</definedName>
    <definedName name="七通一平" localSheetId="12">[1]修正!$A$6:$A$14</definedName>
    <definedName name="七通一平">修正!$A$6:$A$14</definedName>
    <definedName name="区域土地利用方向" localSheetId="9">[1]定义!$P$1:$P$6</definedName>
    <definedName name="区域土地利用方向" localSheetId="12">[1]定义!$P$1:$P$6</definedName>
    <definedName name="区域土地利用方向">定义!$P$1:$P$6</definedName>
    <definedName name="三级">区片价!$J$1:$J$21</definedName>
    <definedName name="商业层高" localSheetId="9">'[1]比较法-商业'!$B$116:$M$116</definedName>
    <definedName name="商业层高" localSheetId="12">'[1]比较法-商业'!$B$116:$M$116</definedName>
    <definedName name="商业层高">'比较法-商业'!$B$116:$M$116</definedName>
    <definedName name="商业成新度">'比较法-商业'!$B$109:$M$109</definedName>
    <definedName name="商业繁华度" localSheetId="9">[1]定义!$L$1:$L$6</definedName>
    <definedName name="商业繁华度" localSheetId="12">[1]定义!$L$1:$L$6</definedName>
    <definedName name="商业繁华度">定义!$L$1:$L$6</definedName>
    <definedName name="商业公共部分装修" localSheetId="9">'[1]比较法-商业'!$B$107:$M$107</definedName>
    <definedName name="商业公共部分装修" localSheetId="12">'[1]比较法-商业'!$B$107:$M$107</definedName>
    <definedName name="商业公共部分装修">'比较法-商业'!$B$107:$M$107</definedName>
    <definedName name="商业基础设施水平" localSheetId="9">'[1]比较法-商业'!$B$112:$M$112</definedName>
    <definedName name="商业基础设施水平" localSheetId="12">'[1]比较法-商业'!$B$112:$M$112</definedName>
    <definedName name="商业基础设施水平">'比较法-商业'!$B$112:$M$112</definedName>
    <definedName name="商业建筑结构" localSheetId="9">'[1]比较法-商业'!$B$105:$M$105</definedName>
    <definedName name="商业建筑结构" localSheetId="12">'[1]比较法-商业'!$B$105:$M$105</definedName>
    <definedName name="商业建筑结构">'比较法-商业'!$B$105:$M$105</definedName>
    <definedName name="商业交易情况" localSheetId="9">'[1]比较法-商业'!$A$61:$M$61</definedName>
    <definedName name="商业交易情况" localSheetId="12">'[1]比较法-商业'!$A$61:$M$61</definedName>
    <definedName name="商业交易情况">'比较法-商业'!$A$61:$M$61</definedName>
    <definedName name="商业街名称" localSheetId="9">[1]修正!$C$59:$C$119</definedName>
    <definedName name="商业街名称" localSheetId="12">[1]修正!$C$59:$C$119</definedName>
    <definedName name="商业街名称">修正!$C$59:$C$119</definedName>
    <definedName name="商业进深比" localSheetId="9">'[1]比较法-商业'!$B$120:$M$120</definedName>
    <definedName name="商业进深比" localSheetId="12">'[1]比较法-商业'!$B$120:$M$120</definedName>
    <definedName name="商业进深比">'比较法-商业'!$B$120:$M$120</definedName>
    <definedName name="商业类型" localSheetId="9">'[1]比较法-商业'!$B$100:$M$100</definedName>
    <definedName name="商业类型" localSheetId="12">'[1]比较法-商业'!$B$100:$M$100</definedName>
    <definedName name="商业类型">'比较法-商业'!$B$100:$M$100</definedName>
    <definedName name="商业临街状况" localSheetId="9">'[1]比较法-商业'!$B$86:$M$86</definedName>
    <definedName name="商业临街状况" localSheetId="12">'[1]比较法-商业'!$B$86:$M$86</definedName>
    <definedName name="商业临街状况">'比较法-商业'!$B$86:$M$86</definedName>
    <definedName name="商业楼层" localSheetId="9">'[1]比较法-商业'!$B$92:$M$92</definedName>
    <definedName name="商业楼层" localSheetId="12">'[1]比较法-商业'!$B$92:$M$92</definedName>
    <definedName name="商业楼层">'比较法-商业'!$B$92:$M$92</definedName>
    <definedName name="商业内部装修" localSheetId="9">'[1]比较法-商业'!$B$122:$M$122</definedName>
    <definedName name="商业内部装修" localSheetId="12">'[1]比较法-商业'!$B$122:$M$122</definedName>
    <definedName name="商业内部装修">'比较法-商业'!$B$122:$M$122</definedName>
    <definedName name="商业人流量" localSheetId="9">'[1]比较法-商业'!$B$90:$M$90</definedName>
    <definedName name="商业人流量" localSheetId="12">'[1]比较法-商业'!$B$90:$M$90</definedName>
    <definedName name="商业人流量">'比较法-商业'!$B$90:$M$90</definedName>
    <definedName name="商业业态" localSheetId="9">'[1]比较法-商业'!$B$114:$M$114</definedName>
    <definedName name="商业业态" localSheetId="12">'[1]比较法-商业'!$B$114:$M$114</definedName>
    <definedName name="商业业态">'比较法-商业'!$B$114:$M$114</definedName>
    <definedName name="商业用途" localSheetId="9">'[1]比较法-商业'!$B$63:$M$63</definedName>
    <definedName name="商业用途" localSheetId="12">'[1]比较法-商业'!$B$63:$M$63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9">'[1]比较法-仓储'!$B$89:$M$89</definedName>
    <definedName name="是否封闭" localSheetId="12">'[1]比较法-仓储'!$B$89:$M$89</definedName>
    <definedName name="是否封闭">'比较法-仓储'!$B$89:$M$89</definedName>
    <definedName name="是否直接入户" localSheetId="9">'[1]比较法-车位'!$B$95:$M$95</definedName>
    <definedName name="是否直接入户" localSheetId="12">'[1]比较法-车位'!$B$95:$M$95</definedName>
    <definedName name="是否直接入户">'比较法-车位'!$B$95:$M$95</definedName>
    <definedName name="四级">区片价!$K$1:$K$28</definedName>
    <definedName name="套工道路等级" localSheetId="9">'[1]土地比较法-工业'!$B$97:$M$97</definedName>
    <definedName name="套工道路等级" localSheetId="12">'[1]土地比较法-工业'!$B$97:$M$97</definedName>
    <definedName name="套工道路等级">'土地比较法-工业'!$B$97:$M$97</definedName>
    <definedName name="套工地质条件" localSheetId="9">'[1]土地比较法-工业'!$B$114:$M$114</definedName>
    <definedName name="套工地质条件" localSheetId="12">'[1]土地比较法-工业'!$B$114:$M$114</definedName>
    <definedName name="套工地质条件">'土地比较法-工业'!$B$114:$M$114</definedName>
    <definedName name="套工交易情况" localSheetId="9">'[1]土地比较法-住宅、综合'!$A$73:$M$73</definedName>
    <definedName name="套工交易情况" localSheetId="12">'[1]土地比较法-住宅、综合'!$A$73:$M$73</definedName>
    <definedName name="套工交易情况">'土地比较法-住宅、综合'!$A$73:$M$73</definedName>
    <definedName name="套工土地级别" localSheetId="9">'[1]土地比较法-工业'!$B$99:$M$99</definedName>
    <definedName name="套工土地级别" localSheetId="12">'[1]土地比较法-工业'!$B$99:$M$99</definedName>
    <definedName name="套工土地级别">'土地比较法-工业'!$B$99:$M$99</definedName>
    <definedName name="套工用途" localSheetId="9">'[1]土地比较法-工业'!$B$70:$M$70</definedName>
    <definedName name="套工用途" localSheetId="12">'[1]土地比较法-工业'!$B$70:$M$70</definedName>
    <definedName name="套工用途">'土地比较法-工业'!$B$70:$M$70</definedName>
    <definedName name="套工宗地开发程度" localSheetId="9">'[1]土地比较法-工业'!$B$112:$M$112</definedName>
    <definedName name="套工宗地开发程度" localSheetId="12">'[1]土地比较法-工业'!$B$112:$M$112</definedName>
    <definedName name="套工宗地开发程度">'土地比较法-工业'!$B$112:$M$112</definedName>
    <definedName name="套工宗地形状" localSheetId="9">'[1]土地比较法-工业'!$B$110:$M$110</definedName>
    <definedName name="套工宗地形状" localSheetId="12">'[1]土地比较法-工业'!$B$110:$M$110</definedName>
    <definedName name="套工宗地形状">'土地比较法-工业'!$B$110:$M$110</definedName>
    <definedName name="套综道路等级" localSheetId="9">'[1]土地比较法-住宅、综合'!$B$106:$M$106</definedName>
    <definedName name="套综道路等级" localSheetId="12">'[1]土地比较法-住宅、综合'!$B$106:$M$106</definedName>
    <definedName name="套综道路等级">'土地比较法-住宅、综合'!$B$106:$M$106</definedName>
    <definedName name="套综工程地质条件" localSheetId="9">'[1]土地比较法-住宅、综合'!$B$125:$M$125</definedName>
    <definedName name="套综工程地质条件" localSheetId="12">'[1]土地比较法-住宅、综合'!$B$125:$M$125</definedName>
    <definedName name="套综工程地质条件">'土地比较法-住宅、综合'!$B$125:$M$125</definedName>
    <definedName name="套综交易情况" localSheetId="9">'[1]土地比较法-住宅、综合'!$A$73:$M$73</definedName>
    <definedName name="套综交易情况" localSheetId="12">'[1]土地比较法-住宅、综合'!$A$73:$M$73</definedName>
    <definedName name="套综交易情况">'土地比较法-住宅、综合'!$A$73:$M$73</definedName>
    <definedName name="套综临街宽度及深度" localSheetId="9">'[1]土地比较法-住宅、综合'!$B$121:$M$121</definedName>
    <definedName name="套综临街宽度及深度" localSheetId="12">'[1]土地比较法-住宅、综合'!$B$121:$M$121</definedName>
    <definedName name="套综临街宽度及深度">'土地比较法-住宅、综合'!$B$121:$M$121</definedName>
    <definedName name="套综土地级别" localSheetId="9">'[1]土地比较法-住宅、综合'!$B$108:$M$108</definedName>
    <definedName name="套综土地级别" localSheetId="12">'[1]土地比较法-住宅、综合'!$B$108:$M$108</definedName>
    <definedName name="套综土地级别">'土地比较法-住宅、综合'!$B$108:$M$108</definedName>
    <definedName name="套综用途" localSheetId="9">'[1]土地比较法-住宅、综合'!$B$75:$M$75</definedName>
    <definedName name="套综用途" localSheetId="12">'[1]土地比较法-住宅、综合'!$B$75:$M$75</definedName>
    <definedName name="套综用途">'土地比较法-住宅、综合'!$B$75:$M$75</definedName>
    <definedName name="套综宗地内开发程度" localSheetId="9">'[1]土地比较法-住宅、综合'!$B$123:$M$123</definedName>
    <definedName name="套综宗地内开发程度" localSheetId="12">'[1]土地比较法-住宅、综合'!$B$123:$M$123</definedName>
    <definedName name="套综宗地内开发程度">'土地比较法-住宅、综合'!$B$123:$M$123</definedName>
    <definedName name="套综宗地形状" localSheetId="9">'[1]土地比较法-住宅、综合'!$B$119:$M$119</definedName>
    <definedName name="套综宗地形状" localSheetId="12">'[1]土地比较法-住宅、综合'!$B$119:$M$119</definedName>
    <definedName name="套综宗地形状">'土地比较法-住宅、综合'!$B$119:$M$119</definedName>
    <definedName name="土地估价师">估价师及机构信息!$D$3:$D$24</definedName>
    <definedName name="土地级别" localSheetId="9">[1]定义!$C$1:$C$14</definedName>
    <definedName name="土地级别" localSheetId="12">[1]定义!$C$1:$C$14</definedName>
    <definedName name="土地级别">定义!$C$1:$C$14</definedName>
    <definedName name="土地利用方向">定义!$P$1:$P$6</definedName>
    <definedName name="土地年限区间" localSheetId="9">[1]定义!$I$1:$I$8</definedName>
    <definedName name="土地年限区间" localSheetId="12">[1]定义!$I$1:$I$8</definedName>
    <definedName name="土地年限区间">定义!$I$1:$I$8</definedName>
    <definedName name="位置" localSheetId="9">[1]定义!$E$2:$E$4</definedName>
    <definedName name="位置" localSheetId="12">[1]定义!$E$2:$E$4</definedName>
    <definedName name="位置">定义!$E$2:$E$4</definedName>
    <definedName name="五等判定" localSheetId="9">[1]定义!$W$1:$W$6</definedName>
    <definedName name="五等判定" localSheetId="12">[1]定义!$W$1:$W$6</definedName>
    <definedName name="五等判定">定义!$W$1:$W$6</definedName>
    <definedName name="五级">区片价!$L$1:$L$35</definedName>
    <definedName name="项目类型" localSheetId="9">'[1]数据-汇总表'!$C$17:$C$26</definedName>
    <definedName name="项目类型" localSheetId="12">'[1]数据-汇总表'!$C$17:$C$26</definedName>
    <definedName name="项目类型">'数据-汇总表'!$C$17:$C$26</definedName>
    <definedName name="写字楼等级" localSheetId="9">'[1]比较法-办公'!$B$113:$M$113</definedName>
    <definedName name="写字楼等级" localSheetId="12">'[1]比较法-办公'!$B$113:$M$113</definedName>
    <definedName name="写字楼等级">'比较法-办公'!$B$113:$M$113</definedName>
    <definedName name="一级">区片价!$H$1:$H$6</definedName>
    <definedName name="一修多修正项2" localSheetId="9">[1]典型户型修正!$5:$5</definedName>
    <definedName name="一修多修正项2" localSheetId="12">[1]典型户型修正!$5:$5</definedName>
    <definedName name="一修多修正项2">典型户型修正!$5:$5</definedName>
    <definedName name="一修多修正项3" localSheetId="9">[1]典型户型修正!$7:$7</definedName>
    <definedName name="一修多修正项3" localSheetId="12">[1]典型户型修正!$7:$7</definedName>
    <definedName name="一修多修正项3">典型户型修正!$7:$7</definedName>
    <definedName name="一修多修正项4" localSheetId="9">[1]典型户型修正!$9:$9</definedName>
    <definedName name="一修多修正项4" localSheetId="12">[1]典型户型修正!$9:$9</definedName>
    <definedName name="一修多修正项4">典型户型修正!$9:$9</definedName>
    <definedName name="一修多修正项5" localSheetId="9">[1]典型户型修正!$11:$11</definedName>
    <definedName name="一修多修正项5" localSheetId="12">[1]典型户型修正!$11:$11</definedName>
    <definedName name="一修多修正项5">典型户型修正!$11:$11</definedName>
    <definedName name="一修多修正项6" localSheetId="9">[1]典型户型修正!$13:$13</definedName>
    <definedName name="一修多修正项6" localSheetId="12">[1]典型户型修正!$13:$13</definedName>
    <definedName name="一修多修正项6">典型户型修正!$13:$13</definedName>
    <definedName name="一修多修正项7" localSheetId="9">[1]典型户型修正!$15:$15</definedName>
    <definedName name="一修多修正项7" localSheetId="12">[1]典型户型修正!$15:$15</definedName>
    <definedName name="一修多修正项7">典型户型修正!$15:$15</definedName>
    <definedName name="一修多修正项8" localSheetId="9">[1]典型户型修正!$17:$17</definedName>
    <definedName name="一修多修正项8" localSheetId="12">[1]典型户型修正!$17:$17</definedName>
    <definedName name="一修多修正项8">典型户型修正!$17:$17</definedName>
    <definedName name="用途明细" localSheetId="9">[1]定义!$A$1:$A$50</definedName>
    <definedName name="用途明细" localSheetId="12">[1]定义!$A$1:$A$50</definedName>
    <definedName name="用途明细">定义!$A$1:$A$50</definedName>
    <definedName name="有无电梯" localSheetId="9">'[1]比较法-仓储'!$B$84:$M$84</definedName>
    <definedName name="有无电梯" localSheetId="12">'[1]比较法-仓储'!$B$84:$M$84</definedName>
    <definedName name="有无电梯">'比较法-仓储'!$B$84:$M$84</definedName>
    <definedName name="主用途" localSheetId="9">[1]定义!$F$1:$F$10</definedName>
    <definedName name="主用途" localSheetId="12">[1]定义!$F$1:$F$10</definedName>
    <definedName name="主用途">定义!$F$1:$F$10</definedName>
    <definedName name="住宅朝向" localSheetId="9">#REF!</definedName>
    <definedName name="住宅朝向" localSheetId="12">#REF!</definedName>
    <definedName name="住宅朝向">平层公寓!$B$88:$M$88</definedName>
    <definedName name="住宅房型" localSheetId="9">#REF!</definedName>
    <definedName name="住宅房型" localSheetId="12">#REF!</definedName>
    <definedName name="住宅房型">平层公寓!$B$118:$M$118</definedName>
    <definedName name="住宅公共部分装修" localSheetId="9">#REF!</definedName>
    <definedName name="住宅公共部分装修" localSheetId="12">#REF!</definedName>
    <definedName name="住宅公共部分装修">平层公寓!$B$109:$M$109</definedName>
    <definedName name="住宅基础设施水平" localSheetId="9">#REF!</definedName>
    <definedName name="住宅基础设施水平" localSheetId="12">#REF!</definedName>
    <definedName name="住宅基础设施水平">平层公寓!$B$116:$M$116</definedName>
    <definedName name="住宅建筑结构" localSheetId="9">#REF!</definedName>
    <definedName name="住宅建筑结构" localSheetId="12">#REF!</definedName>
    <definedName name="住宅建筑结构">平层公寓!$B$105:$M$105</definedName>
    <definedName name="住宅建筑类型" localSheetId="9">#REF!</definedName>
    <definedName name="住宅建筑类型" localSheetId="12">#REF!</definedName>
    <definedName name="住宅建筑类型">平层公寓!$B$100:$M$100</definedName>
    <definedName name="住宅建筑品质" localSheetId="9">#REF!</definedName>
    <definedName name="住宅建筑品质" localSheetId="12">#REF!</definedName>
    <definedName name="住宅建筑品质">平层公寓!$B$107:$M$107</definedName>
    <definedName name="住宅交易情况" localSheetId="9">#REF!</definedName>
    <definedName name="住宅交易情况" localSheetId="12">#REF!</definedName>
    <definedName name="住宅交易情况">平层公寓!$A$61:$M$61</definedName>
    <definedName name="住宅楼层" localSheetId="9">#REF!</definedName>
    <definedName name="住宅楼层" localSheetId="12">#REF!</definedName>
    <definedName name="住宅楼层">平层公寓!$B$86:$M$86</definedName>
    <definedName name="住宅内部装修" localSheetId="9">#REF!</definedName>
    <definedName name="住宅内部装修" localSheetId="12">#REF!</definedName>
    <definedName name="住宅内部装修">平层公寓!$B$122:$M$122</definedName>
    <definedName name="住宅物业管理" localSheetId="9">#REF!</definedName>
    <definedName name="住宅物业管理" localSheetId="12">#REF!</definedName>
    <definedName name="住宅物业管理">平层公寓!$B$114:$M$114</definedName>
    <definedName name="住宅用途" localSheetId="9">#REF!</definedName>
    <definedName name="住宅用途" localSheetId="12">#REF!</definedName>
    <definedName name="住宅用途">平层公寓!$B$63:$M$63</definedName>
    <definedName name="住宅主力户型面积" localSheetId="9">#REF!</definedName>
    <definedName name="住宅主力户型面积" localSheetId="12">#REF!</definedName>
    <definedName name="住宅主力户型面积">平层公寓!$B$120:$M$120</definedName>
    <definedName name="注册房地产估价师" localSheetId="9">[1]估价师及机构信息!$A$3:$A$24</definedName>
    <definedName name="注册房地产估价师" localSheetId="12">[1]估价师及机构信息!$A$3:$A$24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C6" i="68" l="1"/>
  <c r="K5" i="97" l="1"/>
  <c r="L5" i="97" s="1"/>
  <c r="J5" i="97"/>
  <c r="J4" i="97"/>
  <c r="L30" i="98" l="1"/>
  <c r="I38" i="39" l="1"/>
  <c r="I46" i="39"/>
  <c r="I7" i="39"/>
  <c r="I5" i="39"/>
  <c r="G46" i="39"/>
  <c r="G38" i="39"/>
  <c r="G7" i="39"/>
  <c r="G5" i="39"/>
  <c r="E46" i="39"/>
  <c r="E38" i="39"/>
  <c r="E7" i="39"/>
  <c r="E5" i="39"/>
  <c r="C38" i="39"/>
  <c r="C11" i="39"/>
  <c r="L32" i="98"/>
  <c r="L31" i="98"/>
  <c r="D5" i="98"/>
  <c r="C17" i="98"/>
  <c r="Y6" i="1"/>
  <c r="I13" i="3"/>
  <c r="I14" i="3" s="1"/>
  <c r="A3" i="3"/>
  <c r="G43" i="98"/>
  <c r="G33" i="98"/>
  <c r="L24" i="98"/>
  <c r="L16" i="98"/>
  <c r="G10" i="98"/>
  <c r="L8" i="98"/>
  <c r="L28" i="98" s="1"/>
  <c r="C5" i="98"/>
  <c r="B5" i="98"/>
  <c r="B6" i="98" s="1"/>
  <c r="D4" i="98"/>
  <c r="D3" i="98"/>
  <c r="E230" i="97"/>
  <c r="D230" i="97"/>
  <c r="F19" i="6" l="1"/>
  <c r="E71" i="39"/>
  <c r="F71" i="39" s="1"/>
  <c r="G71" i="39" s="1"/>
  <c r="H71" i="39" s="1"/>
  <c r="I71" i="39" s="1"/>
  <c r="J71" i="39" s="1"/>
  <c r="K71" i="39" s="1"/>
  <c r="L71" i="39" s="1"/>
  <c r="M71" i="39" s="1"/>
  <c r="N71" i="39" s="1"/>
  <c r="O71" i="39" s="1"/>
  <c r="P71" i="39" s="1"/>
  <c r="Q71" i="39" s="1"/>
  <c r="R71" i="39" s="1"/>
  <c r="S71" i="39" s="1"/>
  <c r="T71" i="39" s="1"/>
  <c r="U71" i="39" s="1"/>
  <c r="V71" i="39" s="1"/>
  <c r="W71" i="39" s="1"/>
  <c r="D71" i="39"/>
  <c r="F37" i="6" l="1"/>
  <c r="F35" i="6" l="1"/>
  <c r="I20" i="21" l="1"/>
  <c r="G20" i="21"/>
  <c r="E20" i="21"/>
  <c r="E18" i="21"/>
  <c r="G18" i="21"/>
  <c r="I18" i="21"/>
  <c r="I16" i="21"/>
  <c r="G16" i="21"/>
  <c r="E16" i="21"/>
  <c r="C19" i="6" l="1"/>
  <c r="C88" i="9" l="1"/>
  <c r="Q72" i="83" l="1"/>
  <c r="Q59" i="83"/>
  <c r="K59" i="83"/>
  <c r="P74" i="83" s="1"/>
  <c r="Q58" i="83"/>
  <c r="Q51" i="83"/>
  <c r="J50" i="83"/>
  <c r="J51" i="83" s="1"/>
  <c r="M47" i="83"/>
  <c r="D46" i="83"/>
  <c r="F33" i="83"/>
  <c r="F61" i="83" s="1"/>
  <c r="F23" i="83"/>
  <c r="D24" i="83" s="1"/>
  <c r="F21" i="83"/>
  <c r="F20" i="83"/>
  <c r="M19" i="83"/>
  <c r="F18" i="83"/>
  <c r="F17" i="83"/>
  <c r="F15" i="83"/>
  <c r="D22" i="83" l="1"/>
  <c r="D23" i="83"/>
  <c r="P61" i="83"/>
  <c r="C24" i="21" l="1"/>
  <c r="C20" i="21"/>
  <c r="C18" i="21"/>
  <c r="C16" i="21"/>
  <c r="C10" i="39"/>
  <c r="Q72" i="79" l="1"/>
  <c r="Q59" i="79"/>
  <c r="K59" i="79"/>
  <c r="P74" i="79" s="1"/>
  <c r="Q58" i="79"/>
  <c r="Q51" i="79"/>
  <c r="J50" i="79"/>
  <c r="J51" i="79" s="1"/>
  <c r="M47" i="79"/>
  <c r="D46" i="79"/>
  <c r="F33" i="79"/>
  <c r="F61" i="79" s="1"/>
  <c r="F23" i="79"/>
  <c r="D23" i="79" s="1"/>
  <c r="F21" i="79"/>
  <c r="F20" i="79"/>
  <c r="M19" i="79"/>
  <c r="F18" i="79"/>
  <c r="F17" i="79"/>
  <c r="F15" i="79"/>
  <c r="D24" i="79" l="1"/>
  <c r="P61" i="79"/>
  <c r="D22" i="79"/>
  <c r="I29" i="35" l="1"/>
  <c r="G29" i="35"/>
  <c r="E29" i="35"/>
  <c r="K28" i="35"/>
  <c r="K18" i="35"/>
  <c r="K16" i="35"/>
  <c r="K14" i="35"/>
  <c r="L3" i="71" l="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M19" i="43"/>
  <c r="J53" i="67"/>
  <c r="F1" i="67" s="1"/>
  <c r="D9" i="71"/>
  <c r="AH7" i="71"/>
  <c r="AG7" i="71"/>
  <c r="AE7" i="71"/>
  <c r="AF7" i="71"/>
  <c r="AD7" i="71"/>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10" i="71"/>
  <c r="P10" i="71"/>
  <c r="O10" i="71"/>
  <c r="N10" i="71"/>
  <c r="D5" i="43"/>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0" i="72"/>
  <c r="C53" i="10"/>
  <c r="B51" i="10"/>
  <c r="B19" i="72"/>
  <c r="A18" i="51"/>
  <c r="B13" i="72" s="1"/>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12" i="1"/>
  <c r="AP13" i="1"/>
  <c r="L21" i="6"/>
  <c r="L22" i="6"/>
  <c r="L23" i="6"/>
  <c r="L24" i="6"/>
  <c r="L25" i="6"/>
  <c r="L26" i="6"/>
  <c r="P27" i="6"/>
  <c r="A7" i="70"/>
  <c r="A8" i="70"/>
  <c r="A9" i="70"/>
  <c r="E9" i="70" s="1"/>
  <c r="A10" i="70"/>
  <c r="A11" i="70"/>
  <c r="A12" i="70"/>
  <c r="A13" i="70"/>
  <c r="A6" i="70"/>
  <c r="Q25" i="40"/>
  <c r="Z25" i="40"/>
  <c r="D94" i="40"/>
  <c r="E94" i="40"/>
  <c r="F25" i="40"/>
  <c r="AA25" i="40"/>
  <c r="Z29" i="39"/>
  <c r="Q29" i="39"/>
  <c r="D103" i="39"/>
  <c r="E103" i="39" s="1"/>
  <c r="F29" i="39"/>
  <c r="AA29" i="39" s="1"/>
  <c r="Q18" i="36"/>
  <c r="Z18" i="36"/>
  <c r="D66" i="36"/>
  <c r="E66" i="36"/>
  <c r="F66" i="36"/>
  <c r="H18" i="36"/>
  <c r="AB18" i="36"/>
  <c r="F18" i="36"/>
  <c r="AA18" i="36"/>
  <c r="C18" i="36"/>
  <c r="Z18" i="35"/>
  <c r="Q18" i="35"/>
  <c r="D68" i="35"/>
  <c r="E68" i="35" s="1"/>
  <c r="F68" i="35" s="1"/>
  <c r="G68" i="35" s="1"/>
  <c r="F18" i="35"/>
  <c r="AA18" i="35" s="1"/>
  <c r="C18" i="35"/>
  <c r="Z21" i="37"/>
  <c r="Q21" i="37"/>
  <c r="D77" i="37"/>
  <c r="E77" i="37"/>
  <c r="C21" i="37"/>
  <c r="Z21" i="34"/>
  <c r="Q21" i="34"/>
  <c r="D84" i="34"/>
  <c r="E84" i="34"/>
  <c r="F21" i="34"/>
  <c r="AA21" i="34"/>
  <c r="C21" i="34"/>
  <c r="Z21" i="33"/>
  <c r="Q21" i="33"/>
  <c r="D83" i="33"/>
  <c r="E83" i="33"/>
  <c r="C21" i="33"/>
  <c r="C21" i="21"/>
  <c r="Q21" i="21"/>
  <c r="Z21" i="21"/>
  <c r="H19" i="21"/>
  <c r="D83" i="21"/>
  <c r="F21" i="21"/>
  <c r="AA21" i="21" s="1"/>
  <c r="D81" i="21"/>
  <c r="G20" i="20"/>
  <c r="B86" i="43"/>
  <c r="C22" i="20"/>
  <c r="B75" i="43"/>
  <c r="B55" i="43"/>
  <c r="B66" i="43"/>
  <c r="C25" i="40"/>
  <c r="C29" i="39"/>
  <c r="S25" i="40"/>
  <c r="S18" i="36"/>
  <c r="U18" i="36"/>
  <c r="S21" i="34"/>
  <c r="F94" i="40"/>
  <c r="H25" i="40"/>
  <c r="G94" i="40"/>
  <c r="J25" i="40"/>
  <c r="H29" i="39"/>
  <c r="AB29" i="39" s="1"/>
  <c r="G66" i="36"/>
  <c r="J18" i="36"/>
  <c r="H18" i="35"/>
  <c r="AB18" i="35" s="1"/>
  <c r="J18" i="35"/>
  <c r="AC18" i="35" s="1"/>
  <c r="F77" i="37"/>
  <c r="H21" i="37"/>
  <c r="F21" i="37"/>
  <c r="F84" i="34"/>
  <c r="H21" i="34"/>
  <c r="F83" i="33"/>
  <c r="H21" i="33"/>
  <c r="F21" i="33"/>
  <c r="E83" i="21"/>
  <c r="H1" i="69"/>
  <c r="AC25" i="40"/>
  <c r="W25" i="40"/>
  <c r="AB25" i="40"/>
  <c r="U25" i="40"/>
  <c r="AC18" i="36"/>
  <c r="W18" i="36"/>
  <c r="AB21" i="37"/>
  <c r="U21" i="37"/>
  <c r="AA21" i="37"/>
  <c r="S21" i="37"/>
  <c r="AB21" i="34"/>
  <c r="U21" i="34"/>
  <c r="U21" i="33"/>
  <c r="AB21" i="33"/>
  <c r="AA21" i="33"/>
  <c r="S21" i="33"/>
  <c r="G77" i="37"/>
  <c r="J21" i="37"/>
  <c r="G84" i="34"/>
  <c r="J21" i="34"/>
  <c r="G83" i="33"/>
  <c r="J21" i="33"/>
  <c r="F83" i="21"/>
  <c r="H21" i="21"/>
  <c r="U21" i="21" s="1"/>
  <c r="F38" i="69"/>
  <c r="E37" i="69"/>
  <c r="F36" i="69"/>
  <c r="F35" i="69"/>
  <c r="F21" i="69"/>
  <c r="C21" i="69" s="1"/>
  <c r="F20" i="69"/>
  <c r="E10" i="69"/>
  <c r="E9" i="69"/>
  <c r="F7" i="69"/>
  <c r="C7" i="69" s="1"/>
  <c r="AC21" i="37"/>
  <c r="W21" i="37"/>
  <c r="AC21" i="34"/>
  <c r="W21" i="34"/>
  <c r="AC21" i="33"/>
  <c r="W21" i="33"/>
  <c r="AB21" i="21"/>
  <c r="G83" i="21"/>
  <c r="J21" i="21"/>
  <c r="AC21" i="21" s="1"/>
  <c r="F38" i="68"/>
  <c r="E37" i="68"/>
  <c r="F36" i="68"/>
  <c r="F35" i="68"/>
  <c r="F21" i="68"/>
  <c r="C21" i="68" s="1"/>
  <c r="F20" i="68"/>
  <c r="E10" i="68"/>
  <c r="E9" i="68"/>
  <c r="F7" i="68"/>
  <c r="Q72" i="67"/>
  <c r="Q59" i="67"/>
  <c r="Q58" i="67"/>
  <c r="Q51" i="67"/>
  <c r="J50" i="67"/>
  <c r="M47" i="67"/>
  <c r="D46" i="67"/>
  <c r="F33" i="67"/>
  <c r="F61" i="67" s="1"/>
  <c r="F23" i="67"/>
  <c r="D24" i="67" s="1"/>
  <c r="F21" i="67"/>
  <c r="F20" i="67"/>
  <c r="M19" i="67"/>
  <c r="F18" i="67"/>
  <c r="F17" i="67"/>
  <c r="F15"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D6" i="1"/>
  <c r="D9" i="1"/>
  <c r="D10" i="1"/>
  <c r="D11" i="1"/>
  <c r="D12" i="1"/>
  <c r="D13" i="1"/>
  <c r="D7" i="1"/>
  <c r="D8" i="1"/>
  <c r="A7" i="1"/>
  <c r="B7" i="1" s="1"/>
  <c r="E7" i="1" s="1"/>
  <c r="A8" i="1"/>
  <c r="A9" i="1"/>
  <c r="A10" i="1"/>
  <c r="B10" i="1" s="1"/>
  <c r="E10" i="1" s="1"/>
  <c r="A11" i="1"/>
  <c r="B11" i="1" s="1"/>
  <c r="E11" i="1" s="1"/>
  <c r="A12" i="1"/>
  <c r="K12" i="1" s="1"/>
  <c r="M12" i="1" s="1"/>
  <c r="A13" i="1"/>
  <c r="B13" i="1" s="1"/>
  <c r="E13" i="1" s="1"/>
  <c r="A6" i="1"/>
  <c r="G79" i="36"/>
  <c r="G85" i="35"/>
  <c r="G97" i="37"/>
  <c r="G110" i="34"/>
  <c r="G111" i="21"/>
  <c r="G109" i="33"/>
  <c r="D23" i="31"/>
  <c r="L2" i="31"/>
  <c r="K2" i="31"/>
  <c r="J2" i="31"/>
  <c r="I2" i="31"/>
  <c r="H2" i="31"/>
  <c r="G2" i="31"/>
  <c r="F2" i="31"/>
  <c r="E2" i="31"/>
  <c r="D2" i="31"/>
  <c r="C2" i="31"/>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L13" i="3" s="1"/>
  <c r="A6" i="52"/>
  <c r="B57" i="72"/>
  <c r="A10" i="52"/>
  <c r="B55" i="72"/>
  <c r="K4" i="9"/>
  <c r="L22" i="4"/>
  <c r="B61" i="72"/>
  <c r="L20" i="4"/>
  <c r="A5" i="62"/>
  <c r="B72" i="72"/>
  <c r="A4" i="62"/>
  <c r="B70" i="72"/>
  <c r="F33" i="9"/>
  <c r="B37" i="48"/>
  <c r="B2" i="72"/>
  <c r="B13" i="53"/>
  <c r="B29" i="72"/>
  <c r="R35" i="4"/>
  <c r="Q35" i="4"/>
  <c r="P35" i="4"/>
  <c r="O35" i="4"/>
  <c r="N35" i="4"/>
  <c r="M35" i="4"/>
  <c r="L35" i="4"/>
  <c r="K34" i="4"/>
  <c r="T34" i="4"/>
  <c r="I15" i="4"/>
  <c r="H15" i="4"/>
  <c r="G15" i="4"/>
  <c r="E15" i="4"/>
  <c r="F11" i="1" s="1"/>
  <c r="G11" i="1" s="1"/>
  <c r="D15" i="4"/>
  <c r="F9" i="1" s="1"/>
  <c r="G9" i="1" s="1"/>
  <c r="L21" i="4"/>
  <c r="F19" i="4"/>
  <c r="F2" i="52"/>
  <c r="B50" i="72"/>
  <c r="D2" i="52"/>
  <c r="B46" i="72"/>
  <c r="B8" i="53"/>
  <c r="B23" i="72"/>
  <c r="L4" i="9"/>
  <c r="B17" i="72"/>
  <c r="B15" i="72"/>
  <c r="A3" i="51"/>
  <c r="C8" i="11"/>
  <c r="B2" i="49"/>
  <c r="B23" i="49" s="1"/>
  <c r="B40" i="48"/>
  <c r="B3" i="72"/>
  <c r="I2" i="43"/>
  <c r="N1" i="43" s="1"/>
  <c r="F35" i="4"/>
  <c r="J55" i="39"/>
  <c r="H34" i="43"/>
  <c r="H35" i="43"/>
  <c r="H36" i="43"/>
  <c r="H37" i="43"/>
  <c r="H38" i="43"/>
  <c r="H39" i="43"/>
  <c r="H33" i="43"/>
  <c r="J20" i="43"/>
  <c r="G20" i="43"/>
  <c r="C18" i="43"/>
  <c r="F15" i="43"/>
  <c r="E15" i="43"/>
  <c r="D15" i="43"/>
  <c r="C15" i="43"/>
  <c r="C10" i="43"/>
  <c r="C11" i="43"/>
  <c r="C9" i="43"/>
  <c r="A7" i="43"/>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3" i="6"/>
  <c r="E24" i="6"/>
  <c r="E25" i="6"/>
  <c r="E26" i="6"/>
  <c r="D3" i="35" s="1"/>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E19" i="6" s="1"/>
  <c r="AC13" i="3"/>
  <c r="H14" i="3"/>
  <c r="AC14" i="3"/>
  <c r="H15" i="3"/>
  <c r="E20" i="6" s="1"/>
  <c r="AC15" i="3"/>
  <c r="H16" i="3"/>
  <c r="E21" i="6" s="1"/>
  <c r="AC16" i="3"/>
  <c r="H17" i="3"/>
  <c r="E22" i="6" s="1"/>
  <c r="D3" i="36" s="1"/>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J55" i="9"/>
  <c r="B31" i="1"/>
  <c r="B52" i="1"/>
  <c r="T4" i="1"/>
  <c r="E59" i="9"/>
  <c r="N55" i="9"/>
  <c r="K55" i="9"/>
  <c r="F59" i="9"/>
  <c r="N54" i="9"/>
  <c r="N53" i="9"/>
  <c r="E48" i="9"/>
  <c r="N52" i="9" s="1"/>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s="1"/>
  <c r="G44" i="35"/>
  <c r="H44" i="35" s="1"/>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K7" i="12"/>
  <c r="H111" i="21"/>
  <c r="B110" i="39"/>
  <c r="B112" i="39"/>
  <c r="J30" i="36"/>
  <c r="H30" i="36"/>
  <c r="F30" i="36"/>
  <c r="AA30" i="36"/>
  <c r="C26" i="35"/>
  <c r="C79" i="35" s="1"/>
  <c r="J31" i="35"/>
  <c r="W31" i="35" s="1"/>
  <c r="H31" i="35"/>
  <c r="F31" i="35"/>
  <c r="D87" i="35"/>
  <c r="E87" i="35" s="1"/>
  <c r="F87" i="35" s="1"/>
  <c r="G87" i="35" s="1"/>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S41" i="21" s="1"/>
  <c r="J41" i="21"/>
  <c r="AC41" i="21" s="1"/>
  <c r="H41" i="21"/>
  <c r="U41" i="21" s="1"/>
  <c r="D81" i="39"/>
  <c r="E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F107" i="39" s="1"/>
  <c r="G107" i="39" s="1"/>
  <c r="D105" i="39"/>
  <c r="E105" i="39" s="1"/>
  <c r="F105" i="39" s="1"/>
  <c r="G105" i="39" s="1"/>
  <c r="H105" i="39" s="1"/>
  <c r="I105" i="39" s="1"/>
  <c r="J105" i="39" s="1"/>
  <c r="K105" i="39" s="1"/>
  <c r="L105" i="39" s="1"/>
  <c r="M105" i="39" s="1"/>
  <c r="D101" i="39"/>
  <c r="D99" i="39"/>
  <c r="E99" i="39" s="1"/>
  <c r="F99" i="39" s="1"/>
  <c r="G99" i="39" s="1"/>
  <c r="Q39" i="39"/>
  <c r="Z39" i="39"/>
  <c r="Q40" i="39"/>
  <c r="Z40" i="39" s="1"/>
  <c r="Q41" i="39"/>
  <c r="Z41" i="39"/>
  <c r="Q42" i="39"/>
  <c r="Z42" i="39" s="1"/>
  <c r="Q43" i="39"/>
  <c r="Z43" i="39" s="1"/>
  <c r="Q44" i="39"/>
  <c r="Z44" i="39" s="1"/>
  <c r="Q45" i="39"/>
  <c r="Z45" i="39"/>
  <c r="Q38" i="39"/>
  <c r="Z38" i="39"/>
  <c r="Q36" i="39"/>
  <c r="Z36" i="39"/>
  <c r="Q37" i="39"/>
  <c r="Z37" i="39"/>
  <c r="B131" i="39"/>
  <c r="H45" i="39"/>
  <c r="U45" i="39" s="1"/>
  <c r="B129" i="39"/>
  <c r="H44" i="39"/>
  <c r="AB44" i="39" s="1"/>
  <c r="B127" i="39"/>
  <c r="J43" i="39" s="1"/>
  <c r="AC43" i="39" s="1"/>
  <c r="D126" i="39"/>
  <c r="E126" i="39" s="1"/>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s="1"/>
  <c r="D95" i="39"/>
  <c r="E95" i="39" s="1"/>
  <c r="D93" i="39"/>
  <c r="E93" i="39" s="1"/>
  <c r="F93" i="39" s="1"/>
  <c r="G93" i="39" s="1"/>
  <c r="D91" i="39"/>
  <c r="E91" i="39" s="1"/>
  <c r="D89" i="39"/>
  <c r="E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c r="Q34" i="39"/>
  <c r="Z34" i="39"/>
  <c r="Q32" i="39"/>
  <c r="Z32" i="39" s="1"/>
  <c r="Q31" i="39"/>
  <c r="Z31" i="39" s="1"/>
  <c r="Q27" i="39"/>
  <c r="Z27" i="39"/>
  <c r="Q25" i="39"/>
  <c r="Z25" i="39"/>
  <c r="Q23" i="39"/>
  <c r="Z23" i="39"/>
  <c r="Q21" i="39"/>
  <c r="Z21" i="39"/>
  <c r="Q19" i="39"/>
  <c r="Z19" i="39" s="1"/>
  <c r="Q17" i="39"/>
  <c r="Z17" i="39"/>
  <c r="Q15" i="39"/>
  <c r="Z15" i="39" s="1"/>
  <c r="Q14" i="39"/>
  <c r="Z14" i="39" s="1"/>
  <c r="Q13" i="39"/>
  <c r="Z13" i="39" s="1"/>
  <c r="Q12" i="39"/>
  <c r="Z12" i="39" s="1"/>
  <c r="Q11" i="39"/>
  <c r="Z11" i="39"/>
  <c r="Q10" i="39"/>
  <c r="Z10" i="39"/>
  <c r="Q9" i="39"/>
  <c r="Z9" i="39"/>
  <c r="J9" i="39"/>
  <c r="AC9" i="39" s="1"/>
  <c r="H9" i="39"/>
  <c r="AB9" i="39" s="1"/>
  <c r="F9" i="39"/>
  <c r="AA9" i="39" s="1"/>
  <c r="J8" i="39"/>
  <c r="AC8" i="39"/>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c r="AC24" i="35" s="1"/>
  <c r="B73" i="35"/>
  <c r="H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D66" i="35"/>
  <c r="E66" i="35" s="1"/>
  <c r="D64" i="35"/>
  <c r="E64" i="35" s="1"/>
  <c r="F56" i="35"/>
  <c r="G56" i="35" s="1"/>
  <c r="H56" i="35" s="1"/>
  <c r="I56" i="35" s="1"/>
  <c r="C53" i="35"/>
  <c r="J9" i="35"/>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c r="H32" i="35"/>
  <c r="AB32" i="35" s="1"/>
  <c r="F32" i="35"/>
  <c r="AA32" i="35" s="1"/>
  <c r="Q31" i="35"/>
  <c r="Z31" i="35"/>
  <c r="AC31" i="35"/>
  <c r="AB31" i="35"/>
  <c r="AA31" i="35"/>
  <c r="Q30" i="35"/>
  <c r="Z30" i="35"/>
  <c r="Q29" i="35"/>
  <c r="Z29" i="35"/>
  <c r="Q28" i="35"/>
  <c r="Z28" i="35"/>
  <c r="J28" i="35"/>
  <c r="AC28" i="35" s="1"/>
  <c r="H28" i="35"/>
  <c r="AB28" i="35" s="1"/>
  <c r="F28" i="35"/>
  <c r="AA28" i="35" s="1"/>
  <c r="Q27" i="35"/>
  <c r="Z27" i="35" s="1"/>
  <c r="Q26" i="35"/>
  <c r="Z26" i="35"/>
  <c r="Q25" i="35"/>
  <c r="Z25" i="35" s="1"/>
  <c r="Q24" i="35"/>
  <c r="Z24" i="35" s="1"/>
  <c r="Q23" i="35"/>
  <c r="Z23" i="35" s="1"/>
  <c r="J23" i="35"/>
  <c r="AC23" i="35" s="1"/>
  <c r="Q22" i="35"/>
  <c r="Z22" i="35" s="1"/>
  <c r="Q20" i="35"/>
  <c r="Z20" i="35"/>
  <c r="Q16" i="35"/>
  <c r="Z16" i="35"/>
  <c r="Q14" i="35"/>
  <c r="Z14" i="35"/>
  <c r="Q13" i="35"/>
  <c r="Z13" i="35" s="1"/>
  <c r="Q12" i="35"/>
  <c r="Z12" i="35" s="1"/>
  <c r="J12" i="35"/>
  <c r="W12" i="35" s="1"/>
  <c r="H12" i="35"/>
  <c r="U12" i="35" s="1"/>
  <c r="F12" i="35"/>
  <c r="S12" i="35" s="1"/>
  <c r="Q11" i="35"/>
  <c r="Z11" i="35" s="1"/>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AA9" i="21" s="1"/>
  <c r="G18" i="20"/>
  <c r="B88" i="43" s="1"/>
  <c r="G19" i="20"/>
  <c r="B85" i="43" s="1"/>
  <c r="G16" i="20"/>
  <c r="B82" i="43" s="1"/>
  <c r="G15" i="20"/>
  <c r="B81" i="43" s="1"/>
  <c r="C24" i="20"/>
  <c r="B73" i="43"/>
  <c r="C21" i="20"/>
  <c r="B74" i="43" s="1"/>
  <c r="C20" i="20"/>
  <c r="B77" i="43"/>
  <c r="C18" i="20"/>
  <c r="B71" i="43"/>
  <c r="C17" i="20"/>
  <c r="B59" i="43"/>
  <c r="C16" i="20"/>
  <c r="C17" i="39"/>
  <c r="C15" i="20"/>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c r="G81" i="21" s="1"/>
  <c r="D77" i="21"/>
  <c r="E77" i="21" s="1"/>
  <c r="F77" i="21" s="1"/>
  <c r="G77" i="21" s="1"/>
  <c r="B130" i="21"/>
  <c r="B128" i="21"/>
  <c r="J45" i="21"/>
  <c r="W45" i="21" s="1"/>
  <c r="B126" i="21"/>
  <c r="B98" i="21"/>
  <c r="H31" i="21"/>
  <c r="B96" i="21"/>
  <c r="B94" i="21"/>
  <c r="J29" i="21" s="1"/>
  <c r="B92" i="21"/>
  <c r="B90" i="21"/>
  <c r="J27" i="21" s="1"/>
  <c r="B74" i="21"/>
  <c r="B72" i="21"/>
  <c r="H13" i="21"/>
  <c r="B70" i="21"/>
  <c r="F12" i="21"/>
  <c r="S12" i="21" s="1"/>
  <c r="C19" i="21"/>
  <c r="C17" i="21"/>
  <c r="C23" i="21"/>
  <c r="Q9" i="21"/>
  <c r="Z9" i="21"/>
  <c r="Q10" i="21"/>
  <c r="Z10" i="21"/>
  <c r="Q11" i="21"/>
  <c r="Z11" i="21"/>
  <c r="Q12" i="21"/>
  <c r="Z12" i="21" s="1"/>
  <c r="Q13" i="21"/>
  <c r="Z13" i="21" s="1"/>
  <c r="Q14" i="21"/>
  <c r="Z14" i="21" s="1"/>
  <c r="Q15" i="21"/>
  <c r="Z15" i="21"/>
  <c r="Q17" i="21"/>
  <c r="Z17" i="21"/>
  <c r="Q19" i="21"/>
  <c r="Z19" i="21"/>
  <c r="Q23" i="21"/>
  <c r="Z23" i="21"/>
  <c r="Q25" i="21"/>
  <c r="Z25" i="21" s="1"/>
  <c r="Q26" i="21"/>
  <c r="Z26" i="21" s="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F45" i="39"/>
  <c r="S45" i="39" s="1"/>
  <c r="J45" i="39"/>
  <c r="W45" i="39" s="1"/>
  <c r="J44" i="39"/>
  <c r="AC44" i="39" s="1"/>
  <c r="F36" i="39"/>
  <c r="S36" i="39" s="1"/>
  <c r="H36" i="39"/>
  <c r="AB36" i="39" s="1"/>
  <c r="J35" i="39"/>
  <c r="AC35" i="39" s="1"/>
  <c r="F35" i="39"/>
  <c r="AA35" i="39" s="1"/>
  <c r="J36" i="39"/>
  <c r="AC36" i="39" s="1"/>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s="1"/>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4" i="39"/>
  <c r="H34" i="39"/>
  <c r="U34" i="39" s="1"/>
  <c r="E109" i="39"/>
  <c r="H31" i="39"/>
  <c r="AB31" i="39" s="1"/>
  <c r="F31" i="39"/>
  <c r="AA31" i="39" s="1"/>
  <c r="E101" i="39"/>
  <c r="H19" i="39"/>
  <c r="AB19" i="39" s="1"/>
  <c r="F19" i="39"/>
  <c r="AA19" i="39" s="1"/>
  <c r="J23" i="40"/>
  <c r="AC23" i="40"/>
  <c r="F21" i="40"/>
  <c r="AA21" i="40"/>
  <c r="J21" i="40"/>
  <c r="W21" i="40"/>
  <c r="H42" i="39"/>
  <c r="AB42" i="39" s="1"/>
  <c r="J34" i="39"/>
  <c r="AC34" i="39" s="1"/>
  <c r="F109" i="39"/>
  <c r="G109" i="39"/>
  <c r="H109" i="39" s="1"/>
  <c r="I109" i="39" s="1"/>
  <c r="J109" i="39" s="1"/>
  <c r="K109" i="39" s="1"/>
  <c r="L109" i="39" s="1"/>
  <c r="M109" i="39" s="1"/>
  <c r="J31" i="39"/>
  <c r="W31" i="39" s="1"/>
  <c r="F101" i="39"/>
  <c r="H27" i="39"/>
  <c r="U27" i="39" s="1"/>
  <c r="J19" i="39"/>
  <c r="AC19" i="39"/>
  <c r="J27" i="39"/>
  <c r="AC27" i="39" s="1"/>
  <c r="F27" i="39"/>
  <c r="U34" i="21"/>
  <c r="S34" i="21"/>
  <c r="C25" i="39"/>
  <c r="C27" i="39"/>
  <c r="C21" i="39"/>
  <c r="C15" i="39"/>
  <c r="H32" i="33"/>
  <c r="AB32" i="33"/>
  <c r="H37" i="40"/>
  <c r="U37" i="40"/>
  <c r="H36" i="40"/>
  <c r="AB36" i="40"/>
  <c r="F35" i="40"/>
  <c r="AA35" i="40"/>
  <c r="H23" i="40"/>
  <c r="AB23" i="40"/>
  <c r="H17" i="40"/>
  <c r="U17" i="40"/>
  <c r="J15" i="40"/>
  <c r="W15" i="40"/>
  <c r="J11" i="40"/>
  <c r="W11" i="40"/>
  <c r="AB8" i="39"/>
  <c r="AB12" i="33"/>
  <c r="AC12" i="34"/>
  <c r="AA12" i="34"/>
  <c r="AB12" i="35"/>
  <c r="AB12" i="36"/>
  <c r="W32" i="40"/>
  <c r="S44" i="39"/>
  <c r="F37" i="39"/>
  <c r="AA37" i="39" s="1"/>
  <c r="J34" i="36"/>
  <c r="W34" i="36"/>
  <c r="U30" i="36"/>
  <c r="J30" i="35"/>
  <c r="W30" i="35" s="1"/>
  <c r="H30" i="35"/>
  <c r="AB30" i="35" s="1"/>
  <c r="F22" i="35"/>
  <c r="AA22" i="35" s="1"/>
  <c r="H10" i="35"/>
  <c r="U10" i="35" s="1"/>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s="1"/>
  <c r="F23" i="35"/>
  <c r="AA23" i="35" s="1"/>
  <c r="J32" i="35"/>
  <c r="AC32" i="35" s="1"/>
  <c r="H16" i="35"/>
  <c r="U16" i="35" s="1"/>
  <c r="F16" i="35"/>
  <c r="S16" i="35" s="1"/>
  <c r="H14" i="35"/>
  <c r="AB14" i="35" s="1"/>
  <c r="H33" i="35"/>
  <c r="AB33" i="35" s="1"/>
  <c r="AC8"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3"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42" i="34"/>
  <c r="S42" i="34"/>
  <c r="AC38" i="34"/>
  <c r="AA38" i="34"/>
  <c r="J37" i="34"/>
  <c r="AC37" i="34"/>
  <c r="J11" i="33"/>
  <c r="W11" i="33"/>
  <c r="S28" i="34"/>
  <c r="U23" i="40"/>
  <c r="J42" i="21"/>
  <c r="AC42" i="21" s="1"/>
  <c r="H42" i="21"/>
  <c r="U42" i="21" s="1"/>
  <c r="J44" i="34"/>
  <c r="F44" i="34"/>
  <c r="AA44" i="34"/>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s="1"/>
  <c r="J33" i="35"/>
  <c r="AC33" i="35" s="1"/>
  <c r="F30" i="35"/>
  <c r="S30" i="35" s="1"/>
  <c r="E89" i="35"/>
  <c r="F89" i="35"/>
  <c r="G89" i="35" s="1"/>
  <c r="H89" i="35" s="1"/>
  <c r="I89" i="35" s="1"/>
  <c r="J89" i="35" s="1"/>
  <c r="K89" i="35" s="1"/>
  <c r="L89" i="35" s="1"/>
  <c r="M89" i="35" s="1"/>
  <c r="H10" i="36"/>
  <c r="AB10" i="36"/>
  <c r="J14" i="36"/>
  <c r="AC14" i="36"/>
  <c r="H14" i="36"/>
  <c r="U14" i="36"/>
  <c r="F28" i="36"/>
  <c r="AA28" i="36"/>
  <c r="J13" i="21"/>
  <c r="AC13" i="21" s="1"/>
  <c r="H27" i="21"/>
  <c r="AB27" i="21" s="1"/>
  <c r="F27" i="21"/>
  <c r="AA27" i="21" s="1"/>
  <c r="H29" i="21"/>
  <c r="U29" i="21" s="1"/>
  <c r="J31" i="21"/>
  <c r="AC31" i="21" s="1"/>
  <c r="F31" i="21"/>
  <c r="S31" i="21" s="1"/>
  <c r="F45" i="21"/>
  <c r="AA45" i="21" s="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s="1"/>
  <c r="J11" i="35"/>
  <c r="AC11" i="35" s="1"/>
  <c r="F11" i="35"/>
  <c r="S11" i="35" s="1"/>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s="1"/>
  <c r="J13" i="35"/>
  <c r="AC13" i="35" s="1"/>
  <c r="H13" i="35"/>
  <c r="U13" i="35" s="1"/>
  <c r="J25" i="35"/>
  <c r="W25" i="35" s="1"/>
  <c r="F25" i="35"/>
  <c r="S25" i="35" s="1"/>
  <c r="H25" i="35"/>
  <c r="AB25" i="35" s="1"/>
  <c r="J35" i="35"/>
  <c r="AC35" i="35" s="1"/>
  <c r="F35" i="35"/>
  <c r="AA35" i="35" s="1"/>
  <c r="H35" i="35"/>
  <c r="AB35" i="35" s="1"/>
  <c r="J25" i="36"/>
  <c r="W25" i="36"/>
  <c r="F25" i="36"/>
  <c r="S25" i="36"/>
  <c r="H25" i="36"/>
  <c r="AB25" i="36"/>
  <c r="H13" i="37"/>
  <c r="AB13" i="37"/>
  <c r="F13" i="37"/>
  <c r="S13" i="37"/>
  <c r="J13" i="37"/>
  <c r="W13" i="37"/>
  <c r="F28" i="37"/>
  <c r="AA28" i="37"/>
  <c r="J28" i="37"/>
  <c r="AC28" i="37"/>
  <c r="H28" i="37"/>
  <c r="U28" i="37"/>
  <c r="H38" i="37"/>
  <c r="AB38" i="37"/>
  <c r="J38" i="37"/>
  <c r="AC38" i="37"/>
  <c r="F38" i="37"/>
  <c r="S38" i="37"/>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s="1"/>
  <c r="J25" i="21"/>
  <c r="AC25" i="21" s="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s="1"/>
  <c r="H24" i="35"/>
  <c r="AB24" i="35" s="1"/>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U26" i="21"/>
  <c r="AC46" i="21"/>
  <c r="U12" i="21"/>
  <c r="F43" i="33"/>
  <c r="AA43" i="33"/>
  <c r="W15" i="34"/>
  <c r="AC15" i="34"/>
  <c r="W40" i="37"/>
  <c r="G107" i="37"/>
  <c r="H107" i="37"/>
  <c r="I107" i="37"/>
  <c r="J107" i="37"/>
  <c r="K107" i="37"/>
  <c r="L107" i="37"/>
  <c r="M107" i="37"/>
  <c r="H19" i="34"/>
  <c r="AB19" i="34"/>
  <c r="F36" i="35"/>
  <c r="S36" i="35" s="1"/>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C12" i="43"/>
  <c r="H19" i="40"/>
  <c r="U19" i="40"/>
  <c r="F88" i="40"/>
  <c r="G88" i="40"/>
  <c r="F19" i="40"/>
  <c r="S19" i="40"/>
  <c r="S14" i="40"/>
  <c r="AC13" i="40"/>
  <c r="AB33" i="40"/>
  <c r="W23" i="39"/>
  <c r="AB45" i="39"/>
  <c r="U44" i="39"/>
  <c r="G101" i="39"/>
  <c r="H37" i="39"/>
  <c r="AB37" i="39" s="1"/>
  <c r="AC37" i="39"/>
  <c r="W37" i="39"/>
  <c r="H25" i="39"/>
  <c r="AB25" i="39" s="1"/>
  <c r="J25" i="39"/>
  <c r="W25" i="39" s="1"/>
  <c r="F25" i="39"/>
  <c r="AA25" i="39" s="1"/>
  <c r="H41" i="39"/>
  <c r="AB41" i="39" s="1"/>
  <c r="AB34" i="39"/>
  <c r="U40" i="39"/>
  <c r="S42" i="39"/>
  <c r="W14" i="39"/>
  <c r="W8" i="39"/>
  <c r="J19" i="40"/>
  <c r="AC19" i="40"/>
  <c r="J50" i="40"/>
  <c r="B54" i="72"/>
  <c r="H103" i="9"/>
  <c r="D8" i="53"/>
  <c r="B16" i="53"/>
  <c r="B33" i="72"/>
  <c r="C7" i="37"/>
  <c r="C7" i="34"/>
  <c r="C7" i="36"/>
  <c r="W35" i="40"/>
  <c r="A118" i="9"/>
  <c r="A4" i="52"/>
  <c r="B41" i="72"/>
  <c r="A12" i="52"/>
  <c r="B56" i="72"/>
  <c r="G4" i="4"/>
  <c r="I4" i="4"/>
  <c r="K5" i="4"/>
  <c r="B47" i="48" s="1"/>
  <c r="A2" i="9"/>
  <c r="N2" i="43"/>
  <c r="F59" i="4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H5" i="3"/>
  <c r="BD5" i="3"/>
  <c r="AZ309" i="3"/>
  <c r="AZ317" i="3"/>
  <c r="AZ325" i="3"/>
  <c r="AZ333" i="3"/>
  <c r="AZ341" i="3"/>
  <c r="BQ5" i="3"/>
  <c r="AC5" i="3"/>
  <c r="AZ549" i="3"/>
  <c r="AZ506" i="3"/>
  <c r="AZ496" i="3"/>
  <c r="G548" i="3"/>
  <c r="G538" i="3"/>
  <c r="G520" i="3"/>
  <c r="G502" i="3"/>
  <c r="BS5" i="3"/>
  <c r="BP5" i="3"/>
  <c r="AZ343" i="3"/>
  <c r="BK5" i="3"/>
  <c r="BI5" i="3"/>
  <c r="BG5" i="3"/>
  <c r="BE5" i="3"/>
  <c r="BC5" i="3"/>
  <c r="BA17"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N4" i="43"/>
  <c r="F36" i="43"/>
  <c r="F81" i="43"/>
  <c r="H83" i="43" s="1"/>
  <c r="H113" i="43"/>
  <c r="F48" i="43"/>
  <c r="H52" i="43" s="1"/>
  <c r="N7" i="43"/>
  <c r="F70" i="43"/>
  <c r="H73" i="43" s="1"/>
  <c r="M11" i="43"/>
  <c r="E17" i="43"/>
  <c r="F39" i="43"/>
  <c r="I17" i="43"/>
  <c r="F35" i="43"/>
  <c r="J17" i="43"/>
  <c r="F6" i="1"/>
  <c r="G6" i="1" s="1"/>
  <c r="S14" i="35"/>
  <c r="U35" i="21"/>
  <c r="AC35" i="2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H35" i="37"/>
  <c r="U35" i="37"/>
  <c r="H20" i="35"/>
  <c r="U20" i="35" s="1"/>
  <c r="F20" i="35"/>
  <c r="AA20" i="35" s="1"/>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s="1"/>
  <c r="J39" i="39"/>
  <c r="AC39" i="39" s="1"/>
  <c r="E97" i="39"/>
  <c r="F97" i="39" s="1"/>
  <c r="G97"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4" i="43"/>
  <c r="I20" i="43"/>
  <c r="C20" i="43" s="1"/>
  <c r="F23" i="39"/>
  <c r="AA23" i="39" s="1"/>
  <c r="H27" i="36"/>
  <c r="U27" i="36"/>
  <c r="F27" i="36"/>
  <c r="AA27" i="36"/>
  <c r="H33" i="34"/>
  <c r="U33" i="34"/>
  <c r="F32" i="37"/>
  <c r="AA32" i="37"/>
  <c r="G96" i="37"/>
  <c r="H96" i="37"/>
  <c r="I96" i="37"/>
  <c r="J96" i="37"/>
  <c r="K96" i="37"/>
  <c r="L96" i="37"/>
  <c r="M96" i="37"/>
  <c r="F20" i="36"/>
  <c r="AA20" i="36"/>
  <c r="J33" i="34"/>
  <c r="AC33" i="34"/>
  <c r="H23" i="39"/>
  <c r="U23" i="39" s="1"/>
  <c r="H86" i="43"/>
  <c r="H87" i="43"/>
  <c r="AE9" i="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F12" i="33"/>
  <c r="H12" i="39"/>
  <c r="AB12" i="39" s="1"/>
  <c r="F39" i="40"/>
  <c r="BA14" i="3"/>
  <c r="AZ367" i="3"/>
  <c r="AZ213" i="3"/>
  <c r="AZ224" i="3"/>
  <c r="AZ234" i="3"/>
  <c r="AZ238" i="3"/>
  <c r="AZ250" i="3"/>
  <c r="AZ254" i="3"/>
  <c r="AZ281" i="3"/>
  <c r="AZ286" i="3"/>
  <c r="AZ297" i="3"/>
  <c r="AZ149" i="3"/>
  <c r="AZ157" i="3"/>
  <c r="AZ165" i="3"/>
  <c r="AZ173" i="3"/>
  <c r="AZ181" i="3"/>
  <c r="AZ189" i="3"/>
  <c r="AZ197" i="3"/>
  <c r="AZ26" i="3"/>
  <c r="AZ35" i="3"/>
  <c r="AZ41" i="3"/>
  <c r="B12" i="1"/>
  <c r="E12" i="1" s="1"/>
  <c r="D1" i="66"/>
  <c r="E10" i="66"/>
  <c r="AZ80" i="3"/>
  <c r="AZ84" i="3"/>
  <c r="AZ88" i="3"/>
  <c r="AZ107" i="3"/>
  <c r="AZ111" i="3"/>
  <c r="J51" i="67"/>
  <c r="C42" i="1"/>
  <c r="C77" i="9" s="1"/>
  <c r="H100" i="43"/>
  <c r="C30" i="66"/>
  <c r="E26" i="66"/>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37" i="39"/>
  <c r="U35" i="39"/>
  <c r="U31" i="39"/>
  <c r="S25" i="39"/>
  <c r="W19" i="39"/>
  <c r="U19" i="39"/>
  <c r="AA12"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8" i="35"/>
  <c r="U36" i="35"/>
  <c r="U32" i="35"/>
  <c r="AA33" i="35"/>
  <c r="AC30" i="35"/>
  <c r="S32" i="35"/>
  <c r="AA36" i="35"/>
  <c r="W32" i="35"/>
  <c r="AB16" i="35"/>
  <c r="U22" i="35"/>
  <c r="S20" i="35"/>
  <c r="S22" i="35"/>
  <c r="U14" i="35"/>
  <c r="AC10" i="35"/>
  <c r="AB10" i="35"/>
  <c r="AA11" i="35"/>
  <c r="S8" i="35"/>
  <c r="AC9" i="35"/>
  <c r="W9" i="35"/>
  <c r="AC12" i="35"/>
  <c r="W13" i="35"/>
  <c r="F9" i="35"/>
  <c r="H9" i="35"/>
  <c r="AB9" i="35" s="1"/>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36" i="21"/>
  <c r="AA43" i="21"/>
  <c r="AA38" i="21"/>
  <c r="AA36" i="21"/>
  <c r="AC40" i="21"/>
  <c r="J15" i="21"/>
  <c r="W15" i="21" s="1"/>
  <c r="F23" i="21"/>
  <c r="S23" i="21"/>
  <c r="E85" i="21"/>
  <c r="AA14" i="21"/>
  <c r="AB8" i="21"/>
  <c r="S8" i="21"/>
  <c r="M3" i="43"/>
  <c r="M1" i="43"/>
  <c r="N8" i="43"/>
  <c r="D120" i="9"/>
  <c r="F34" i="67"/>
  <c r="F62" i="67" s="1"/>
  <c r="M20" i="67"/>
  <c r="G13" i="3"/>
  <c r="BL17" i="3"/>
  <c r="AZ17" i="3" s="1"/>
  <c r="J56" i="9"/>
  <c r="J57" i="9"/>
  <c r="A24" i="51"/>
  <c r="B18" i="72" s="1"/>
  <c r="U29" i="34"/>
  <c r="E32" i="6"/>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H81" i="43"/>
  <c r="H88" i="43"/>
  <c r="H53" i="43"/>
  <c r="H54" i="43"/>
  <c r="H78" i="43"/>
  <c r="H70" i="43"/>
  <c r="H71" i="43"/>
  <c r="C17" i="43"/>
  <c r="F33" i="43"/>
  <c r="G17" i="43"/>
  <c r="F34" i="43"/>
  <c r="M7" i="43"/>
  <c r="M2" i="43"/>
  <c r="C6" i="43"/>
  <c r="M10" i="43"/>
  <c r="N11" i="43"/>
  <c r="F38" i="43"/>
  <c r="F37" i="43"/>
  <c r="N12" i="43"/>
  <c r="M5" i="43"/>
  <c r="M4" i="43"/>
  <c r="B19" i="53"/>
  <c r="B37" i="72"/>
  <c r="C7" i="39"/>
  <c r="C68" i="39" s="1"/>
  <c r="C7" i="35"/>
  <c r="C48" i="35" s="1"/>
  <c r="D48" i="35" s="1"/>
  <c r="C7" i="33"/>
  <c r="C58" i="33" s="1"/>
  <c r="C7" i="21"/>
  <c r="C58" i="21" s="1"/>
  <c r="D58" i="21" s="1"/>
  <c r="E58" i="21" s="1"/>
  <c r="F58" i="21" s="1"/>
  <c r="G58" i="21" s="1"/>
  <c r="H58" i="21" s="1"/>
  <c r="I58" i="21" s="1"/>
  <c r="C7" i="40"/>
  <c r="C63" i="40" s="1"/>
  <c r="M47" i="9"/>
  <c r="G19" i="43"/>
  <c r="M20" i="43" s="1"/>
  <c r="C19" i="43" s="1"/>
  <c r="T35" i="4"/>
  <c r="A19" i="51"/>
  <c r="B14" i="72" s="1"/>
  <c r="C46" i="36"/>
  <c r="D46" i="36" s="1"/>
  <c r="E46" i="36" s="1"/>
  <c r="C59" i="34"/>
  <c r="D59" i="34" s="1"/>
  <c r="E59" i="34" s="1"/>
  <c r="F59" i="34" s="1"/>
  <c r="G59" i="34" s="1"/>
  <c r="H59" i="34" s="1"/>
  <c r="I59" i="34" s="1"/>
  <c r="J59" i="34" s="1"/>
  <c r="C52" i="37"/>
  <c r="D52" i="37" s="1"/>
  <c r="A4" i="51"/>
  <c r="B6" i="72"/>
  <c r="H62" i="43"/>
  <c r="H66" i="43"/>
  <c r="H61" i="43"/>
  <c r="H65" i="43"/>
  <c r="H60" i="43"/>
  <c r="H64" i="43"/>
  <c r="H59" i="43"/>
  <c r="H63" i="43"/>
  <c r="H67" i="43"/>
  <c r="H55" i="43"/>
  <c r="H51" i="43"/>
  <c r="H56" i="43"/>
  <c r="H76" i="43"/>
  <c r="H72" i="43"/>
  <c r="H77" i="43"/>
  <c r="L20" i="6"/>
  <c r="B6" i="1"/>
  <c r="E6" i="1" s="1"/>
  <c r="K11" i="1"/>
  <c r="M11" i="1" s="1"/>
  <c r="O11" i="1" s="1"/>
  <c r="B9" i="1"/>
  <c r="E9" i="1" s="1"/>
  <c r="W23" i="40"/>
  <c r="U32" i="40"/>
  <c r="AB31" i="40"/>
  <c r="S37" i="40"/>
  <c r="AB28" i="40"/>
  <c r="W28" i="40"/>
  <c r="W34" i="40"/>
  <c r="W19" i="40"/>
  <c r="W27" i="40"/>
  <c r="S36" i="40"/>
  <c r="W37" i="40"/>
  <c r="AC14" i="40"/>
  <c r="S13" i="40"/>
  <c r="S33" i="40"/>
  <c r="AA15" i="40"/>
  <c r="U11" i="40"/>
  <c r="S31" i="40"/>
  <c r="AB13" i="40"/>
  <c r="U15" i="40"/>
  <c r="AB17" i="40"/>
  <c r="U8" i="40"/>
  <c r="S8" i="40"/>
  <c r="AA39" i="39"/>
  <c r="U42" i="39"/>
  <c r="AB23" i="39"/>
  <c r="U13" i="39"/>
  <c r="AB13" i="39"/>
  <c r="AA13" i="39"/>
  <c r="S13" i="39"/>
  <c r="S14" i="39"/>
  <c r="AA14" i="39"/>
  <c r="AA27" i="39"/>
  <c r="S27" i="39"/>
  <c r="S23"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U28" i="21"/>
  <c r="S45" i="21"/>
  <c r="AA26" i="21"/>
  <c r="AB14" i="21"/>
  <c r="AB46" i="21"/>
  <c r="U40" i="21"/>
  <c r="AB31" i="21"/>
  <c r="U31" i="21"/>
  <c r="U13" i="21"/>
  <c r="AB13" i="21"/>
  <c r="W8" i="21"/>
  <c r="S35" i="21"/>
  <c r="H15" i="21"/>
  <c r="U15" i="21" s="1"/>
  <c r="J17" i="21"/>
  <c r="AC17" i="21" s="1"/>
  <c r="W39" i="21"/>
  <c r="AC14" i="21"/>
  <c r="W30" i="21"/>
  <c r="S46" i="21"/>
  <c r="H45" i="21"/>
  <c r="U45" i="21" s="1"/>
  <c r="F29" i="21"/>
  <c r="S29" i="21" s="1"/>
  <c r="F13" i="21"/>
  <c r="AA13" i="21" s="1"/>
  <c r="AC38" i="21"/>
  <c r="H32" i="21"/>
  <c r="AB32" i="21" s="1"/>
  <c r="H9" i="21"/>
  <c r="U9" i="21" s="1"/>
  <c r="J9" i="21"/>
  <c r="W9" i="21" s="1"/>
  <c r="J32" i="21"/>
  <c r="W32" i="21" s="1"/>
  <c r="F32" i="21"/>
  <c r="AA32" i="21" s="1"/>
  <c r="AA31" i="21"/>
  <c r="K141" i="21"/>
  <c r="K144" i="21"/>
  <c r="K143" i="21"/>
  <c r="U27" i="21"/>
  <c r="AB25" i="21"/>
  <c r="AA30" i="21"/>
  <c r="W13" i="21"/>
  <c r="AC45" i="21"/>
  <c r="F10" i="21"/>
  <c r="S10" i="21" s="1"/>
  <c r="K145" i="21"/>
  <c r="W25" i="21"/>
  <c r="W31" i="21"/>
  <c r="S27" i="21"/>
  <c r="AC26" i="21"/>
  <c r="AB29" i="21"/>
  <c r="S28" i="21"/>
  <c r="AC34" i="21"/>
  <c r="W12" i="21"/>
  <c r="AB36" i="21"/>
  <c r="W30" i="40"/>
  <c r="C19" i="39"/>
  <c r="C15" i="40"/>
  <c r="C17" i="40"/>
  <c r="C23" i="40"/>
  <c r="C21" i="40"/>
  <c r="U30" i="40"/>
  <c r="B54" i="43"/>
  <c r="B65" i="43"/>
  <c r="B49" i="43"/>
  <c r="B52" i="43"/>
  <c r="B56" i="43"/>
  <c r="B60" i="43"/>
  <c r="B63" i="43"/>
  <c r="B67" i="43"/>
  <c r="E4" i="4"/>
  <c r="B5" i="62" s="1"/>
  <c r="B73" i="72" s="1"/>
  <c r="C4" i="4"/>
  <c r="B4" i="62" s="1"/>
  <c r="B71" i="72" s="1"/>
  <c r="AA39" i="40"/>
  <c r="S39" i="40"/>
  <c r="S12" i="33"/>
  <c r="AA12" i="33"/>
  <c r="AA9" i="35"/>
  <c r="S9"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A23" i="21"/>
  <c r="J23" i="21"/>
  <c r="AC23" i="21" s="1"/>
  <c r="F85" i="21"/>
  <c r="G85" i="21"/>
  <c r="H23" i="21"/>
  <c r="AB23" i="21" s="1"/>
  <c r="S13" i="21"/>
  <c r="D6" i="52"/>
  <c r="D121" i="9"/>
  <c r="D7" i="52"/>
  <c r="K120" i="9"/>
  <c r="J59" i="9"/>
  <c r="J61" i="9"/>
  <c r="R22" i="31"/>
  <c r="B21" i="31"/>
  <c r="AC32" i="21"/>
  <c r="A18" i="62"/>
  <c r="B64" i="72"/>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Q52" i="67"/>
  <c r="AC11" i="37"/>
  <c r="W11" i="37"/>
  <c r="W11" i="34"/>
  <c r="AC11" i="34"/>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D59" i="9"/>
  <c r="M55" i="9"/>
  <c r="B38" i="72"/>
  <c r="D20" i="53"/>
  <c r="B40" i="72"/>
  <c r="I14" i="74"/>
  <c r="B8" i="74"/>
  <c r="D127" i="9"/>
  <c r="D13" i="52"/>
  <c r="D12" i="52"/>
  <c r="AD3" i="71"/>
  <c r="F5" i="73"/>
  <c r="E8" i="76"/>
  <c r="D2" i="21"/>
  <c r="F6" i="73"/>
  <c r="E13" i="76"/>
  <c r="F7" i="73"/>
  <c r="D2" i="36"/>
  <c r="D2" i="34"/>
  <c r="B10" i="76"/>
  <c r="D2" i="35"/>
  <c r="B11" i="76"/>
  <c r="AO9" i="1"/>
  <c r="F3" i="73"/>
  <c r="E10" i="76"/>
  <c r="E12" i="76"/>
  <c r="E9" i="76"/>
  <c r="B8" i="76"/>
  <c r="F4" i="73"/>
  <c r="B9" i="76"/>
  <c r="E11" i="76"/>
  <c r="E2" i="68"/>
  <c r="B13" i="76"/>
  <c r="B7" i="76"/>
  <c r="E7" i="76"/>
  <c r="F20" i="31"/>
  <c r="D2" i="37"/>
  <c r="B12" i="76"/>
  <c r="E2" i="69"/>
  <c r="D2" i="33"/>
  <c r="C18" i="9" l="1"/>
  <c r="D18" i="9" s="1"/>
  <c r="AC25" i="39"/>
  <c r="C40" i="11"/>
  <c r="G1" i="68"/>
  <c r="BJ5" i="3"/>
  <c r="BF5" i="3"/>
  <c r="BB5" i="3"/>
  <c r="BN5" i="3"/>
  <c r="BT5" i="3"/>
  <c r="BA13" i="3"/>
  <c r="BA22" i="3"/>
  <c r="BA23" i="3"/>
  <c r="AZ23" i="3" s="1"/>
  <c r="S38" i="39"/>
  <c r="G28" i="6"/>
  <c r="G15" i="3"/>
  <c r="I4" i="6"/>
  <c r="G3" i="43" s="1"/>
  <c r="B113" i="43" s="1"/>
  <c r="G17" i="3"/>
  <c r="H5" i="3"/>
  <c r="F48" i="9"/>
  <c r="O52" i="9" s="1"/>
  <c r="G1" i="67"/>
  <c r="C70" i="39"/>
  <c r="D68" i="39"/>
  <c r="E68" i="39" s="1"/>
  <c r="F68" i="39" s="1"/>
  <c r="G68" i="39" s="1"/>
  <c r="H68" i="39" s="1"/>
  <c r="I68" i="39" s="1"/>
  <c r="J68" i="39" s="1"/>
  <c r="K68" i="39" s="1"/>
  <c r="L68" i="39" s="1"/>
  <c r="M68" i="39" s="1"/>
  <c r="N68" i="39" s="1"/>
  <c r="O68" i="39" s="1"/>
  <c r="C40" i="68"/>
  <c r="W42" i="21"/>
  <c r="AB42" i="21"/>
  <c r="AA41" i="21"/>
  <c r="W41" i="21"/>
  <c r="AB41" i="21"/>
  <c r="S44" i="21"/>
  <c r="AB44" i="21"/>
  <c r="W21" i="21"/>
  <c r="AC19" i="21"/>
  <c r="S19" i="21"/>
  <c r="U17" i="21"/>
  <c r="W10" i="21"/>
  <c r="AB9" i="21"/>
  <c r="S9" i="21"/>
  <c r="G1" i="69"/>
  <c r="K1" i="12"/>
  <c r="F3" i="35"/>
  <c r="E10" i="6"/>
  <c r="AC38" i="39"/>
  <c r="H43" i="39"/>
  <c r="AB43" i="39" s="1"/>
  <c r="F43" i="39"/>
  <c r="AA43" i="39" s="1"/>
  <c r="W43" i="39"/>
  <c r="AA41" i="39"/>
  <c r="AB27" i="39"/>
  <c r="S17" i="21"/>
  <c r="AA15" i="21"/>
  <c r="S9" i="39"/>
  <c r="W9" i="39"/>
  <c r="AZ14" i="3"/>
  <c r="F28" i="6"/>
  <c r="G22" i="3"/>
  <c r="G1" i="83"/>
  <c r="F8" i="1"/>
  <c r="G8" i="1" s="1"/>
  <c r="F12" i="1"/>
  <c r="F10" i="1"/>
  <c r="G10" i="1" s="1"/>
  <c r="P24" i="43"/>
  <c r="B66" i="40" s="1"/>
  <c r="F7" i="1"/>
  <c r="G7" i="1" s="1"/>
  <c r="F13" i="1"/>
  <c r="G13" i="1" s="1"/>
  <c r="E8" i="49"/>
  <c r="B14" i="49"/>
  <c r="D7" i="12"/>
  <c r="K8" i="1"/>
  <c r="AP8" i="1" s="1"/>
  <c r="J7" i="12"/>
  <c r="K7" i="1"/>
  <c r="M7" i="1" s="1"/>
  <c r="O7" i="1" s="1"/>
  <c r="K6" i="1"/>
  <c r="C7" i="12"/>
  <c r="AB15" i="21"/>
  <c r="AC15" i="21"/>
  <c r="W17" i="21"/>
  <c r="W27" i="39"/>
  <c r="K10" i="1"/>
  <c r="M10" i="1" s="1"/>
  <c r="O10" i="1" s="1"/>
  <c r="P10" i="1" s="1"/>
  <c r="E7" i="12"/>
  <c r="K9" i="1"/>
  <c r="M9" i="1" s="1"/>
  <c r="O9" i="1" s="1"/>
  <c r="P9" i="1" s="1"/>
  <c r="E5" i="6"/>
  <c r="D9" i="11" s="1"/>
  <c r="C9" i="11" s="1"/>
  <c r="AP7" i="1"/>
  <c r="E11" i="6"/>
  <c r="E61" i="39" s="1"/>
  <c r="F53" i="9"/>
  <c r="F32" i="83"/>
  <c r="F60" i="83" s="1"/>
  <c r="M18" i="83"/>
  <c r="F28" i="83"/>
  <c r="C28" i="83" s="1"/>
  <c r="F32" i="79"/>
  <c r="F60" i="79" s="1"/>
  <c r="F28" i="79"/>
  <c r="C28" i="79" s="1"/>
  <c r="M18" i="79"/>
  <c r="F34" i="83"/>
  <c r="F62" i="83" s="1"/>
  <c r="M20" i="83"/>
  <c r="F34" i="79"/>
  <c r="F62" i="79" s="1"/>
  <c r="M20" i="79"/>
  <c r="AP11" i="1"/>
  <c r="P22" i="43"/>
  <c r="O19" i="43"/>
  <c r="E14" i="6"/>
  <c r="E64" i="39" s="1"/>
  <c r="BA20" i="3"/>
  <c r="G20" i="3"/>
  <c r="K13" i="1"/>
  <c r="BA18" i="3"/>
  <c r="G29" i="6"/>
  <c r="G30" i="6" s="1"/>
  <c r="G31" i="6" s="1"/>
  <c r="B8" i="1"/>
  <c r="E8" i="1" s="1"/>
  <c r="G1" i="79"/>
  <c r="W44" i="21"/>
  <c r="W43" i="21"/>
  <c r="E8" i="6"/>
  <c r="F27" i="6" s="1"/>
  <c r="E15" i="6"/>
  <c r="E65" i="39" s="1"/>
  <c r="BL16" i="3"/>
  <c r="AZ16" i="3" s="1"/>
  <c r="BA19" i="3"/>
  <c r="BL19" i="3"/>
  <c r="BL21" i="3"/>
  <c r="BL22" i="3"/>
  <c r="AZ22" i="3" s="1"/>
  <c r="AZ25" i="3"/>
  <c r="BL18" i="3"/>
  <c r="BL20" i="3"/>
  <c r="AZ20" i="3" s="1"/>
  <c r="P25" i="43"/>
  <c r="P23" i="43"/>
  <c r="B71" i="39" s="1"/>
  <c r="P21" i="43"/>
  <c r="AC31" i="39"/>
  <c r="K4" i="4"/>
  <c r="B46" i="48" s="1"/>
  <c r="B4" i="72" s="1"/>
  <c r="BA21" i="3"/>
  <c r="G21" i="3"/>
  <c r="G19" i="3"/>
  <c r="G18" i="3"/>
  <c r="G14" i="3"/>
  <c r="BL15" i="3"/>
  <c r="AZ15" i="3" s="1"/>
  <c r="D58" i="33"/>
  <c r="E58" i="33" s="1"/>
  <c r="F58" i="33" s="1"/>
  <c r="G58" i="33" s="1"/>
  <c r="H58" i="33" s="1"/>
  <c r="I58" i="33" s="1"/>
  <c r="J58" i="33" s="1"/>
  <c r="K58" i="33" s="1"/>
  <c r="L58" i="33" s="1"/>
  <c r="M58" i="33" s="1"/>
  <c r="N58" i="33" s="1"/>
  <c r="O58" i="33" s="1"/>
  <c r="J1" i="73"/>
  <c r="C74" i="9"/>
  <c r="D23" i="67"/>
  <c r="D22" i="67"/>
  <c r="C16" i="43"/>
  <c r="C5" i="43" s="1"/>
  <c r="H49" i="43"/>
  <c r="H75" i="43"/>
  <c r="M12" i="43"/>
  <c r="N5" i="43"/>
  <c r="M9" i="43"/>
  <c r="N3" i="43"/>
  <c r="N6" i="43"/>
  <c r="H84" i="43"/>
  <c r="H85" i="43"/>
  <c r="N9" i="43"/>
  <c r="M8" i="43"/>
  <c r="N10" i="43"/>
  <c r="H82" i="43"/>
  <c r="M6" i="43"/>
  <c r="H48" i="43"/>
  <c r="H50" i="43"/>
  <c r="E11" i="49"/>
  <c r="E5" i="49"/>
  <c r="B9" i="49"/>
  <c r="B5" i="49"/>
  <c r="B22" i="49"/>
  <c r="J26" i="35"/>
  <c r="W26" i="35" s="1"/>
  <c r="F26" i="35"/>
  <c r="AA26" i="35" s="1"/>
  <c r="H26" i="35"/>
  <c r="U26" i="35" s="1"/>
  <c r="J29" i="35"/>
  <c r="H29" i="35"/>
  <c r="H87" i="35"/>
  <c r="I87" i="35" s="1"/>
  <c r="J87" i="35" s="1"/>
  <c r="K87" i="35" s="1"/>
  <c r="L87" i="35" s="1"/>
  <c r="M87" i="35" s="1"/>
  <c r="F29" i="35"/>
  <c r="W18" i="35"/>
  <c r="F70" i="35"/>
  <c r="G70" i="35" s="1"/>
  <c r="J20" i="35"/>
  <c r="U18" i="35"/>
  <c r="J16" i="35"/>
  <c r="AC16" i="35" s="1"/>
  <c r="F66" i="35"/>
  <c r="G66" i="35" s="1"/>
  <c r="F64" i="35"/>
  <c r="G64" i="35" s="1"/>
  <c r="J14" i="35"/>
  <c r="AC26" i="35"/>
  <c r="S26" i="35"/>
  <c r="U30" i="35"/>
  <c r="S28" i="35"/>
  <c r="AB27" i="35"/>
  <c r="S27" i="35"/>
  <c r="AC27" i="35"/>
  <c r="S18" i="35"/>
  <c r="AA16" i="35"/>
  <c r="AA10" i="35"/>
  <c r="U9" i="35"/>
  <c r="U23" i="35"/>
  <c r="AB23" i="35"/>
  <c r="U41" i="39"/>
  <c r="J41" i="39"/>
  <c r="F103" i="39"/>
  <c r="G103" i="39" s="1"/>
  <c r="J29" i="39"/>
  <c r="AC29" i="39" s="1"/>
  <c r="B8" i="49"/>
  <c r="B4" i="49"/>
  <c r="E10" i="49"/>
  <c r="E16" i="49"/>
  <c r="E22" i="49"/>
  <c r="B7" i="49"/>
  <c r="S42" i="21"/>
  <c r="S40" i="21"/>
  <c r="H113" i="21"/>
  <c r="H37" i="21"/>
  <c r="F37" i="21"/>
  <c r="J37" i="21"/>
  <c r="U32" i="21"/>
  <c r="U43" i="21"/>
  <c r="AB38" i="21"/>
  <c r="E4" i="49"/>
  <c r="B6" i="49"/>
  <c r="E9" i="49"/>
  <c r="E21" i="49"/>
  <c r="B11" i="49"/>
  <c r="B13" i="49"/>
  <c r="E6" i="49"/>
  <c r="E7" i="49"/>
  <c r="B16" i="49"/>
  <c r="B10" i="49"/>
  <c r="S39" i="21"/>
  <c r="AB39" i="21"/>
  <c r="S32" i="21"/>
  <c r="W23" i="21"/>
  <c r="S21" i="21"/>
  <c r="AA10" i="21"/>
  <c r="U10" i="21"/>
  <c r="AC9" i="21"/>
  <c r="AA25" i="21"/>
  <c r="AB45" i="21"/>
  <c r="W27" i="21"/>
  <c r="AC27" i="21"/>
  <c r="AC29" i="21"/>
  <c r="W29" i="21"/>
  <c r="AA29" i="21"/>
  <c r="H107" i="39"/>
  <c r="I107" i="39" s="1"/>
  <c r="J107" i="39" s="1"/>
  <c r="K107" i="39" s="1"/>
  <c r="L107" i="39" s="1"/>
  <c r="M107" i="39" s="1"/>
  <c r="H32" i="39"/>
  <c r="F32" i="39"/>
  <c r="S32" i="39" s="1"/>
  <c r="J32" i="39"/>
  <c r="AC32" i="39" s="1"/>
  <c r="F21" i="39"/>
  <c r="S21" i="39" s="1"/>
  <c r="H21" i="39"/>
  <c r="U21" i="39" s="1"/>
  <c r="F95" i="39"/>
  <c r="G95" i="39" s="1"/>
  <c r="J21" i="39"/>
  <c r="F17" i="39"/>
  <c r="AA17" i="39" s="1"/>
  <c r="J17" i="39"/>
  <c r="F91" i="39"/>
  <c r="G91" i="39" s="1"/>
  <c r="H17" i="39"/>
  <c r="AB17" i="39" s="1"/>
  <c r="F15" i="39"/>
  <c r="AA15" i="39" s="1"/>
  <c r="J15" i="39"/>
  <c r="F89" i="39"/>
  <c r="G89" i="39" s="1"/>
  <c r="H15" i="39"/>
  <c r="F81" i="39"/>
  <c r="G81" i="39" s="1"/>
  <c r="H81" i="39" s="1"/>
  <c r="I81" i="39" s="1"/>
  <c r="J81" i="39" s="1"/>
  <c r="K81" i="39" s="1"/>
  <c r="L81" i="39" s="1"/>
  <c r="M81" i="39" s="1"/>
  <c r="U29" i="39"/>
  <c r="S29" i="39"/>
  <c r="U25" i="39"/>
  <c r="S19" i="39"/>
  <c r="S40" i="39"/>
  <c r="W40" i="39"/>
  <c r="U9" i="39"/>
  <c r="AA45" i="39"/>
  <c r="AC45" i="39"/>
  <c r="F31" i="12"/>
  <c r="F32" i="67"/>
  <c r="F60" i="67" s="1"/>
  <c r="F30" i="11"/>
  <c r="C48" i="11" s="1"/>
  <c r="F54" i="9"/>
  <c r="F30" i="69"/>
  <c r="F28" i="67"/>
  <c r="C28" i="67" s="1"/>
  <c r="F30" i="68"/>
  <c r="C30" i="68" s="1"/>
  <c r="D68" i="9"/>
  <c r="C24" i="12"/>
  <c r="M18" i="67"/>
  <c r="F52" i="9"/>
  <c r="C40" i="69"/>
  <c r="E12" i="6"/>
  <c r="E57" i="40" s="1"/>
  <c r="E28" i="6"/>
  <c r="F29" i="6"/>
  <c r="E13" i="6"/>
  <c r="AZ13" i="3"/>
  <c r="O12" i="1"/>
  <c r="P12" i="1" s="1"/>
  <c r="P11" i="1"/>
  <c r="K59" i="34"/>
  <c r="L59" i="34" s="1"/>
  <c r="M59" i="34" s="1"/>
  <c r="N59" i="34" s="1"/>
  <c r="O59" i="34" s="1"/>
  <c r="H7" i="34" s="1"/>
  <c r="J58" i="21"/>
  <c r="K58" i="21" s="1"/>
  <c r="L58" i="21" s="1"/>
  <c r="M58" i="21" s="1"/>
  <c r="N58" i="21" s="1"/>
  <c r="O58" i="21" s="1"/>
  <c r="H7" i="21"/>
  <c r="E48" i="35"/>
  <c r="F48" i="35" s="1"/>
  <c r="G48" i="35" s="1"/>
  <c r="H48" i="35" s="1"/>
  <c r="I48" i="35" s="1"/>
  <c r="J48" i="35" s="1"/>
  <c r="K48" i="35" s="1"/>
  <c r="L48" i="35" s="1"/>
  <c r="M48" i="35" s="1"/>
  <c r="N48" i="35" s="1"/>
  <c r="O48" i="35" s="1"/>
  <c r="C36" i="43"/>
  <c r="C35" i="43"/>
  <c r="C34" i="43"/>
  <c r="C33" i="43"/>
  <c r="C65" i="40"/>
  <c r="D63" i="40"/>
  <c r="E52" i="37"/>
  <c r="F46" i="36"/>
  <c r="B20" i="31"/>
  <c r="I1" i="73"/>
  <c r="B39" i="1" s="1"/>
  <c r="B9" i="70"/>
  <c r="AE11" i="1"/>
  <c r="F16" i="67"/>
  <c r="M29" i="83"/>
  <c r="M23" i="83"/>
  <c r="F36" i="79"/>
  <c r="F37" i="83"/>
  <c r="F38" i="67"/>
  <c r="F16" i="79"/>
  <c r="M22" i="83"/>
  <c r="F26" i="83"/>
  <c r="M9" i="83"/>
  <c r="M26" i="83"/>
  <c r="F6" i="79"/>
  <c r="F9" i="79"/>
  <c r="D7" i="73"/>
  <c r="M27" i="83"/>
  <c r="M8" i="83"/>
  <c r="M24" i="67"/>
  <c r="M6" i="67"/>
  <c r="M26" i="67"/>
  <c r="J15" i="79"/>
  <c r="F6" i="83"/>
  <c r="M29" i="67"/>
  <c r="F40" i="79"/>
  <c r="F43" i="79"/>
  <c r="D6" i="73"/>
  <c r="M22" i="79"/>
  <c r="F36" i="67"/>
  <c r="F16" i="83"/>
  <c r="F42" i="67"/>
  <c r="M22" i="67"/>
  <c r="M9" i="79"/>
  <c r="J15" i="67"/>
  <c r="M8" i="79"/>
  <c r="M23" i="67"/>
  <c r="M27" i="67"/>
  <c r="C76" i="83"/>
  <c r="M24" i="79"/>
  <c r="F26" i="79"/>
  <c r="F37" i="67"/>
  <c r="L47" i="79"/>
  <c r="F6" i="67"/>
  <c r="F42" i="79"/>
  <c r="F8" i="67"/>
  <c r="M28" i="67"/>
  <c r="F43" i="67"/>
  <c r="F9" i="83"/>
  <c r="M8" i="67"/>
  <c r="F38" i="79"/>
  <c r="M26" i="79"/>
  <c r="D3" i="73"/>
  <c r="F13" i="83"/>
  <c r="M28" i="83"/>
  <c r="F26" i="67"/>
  <c r="F8" i="83"/>
  <c r="M28" i="79"/>
  <c r="F7" i="67"/>
  <c r="F9" i="67"/>
  <c r="C76" i="79"/>
  <c r="F40" i="83"/>
  <c r="L48" i="83"/>
  <c r="F13" i="79"/>
  <c r="F43" i="83"/>
  <c r="F42" i="83"/>
  <c r="M6" i="83"/>
  <c r="L48" i="67"/>
  <c r="M27" i="79"/>
  <c r="F7" i="83"/>
  <c r="M29" i="79"/>
  <c r="L47" i="67"/>
  <c r="J15" i="83"/>
  <c r="F40" i="67"/>
  <c r="F13" i="67"/>
  <c r="D4" i="73"/>
  <c r="F37" i="79"/>
  <c r="F38" i="83"/>
  <c r="D5" i="73"/>
  <c r="M6" i="79"/>
  <c r="L47" i="83"/>
  <c r="M24" i="83"/>
  <c r="F36" i="83"/>
  <c r="L48" i="79"/>
  <c r="F8" i="79"/>
  <c r="M9" i="67"/>
  <c r="F7" i="79"/>
  <c r="M23" i="79"/>
  <c r="C76" i="67"/>
  <c r="G101" i="43" l="1"/>
  <c r="G107" i="43" s="1"/>
  <c r="J7" i="35"/>
  <c r="F7" i="21"/>
  <c r="J7" i="21"/>
  <c r="F30" i="6"/>
  <c r="F31" i="6" s="1"/>
  <c r="I101" i="43"/>
  <c r="I104" i="43" s="1"/>
  <c r="Z7" i="43"/>
  <c r="F22" i="43"/>
  <c r="AC11" i="43"/>
  <c r="AC13" i="43" s="1"/>
  <c r="AF11" i="43"/>
  <c r="AF13" i="43" s="1"/>
  <c r="E22" i="43"/>
  <c r="L101" i="43"/>
  <c r="L106" i="43" s="1"/>
  <c r="Y11" i="43"/>
  <c r="Y13" i="43" s="1"/>
  <c r="AG11" i="43"/>
  <c r="AG13" i="43" s="1"/>
  <c r="AB11" i="43"/>
  <c r="AB13" i="43" s="1"/>
  <c r="AJ11" i="43"/>
  <c r="AJ13" i="43" s="1"/>
  <c r="D101" i="43"/>
  <c r="D105" i="43" s="1"/>
  <c r="F101" i="43"/>
  <c r="F102" i="43" s="1"/>
  <c r="G22" i="43"/>
  <c r="J101" i="43"/>
  <c r="J107" i="43" s="1"/>
  <c r="AA11" i="43"/>
  <c r="AA13" i="43" s="1"/>
  <c r="AE11" i="43"/>
  <c r="AE13" i="43" s="1"/>
  <c r="AI11" i="43"/>
  <c r="AI13" i="43" s="1"/>
  <c r="Z11" i="43"/>
  <c r="Z13" i="43" s="1"/>
  <c r="AD11" i="43"/>
  <c r="AD13" i="43" s="1"/>
  <c r="AH11" i="43"/>
  <c r="AH13" i="43" s="1"/>
  <c r="E101" i="43"/>
  <c r="E102" i="43" s="1"/>
  <c r="M101" i="43"/>
  <c r="M109" i="43" s="1"/>
  <c r="H22" i="43"/>
  <c r="N101" i="43"/>
  <c r="N105" i="43" s="1"/>
  <c r="K101" i="43"/>
  <c r="K102" i="43" s="1"/>
  <c r="J22" i="43"/>
  <c r="H101" i="43"/>
  <c r="H103" i="43" s="1"/>
  <c r="N104" i="46"/>
  <c r="C101" i="43"/>
  <c r="C107" i="43" s="1"/>
  <c r="L58" i="67"/>
  <c r="Q73" i="67" s="1"/>
  <c r="L59" i="67"/>
  <c r="Q74" i="67" s="1"/>
  <c r="M59" i="67"/>
  <c r="N59" i="67"/>
  <c r="F68" i="67"/>
  <c r="F66" i="67"/>
  <c r="F64" i="67"/>
  <c r="F51" i="67"/>
  <c r="F70" i="67"/>
  <c r="L56" i="67"/>
  <c r="I54" i="67"/>
  <c r="J57" i="67"/>
  <c r="J55" i="67" s="1"/>
  <c r="J58" i="67" s="1"/>
  <c r="Q50" i="67" s="1"/>
  <c r="C27" i="67"/>
  <c r="Q71" i="67"/>
  <c r="F65" i="67"/>
  <c r="AP6" i="1"/>
  <c r="D9" i="68"/>
  <c r="C9" i="68" s="1"/>
  <c r="E56" i="40"/>
  <c r="D9" i="69"/>
  <c r="C9" i="69" s="1"/>
  <c r="P7" i="1"/>
  <c r="M8" i="1"/>
  <c r="O8" i="1" s="1"/>
  <c r="M6" i="1"/>
  <c r="S43" i="39"/>
  <c r="U43" i="39"/>
  <c r="AZ21" i="3"/>
  <c r="C6" i="83"/>
  <c r="F50" i="83"/>
  <c r="M7" i="83"/>
  <c r="F66" i="83"/>
  <c r="F68" i="83"/>
  <c r="M59" i="83"/>
  <c r="L59" i="83" s="1"/>
  <c r="Q61" i="83" s="1"/>
  <c r="N59" i="83"/>
  <c r="F71" i="83"/>
  <c r="F65" i="83"/>
  <c r="F51" i="83"/>
  <c r="Q71" i="83"/>
  <c r="C27" i="83"/>
  <c r="F64" i="83"/>
  <c r="AZ19" i="3"/>
  <c r="AP10" i="1"/>
  <c r="L58" i="83"/>
  <c r="Q60" i="83" s="1"/>
  <c r="J57" i="83"/>
  <c r="J55" i="83" s="1"/>
  <c r="J58" i="83" s="1"/>
  <c r="Q50" i="83" s="1"/>
  <c r="J53" i="83"/>
  <c r="F1" i="83" s="1"/>
  <c r="J59" i="83"/>
  <c r="I54" i="83"/>
  <c r="J60" i="83"/>
  <c r="Q48" i="83" s="1"/>
  <c r="L56" i="83"/>
  <c r="J7" i="34"/>
  <c r="W7" i="34" s="1"/>
  <c r="J7" i="33"/>
  <c r="G12" i="1"/>
  <c r="G16" i="1" s="1"/>
  <c r="H10" i="40" s="1"/>
  <c r="U10" i="40" s="1"/>
  <c r="D19" i="12"/>
  <c r="C19" i="12" s="1"/>
  <c r="AZ18" i="3"/>
  <c r="E60" i="40"/>
  <c r="E59" i="40"/>
  <c r="AP9" i="1"/>
  <c r="F11" i="83"/>
  <c r="M11" i="83"/>
  <c r="F71" i="67"/>
  <c r="F50" i="67"/>
  <c r="M7" i="67"/>
  <c r="C6" i="67"/>
  <c r="M13" i="1"/>
  <c r="O13" i="1" s="1"/>
  <c r="P13" i="1" s="1"/>
  <c r="BA5" i="3"/>
  <c r="E27" i="6" s="1"/>
  <c r="H16" i="1"/>
  <c r="BL5" i="3"/>
  <c r="Q16" i="1"/>
  <c r="F27" i="69" s="1"/>
  <c r="C29" i="69" s="1"/>
  <c r="D27" i="69" s="1"/>
  <c r="Q71" i="79"/>
  <c r="C6" i="79"/>
  <c r="F64" i="79"/>
  <c r="F66" i="79"/>
  <c r="F51" i="79"/>
  <c r="F68" i="79"/>
  <c r="I54" i="79"/>
  <c r="J57" i="79"/>
  <c r="J55" i="79" s="1"/>
  <c r="J58" i="79" s="1"/>
  <c r="Q50" i="79" s="1"/>
  <c r="J59" i="79"/>
  <c r="J60" i="79"/>
  <c r="Q48" i="79" s="1"/>
  <c r="J53" i="79"/>
  <c r="L56" i="79" s="1"/>
  <c r="C27" i="79"/>
  <c r="F65" i="79"/>
  <c r="N59" i="79"/>
  <c r="M59" i="79"/>
  <c r="L59" i="79" s="1"/>
  <c r="L58" i="79"/>
  <c r="F50" i="79"/>
  <c r="M7" i="79"/>
  <c r="J6" i="79" s="1"/>
  <c r="F71" i="79"/>
  <c r="AA32" i="39"/>
  <c r="W32" i="39"/>
  <c r="F11" i="79"/>
  <c r="M11" i="79"/>
  <c r="K1" i="73"/>
  <c r="E51" i="40"/>
  <c r="E56" i="39"/>
  <c r="AB21" i="39"/>
  <c r="AA21" i="39"/>
  <c r="U17" i="39"/>
  <c r="S15" i="39"/>
  <c r="G5" i="3"/>
  <c r="B3" i="3" s="1"/>
  <c r="E16" i="6"/>
  <c r="E29" i="6"/>
  <c r="K15" i="1" s="1"/>
  <c r="E20" i="43"/>
  <c r="O17" i="43" s="1"/>
  <c r="H7" i="33"/>
  <c r="F7" i="33"/>
  <c r="F7" i="35"/>
  <c r="AA7" i="35" s="1"/>
  <c r="R38" i="35" s="1"/>
  <c r="W29" i="39"/>
  <c r="C38" i="43"/>
  <c r="E38" i="43" s="1"/>
  <c r="C39" i="43"/>
  <c r="E39" i="43" s="1"/>
  <c r="T14" i="43"/>
  <c r="V14" i="43" s="1"/>
  <c r="T15" i="43"/>
  <c r="V15" i="43" s="1"/>
  <c r="C37" i="43"/>
  <c r="G37" i="43" s="1"/>
  <c r="I37" i="43" s="1"/>
  <c r="T11" i="43"/>
  <c r="V11" i="43" s="1"/>
  <c r="T9" i="43"/>
  <c r="V9" i="43" s="1"/>
  <c r="T10" i="43"/>
  <c r="V10" i="43" s="1"/>
  <c r="T13" i="43"/>
  <c r="V13" i="43" s="1"/>
  <c r="T8" i="43"/>
  <c r="V8" i="43" s="1"/>
  <c r="T12" i="43"/>
  <c r="V12" i="43" s="1"/>
  <c r="T16" i="43"/>
  <c r="V16" i="43" s="1"/>
  <c r="C48" i="68"/>
  <c r="AB26" i="35"/>
  <c r="S29" i="35"/>
  <c r="AA29" i="35"/>
  <c r="AB29" i="35"/>
  <c r="U29" i="35"/>
  <c r="W29" i="35"/>
  <c r="AC29" i="35"/>
  <c r="W20" i="35"/>
  <c r="AC20" i="35"/>
  <c r="W16" i="35"/>
  <c r="W14" i="35"/>
  <c r="AC14" i="35"/>
  <c r="W41" i="39"/>
  <c r="AC41" i="39"/>
  <c r="E62" i="39"/>
  <c r="AC37" i="21"/>
  <c r="W37" i="21"/>
  <c r="U37" i="21"/>
  <c r="AB37" i="21"/>
  <c r="AA37" i="21"/>
  <c r="S37" i="21"/>
  <c r="U32" i="39"/>
  <c r="AB32" i="39"/>
  <c r="W21" i="39"/>
  <c r="AC21" i="39"/>
  <c r="S17" i="39"/>
  <c r="AC17" i="39"/>
  <c r="W17" i="39"/>
  <c r="U15" i="39"/>
  <c r="AB15" i="39"/>
  <c r="W15" i="39"/>
  <c r="AC15" i="39"/>
  <c r="C30" i="11"/>
  <c r="C48" i="69"/>
  <c r="C30" i="69"/>
  <c r="K14" i="1"/>
  <c r="E58" i="40"/>
  <c r="E63" i="39"/>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M102" i="43"/>
  <c r="J103" i="43"/>
  <c r="G105" i="43"/>
  <c r="D70" i="39"/>
  <c r="F52" i="37"/>
  <c r="E63" i="40"/>
  <c r="D65" i="40"/>
  <c r="G33" i="43"/>
  <c r="I33" i="43" s="1"/>
  <c r="E33" i="43"/>
  <c r="G35" i="43"/>
  <c r="I35" i="43" s="1"/>
  <c r="E35" i="43"/>
  <c r="H7" i="35"/>
  <c r="AB7" i="21"/>
  <c r="U7" i="21"/>
  <c r="F7" i="34"/>
  <c r="G46" i="36"/>
  <c r="G34" i="43"/>
  <c r="I34" i="43" s="1"/>
  <c r="E34" i="43"/>
  <c r="G36" i="43"/>
  <c r="I36" i="43" s="1"/>
  <c r="E36" i="43"/>
  <c r="AC7" i="35"/>
  <c r="W7" i="35"/>
  <c r="S7" i="21"/>
  <c r="AA7" i="21"/>
  <c r="AC7" i="21"/>
  <c r="W7" i="21"/>
  <c r="U7" i="34"/>
  <c r="AB7" i="34"/>
  <c r="T49" i="34" s="1"/>
  <c r="G49" i="34" s="1"/>
  <c r="M11" i="67"/>
  <c r="J10" i="67" s="1"/>
  <c r="F11" i="67"/>
  <c r="AE12" i="1"/>
  <c r="AE7" i="1"/>
  <c r="F59" i="83"/>
  <c r="F59" i="67"/>
  <c r="F31" i="67"/>
  <c r="F59" i="79"/>
  <c r="C16" i="79"/>
  <c r="C16" i="67"/>
  <c r="M17" i="79"/>
  <c r="G1" i="73"/>
  <c r="F31" i="79"/>
  <c r="C16" i="83"/>
  <c r="F31" i="83"/>
  <c r="M17" i="67"/>
  <c r="M17" i="83"/>
  <c r="G103" i="43" l="1"/>
  <c r="G104" i="43"/>
  <c r="G109" i="43"/>
  <c r="G102" i="43"/>
  <c r="G106" i="43"/>
  <c r="D109" i="43"/>
  <c r="AZ5" i="3"/>
  <c r="E3" i="6" s="1"/>
  <c r="E390" i="3"/>
  <c r="C33" i="21"/>
  <c r="F33" i="21" s="1"/>
  <c r="K103" i="43"/>
  <c r="H106" i="43"/>
  <c r="L102" i="43"/>
  <c r="N104" i="43"/>
  <c r="F104" i="43"/>
  <c r="I103" i="43"/>
  <c r="J102" i="43"/>
  <c r="L109" i="43"/>
  <c r="N107" i="43"/>
  <c r="M104" i="43"/>
  <c r="F107" i="43"/>
  <c r="I107" i="43"/>
  <c r="J104" i="43"/>
  <c r="L104" i="43"/>
  <c r="L107" i="43"/>
  <c r="N103" i="43"/>
  <c r="N102" i="43"/>
  <c r="M103" i="43"/>
  <c r="F103" i="43"/>
  <c r="F105" i="43"/>
  <c r="I102" i="43"/>
  <c r="I109" i="43"/>
  <c r="D22" i="43"/>
  <c r="J106" i="43"/>
  <c r="J105" i="43"/>
  <c r="J109" i="43"/>
  <c r="L105" i="43"/>
  <c r="L103" i="43"/>
  <c r="N106" i="43"/>
  <c r="N109" i="43"/>
  <c r="M105" i="43"/>
  <c r="M107" i="43"/>
  <c r="M106" i="43"/>
  <c r="F106" i="43"/>
  <c r="F109" i="43"/>
  <c r="I106" i="43"/>
  <c r="I105" i="43"/>
  <c r="K107" i="43"/>
  <c r="E104" i="43"/>
  <c r="C106" i="43"/>
  <c r="H104" i="43"/>
  <c r="D103" i="43"/>
  <c r="K106" i="43"/>
  <c r="K105" i="43"/>
  <c r="E109" i="43"/>
  <c r="E106" i="43"/>
  <c r="C102" i="43"/>
  <c r="C103" i="43"/>
  <c r="H107" i="43"/>
  <c r="H102" i="43"/>
  <c r="D107" i="43"/>
  <c r="D106" i="43"/>
  <c r="K104" i="43"/>
  <c r="K109" i="43"/>
  <c r="E107" i="43"/>
  <c r="E105" i="43"/>
  <c r="E103" i="43"/>
  <c r="C109" i="43"/>
  <c r="C105" i="43"/>
  <c r="C104" i="43"/>
  <c r="H105" i="43"/>
  <c r="H109" i="43"/>
  <c r="D104" i="43"/>
  <c r="D102" i="43"/>
  <c r="Q60" i="67"/>
  <c r="C49" i="67"/>
  <c r="Q61" i="67"/>
  <c r="AC7" i="34"/>
  <c r="V49" i="34" s="1"/>
  <c r="I49" i="34" s="1"/>
  <c r="O6" i="1"/>
  <c r="P6" i="1" s="1"/>
  <c r="J6" i="83"/>
  <c r="J10" i="83" s="1"/>
  <c r="J5" i="83" s="1"/>
  <c r="J26" i="83" s="1"/>
  <c r="F10" i="39"/>
  <c r="S10" i="39" s="1"/>
  <c r="P8" i="1"/>
  <c r="C13" i="12" s="1"/>
  <c r="AB10" i="40"/>
  <c r="J10" i="39"/>
  <c r="W10" i="39" s="1"/>
  <c r="K24" i="6"/>
  <c r="M24" i="6" s="1"/>
  <c r="I24" i="6" s="1"/>
  <c r="S24" i="6" s="1"/>
  <c r="K26" i="6"/>
  <c r="M26" i="6" s="1"/>
  <c r="I26" i="6" s="1"/>
  <c r="S26" i="6" s="1"/>
  <c r="C36" i="69"/>
  <c r="C49" i="83"/>
  <c r="Q74" i="83"/>
  <c r="J10" i="40"/>
  <c r="W10" i="40" s="1"/>
  <c r="G38" i="43"/>
  <c r="I38" i="43" s="1"/>
  <c r="F10" i="40"/>
  <c r="S10" i="40" s="1"/>
  <c r="H10" i="39"/>
  <c r="AB10" i="39" s="1"/>
  <c r="Q73" i="83"/>
  <c r="Q52" i="83"/>
  <c r="S7" i="35"/>
  <c r="W7" i="33"/>
  <c r="AC7" i="33"/>
  <c r="V48" i="33" s="1"/>
  <c r="I48" i="33" s="1"/>
  <c r="I52" i="33" s="1"/>
  <c r="J52" i="33" s="1"/>
  <c r="C53" i="83"/>
  <c r="C10" i="83"/>
  <c r="C5" i="83" s="1"/>
  <c r="J6" i="67"/>
  <c r="J5" i="67" s="1"/>
  <c r="C47" i="69"/>
  <c r="D45" i="69" s="1"/>
  <c r="F28" i="12"/>
  <c r="C29" i="12" s="1"/>
  <c r="D28" i="12" s="1"/>
  <c r="F27" i="68"/>
  <c r="C29" i="68" s="1"/>
  <c r="D27" i="68" s="1"/>
  <c r="F27" i="11"/>
  <c r="C29" i="11" s="1"/>
  <c r="D27" i="11" s="1"/>
  <c r="K20" i="6"/>
  <c r="M20" i="6" s="1"/>
  <c r="I20" i="6" s="1"/>
  <c r="S20" i="6" s="1"/>
  <c r="C49" i="79"/>
  <c r="J10" i="79"/>
  <c r="J5" i="79" s="1"/>
  <c r="J24" i="79" s="1"/>
  <c r="K22" i="6"/>
  <c r="M22" i="6" s="1"/>
  <c r="I22" i="6" s="1"/>
  <c r="S22" i="6" s="1"/>
  <c r="K25" i="6"/>
  <c r="M25" i="6" s="1"/>
  <c r="I25" i="6" s="1"/>
  <c r="S25" i="6" s="1"/>
  <c r="K23" i="6"/>
  <c r="M23" i="6" s="1"/>
  <c r="I23" i="6" s="1"/>
  <c r="S23" i="6" s="1"/>
  <c r="K21" i="6"/>
  <c r="M21" i="6" s="1"/>
  <c r="I21" i="6" s="1"/>
  <c r="S21" i="6" s="1"/>
  <c r="K19" i="6"/>
  <c r="S6" i="1" s="1"/>
  <c r="E6" i="70" s="1"/>
  <c r="Q73" i="79"/>
  <c r="Q60" i="79"/>
  <c r="Q74" i="79"/>
  <c r="Q61" i="79"/>
  <c r="Q52" i="79"/>
  <c r="F1" i="79"/>
  <c r="E406" i="3"/>
  <c r="E356" i="3"/>
  <c r="AY6" i="3"/>
  <c r="AY82" i="3" s="1"/>
  <c r="C53" i="79"/>
  <c r="C10" i="79"/>
  <c r="C5" i="79" s="1"/>
  <c r="E37" i="43"/>
  <c r="B40" i="1"/>
  <c r="E283" i="3"/>
  <c r="E257" i="3"/>
  <c r="E264" i="3"/>
  <c r="E222" i="3"/>
  <c r="E206" i="3"/>
  <c r="E119" i="3"/>
  <c r="E323" i="3"/>
  <c r="E275" i="3"/>
  <c r="E313" i="3"/>
  <c r="K16" i="1"/>
  <c r="E429" i="3"/>
  <c r="E351" i="3"/>
  <c r="E52" i="3"/>
  <c r="E326" i="3"/>
  <c r="E362" i="3"/>
  <c r="E288" i="3"/>
  <c r="E394" i="3"/>
  <c r="E82" i="3"/>
  <c r="E266" i="3"/>
  <c r="E392" i="3"/>
  <c r="E170" i="3"/>
  <c r="E36" i="3"/>
  <c r="Q6" i="3"/>
  <c r="E50" i="3"/>
  <c r="E473" i="3"/>
  <c r="E424" i="3"/>
  <c r="E113" i="3"/>
  <c r="E137" i="3"/>
  <c r="E146" i="3"/>
  <c r="E493" i="3"/>
  <c r="E475" i="3"/>
  <c r="E276" i="3"/>
  <c r="E75" i="3"/>
  <c r="E365" i="3"/>
  <c r="E562" i="3"/>
  <c r="E190" i="3"/>
  <c r="E580" i="3"/>
  <c r="E371" i="3"/>
  <c r="E263" i="3"/>
  <c r="E279" i="3"/>
  <c r="E301" i="3"/>
  <c r="E81" i="3"/>
  <c r="E111" i="3"/>
  <c r="E20" i="3"/>
  <c r="E455" i="3"/>
  <c r="E55" i="3"/>
  <c r="E373" i="3"/>
  <c r="E154" i="3"/>
  <c r="E147" i="3"/>
  <c r="E194" i="3"/>
  <c r="E14" i="3"/>
  <c r="E168" i="3"/>
  <c r="E83" i="3"/>
  <c r="E287" i="3"/>
  <c r="AF6" i="3"/>
  <c r="AQ6" i="3"/>
  <c r="E409" i="3"/>
  <c r="E214" i="3"/>
  <c r="E468" i="3"/>
  <c r="E402" i="3"/>
  <c r="E474" i="3"/>
  <c r="E537" i="3"/>
  <c r="E108" i="3"/>
  <c r="E242" i="3"/>
  <c r="E513" i="3"/>
  <c r="E357" i="3"/>
  <c r="E49" i="3"/>
  <c r="E472" i="3"/>
  <c r="E139" i="3"/>
  <c r="E488" i="3"/>
  <c r="E522" i="3"/>
  <c r="E524" i="3"/>
  <c r="E433" i="3"/>
  <c r="E184" i="3"/>
  <c r="E441" i="3"/>
  <c r="E460" i="3"/>
  <c r="E15" i="3"/>
  <c r="E496" i="3"/>
  <c r="E157" i="3"/>
  <c r="E22" i="3"/>
  <c r="E308" i="3"/>
  <c r="E158" i="3"/>
  <c r="E80" i="3"/>
  <c r="E251" i="3"/>
  <c r="E34" i="3"/>
  <c r="E299" i="3"/>
  <c r="E79" i="3"/>
  <c r="E74" i="3"/>
  <c r="E315" i="3"/>
  <c r="E171" i="3"/>
  <c r="E106" i="3"/>
  <c r="E587" i="3"/>
  <c r="E560" i="3"/>
  <c r="E99" i="3"/>
  <c r="E529" i="3"/>
  <c r="E438" i="3"/>
  <c r="W6" i="3"/>
  <c r="E471" i="3"/>
  <c r="E25" i="3"/>
  <c r="E178" i="3"/>
  <c r="E202" i="3"/>
  <c r="E226" i="3"/>
  <c r="E123" i="3"/>
  <c r="E31" i="3"/>
  <c r="E112" i="3"/>
  <c r="E437" i="3"/>
  <c r="E62" i="3"/>
  <c r="E100" i="3"/>
  <c r="E73" i="3"/>
  <c r="E573" i="3"/>
  <c r="E72" i="3"/>
  <c r="E332" i="3"/>
  <c r="E42" i="3"/>
  <c r="E18" i="3"/>
  <c r="E235" i="3"/>
  <c r="E309" i="3"/>
  <c r="E93" i="3"/>
  <c r="E232" i="3"/>
  <c r="E465" i="3"/>
  <c r="L6" i="3"/>
  <c r="E87" i="3"/>
  <c r="E208" i="3"/>
  <c r="E428" i="3"/>
  <c r="E63" i="3"/>
  <c r="E142" i="3"/>
  <c r="E41" i="3"/>
  <c r="E58" i="3"/>
  <c r="E398" i="3"/>
  <c r="E498" i="3"/>
  <c r="E245" i="3"/>
  <c r="E481" i="3"/>
  <c r="E289" i="3"/>
  <c r="E344" i="3"/>
  <c r="E19" i="3"/>
  <c r="E38" i="3"/>
  <c r="E54" i="3"/>
  <c r="E101" i="3"/>
  <c r="E218" i="3"/>
  <c r="E370" i="3"/>
  <c r="E325" i="3"/>
  <c r="E32" i="3"/>
  <c r="E256" i="3"/>
  <c r="E577" i="3"/>
  <c r="E350" i="3"/>
  <c r="E527" i="3"/>
  <c r="E450" i="3"/>
  <c r="E115" i="3"/>
  <c r="E281" i="3"/>
  <c r="E391" i="3"/>
  <c r="AL6" i="3"/>
  <c r="E94" i="3"/>
  <c r="E482" i="3"/>
  <c r="E78" i="3"/>
  <c r="E220" i="3"/>
  <c r="E383" i="3"/>
  <c r="E84" i="3"/>
  <c r="E219" i="3"/>
  <c r="E340" i="3"/>
  <c r="AE6" i="3"/>
  <c r="E176" i="3"/>
  <c r="E234" i="3"/>
  <c r="E203" i="3"/>
  <c r="E224" i="3"/>
  <c r="E243" i="3"/>
  <c r="E412" i="3"/>
  <c r="E24" i="3"/>
  <c r="E250" i="3"/>
  <c r="E118" i="3"/>
  <c r="E86" i="3"/>
  <c r="E225" i="3"/>
  <c r="E35" i="3"/>
  <c r="E381" i="3"/>
  <c r="E492" i="3"/>
  <c r="E249" i="3"/>
  <c r="E64" i="3"/>
  <c r="E44" i="3"/>
  <c r="E341" i="3"/>
  <c r="E47" i="3"/>
  <c r="E349" i="3"/>
  <c r="E566" i="3"/>
  <c r="E552" i="3"/>
  <c r="E427" i="3"/>
  <c r="E272" i="3"/>
  <c r="E384" i="3"/>
  <c r="E556" i="3"/>
  <c r="E457" i="3"/>
  <c r="E198" i="3"/>
  <c r="E333" i="3"/>
  <c r="E43" i="3"/>
  <c r="E129" i="3"/>
  <c r="E342" i="3"/>
  <c r="E48" i="3"/>
  <c r="E127" i="3"/>
  <c r="E284" i="3"/>
  <c r="E318" i="3"/>
  <c r="E179" i="3"/>
  <c r="E265" i="3"/>
  <c r="E274" i="3"/>
  <c r="E571" i="3"/>
  <c r="E372" i="3"/>
  <c r="E174" i="3"/>
  <c r="E33" i="3"/>
  <c r="E355" i="3"/>
  <c r="E68" i="3"/>
  <c r="E23" i="3"/>
  <c r="E310" i="3"/>
  <c r="E300" i="3"/>
  <c r="E267" i="3"/>
  <c r="E103" i="3"/>
  <c r="E425" i="3"/>
  <c r="E29" i="3"/>
  <c r="E102" i="3"/>
  <c r="E324" i="3"/>
  <c r="E584" i="3"/>
  <c r="E195" i="3"/>
  <c r="E540" i="3"/>
  <c r="E504" i="3"/>
  <c r="E292" i="3"/>
  <c r="E582" i="3"/>
  <c r="E459" i="3"/>
  <c r="E464" i="3"/>
  <c r="E133" i="3"/>
  <c r="E45" i="3"/>
  <c r="E440" i="3"/>
  <c r="E92" i="3"/>
  <c r="E59" i="3"/>
  <c r="E155" i="3"/>
  <c r="E233" i="3"/>
  <c r="E476" i="3"/>
  <c r="E393" i="3"/>
  <c r="E445" i="3"/>
  <c r="E236" i="3"/>
  <c r="E200" i="3"/>
  <c r="E160" i="3"/>
  <c r="E46" i="3"/>
  <c r="E467" i="3"/>
  <c r="E484" i="3"/>
  <c r="E480" i="3"/>
  <c r="E109" i="3"/>
  <c r="E339" i="3"/>
  <c r="E454" i="3"/>
  <c r="E60" i="3"/>
  <c r="E144" i="3"/>
  <c r="E51" i="3"/>
  <c r="E386" i="3"/>
  <c r="E248" i="3"/>
  <c r="E65" i="3"/>
  <c r="E521" i="3"/>
  <c r="E110" i="3"/>
  <c r="E544" i="3"/>
  <c r="E389" i="3"/>
  <c r="E363" i="3"/>
  <c r="E241" i="3"/>
  <c r="E413" i="3"/>
  <c r="E500" i="3"/>
  <c r="E374" i="3"/>
  <c r="E416" i="3"/>
  <c r="E487" i="3"/>
  <c r="E421" i="3"/>
  <c r="E542" i="3"/>
  <c r="E181" i="3"/>
  <c r="E549" i="3"/>
  <c r="E564" i="3"/>
  <c r="E507" i="3"/>
  <c r="E376" i="3"/>
  <c r="E463" i="3"/>
  <c r="E126" i="3"/>
  <c r="E377" i="3"/>
  <c r="E354" i="3"/>
  <c r="E131" i="3"/>
  <c r="E210" i="3"/>
  <c r="E98" i="3"/>
  <c r="E497" i="3"/>
  <c r="E414" i="3"/>
  <c r="E525" i="3"/>
  <c r="E400" i="3"/>
  <c r="E368" i="3"/>
  <c r="E434" i="3"/>
  <c r="E105" i="3"/>
  <c r="E177" i="3"/>
  <c r="E410" i="3"/>
  <c r="E30" i="6"/>
  <c r="E31" i="6" s="1"/>
  <c r="L19" i="6"/>
  <c r="L27" i="6" s="1"/>
  <c r="E375" i="3"/>
  <c r="E378" i="3"/>
  <c r="E348" i="3"/>
  <c r="E259" i="3"/>
  <c r="E297" i="3"/>
  <c r="E435" i="3"/>
  <c r="E517" i="3"/>
  <c r="E554" i="3"/>
  <c r="AP6" i="3"/>
  <c r="I3" i="6"/>
  <c r="E255" i="3"/>
  <c r="E449" i="3"/>
  <c r="E430" i="3"/>
  <c r="E541" i="3"/>
  <c r="E466" i="3"/>
  <c r="E442" i="3"/>
  <c r="E502" i="3"/>
  <c r="R6" i="3"/>
  <c r="K6" i="3"/>
  <c r="E277" i="3"/>
  <c r="E191" i="3"/>
  <c r="E423" i="3"/>
  <c r="E159" i="3"/>
  <c r="E519" i="3"/>
  <c r="E543" i="3"/>
  <c r="E486" i="3"/>
  <c r="E422" i="3"/>
  <c r="E490" i="3"/>
  <c r="AH6" i="3"/>
  <c r="E483" i="3"/>
  <c r="E27" i="3"/>
  <c r="E162" i="3"/>
  <c r="E186" i="3"/>
  <c r="E273" i="3"/>
  <c r="E572" i="3"/>
  <c r="E138" i="3"/>
  <c r="E67" i="3"/>
  <c r="E21" i="3"/>
  <c r="E187" i="3"/>
  <c r="E240" i="3"/>
  <c r="E331" i="3"/>
  <c r="E76" i="3"/>
  <c r="E307" i="3"/>
  <c r="E364" i="3"/>
  <c r="E405" i="3"/>
  <c r="E515" i="3"/>
  <c r="E505" i="3"/>
  <c r="E447" i="3"/>
  <c r="E223" i="3"/>
  <c r="E188" i="3"/>
  <c r="E491" i="3"/>
  <c r="E148" i="3"/>
  <c r="E565" i="3"/>
  <c r="E558" i="3"/>
  <c r="E151" i="3"/>
  <c r="E294" i="3"/>
  <c r="I6" i="3"/>
  <c r="E327" i="3"/>
  <c r="E305" i="3"/>
  <c r="J6" i="3"/>
  <c r="E419" i="3"/>
  <c r="E401" i="3"/>
  <c r="E40" i="3"/>
  <c r="E70" i="3"/>
  <c r="E121" i="3"/>
  <c r="E182" i="3"/>
  <c r="E166" i="3"/>
  <c r="E211" i="3"/>
  <c r="E295" i="3"/>
  <c r="E316" i="3"/>
  <c r="E334" i="3"/>
  <c r="E30" i="3"/>
  <c r="E446" i="3"/>
  <c r="E209" i="3"/>
  <c r="Y6" i="3"/>
  <c r="E346" i="3"/>
  <c r="E150" i="3"/>
  <c r="E95" i="3"/>
  <c r="E152" i="3"/>
  <c r="E132" i="3"/>
  <c r="E192" i="3"/>
  <c r="E258" i="3"/>
  <c r="E291" i="3"/>
  <c r="E317" i="3"/>
  <c r="AM6" i="3"/>
  <c r="E462" i="3"/>
  <c r="E163" i="3"/>
  <c r="E66" i="3"/>
  <c r="E96" i="3"/>
  <c r="E470" i="3"/>
  <c r="E408" i="3"/>
  <c r="E228" i="3"/>
  <c r="E330" i="3"/>
  <c r="E478" i="3"/>
  <c r="E477" i="3"/>
  <c r="AS6" i="3"/>
  <c r="E546" i="3"/>
  <c r="E71" i="3"/>
  <c r="E173" i="3"/>
  <c r="E104" i="3"/>
  <c r="T6" i="3"/>
  <c r="AO6" i="3"/>
  <c r="E557" i="3"/>
  <c r="E479" i="3"/>
  <c r="E85" i="3"/>
  <c r="E196" i="3"/>
  <c r="E237" i="3"/>
  <c r="E17" i="3"/>
  <c r="E456" i="3"/>
  <c r="E238" i="3"/>
  <c r="E516" i="3"/>
  <c r="E69" i="3"/>
  <c r="E511" i="3"/>
  <c r="E221" i="3"/>
  <c r="E353" i="3"/>
  <c r="E161" i="3"/>
  <c r="E338" i="3"/>
  <c r="E568" i="3"/>
  <c r="E286" i="3"/>
  <c r="E399" i="3"/>
  <c r="E458" i="3"/>
  <c r="E26" i="3"/>
  <c r="E494" i="3"/>
  <c r="E360" i="3"/>
  <c r="E469" i="3"/>
  <c r="E534" i="3"/>
  <c r="E578" i="3"/>
  <c r="E120" i="3"/>
  <c r="U6" i="3"/>
  <c r="E411" i="3"/>
  <c r="E548" i="3"/>
  <c r="E432" i="3"/>
  <c r="E367" i="3"/>
  <c r="E547" i="3"/>
  <c r="E403" i="3"/>
  <c r="E489" i="3"/>
  <c r="E404" i="3"/>
  <c r="E28" i="3"/>
  <c r="E88" i="3"/>
  <c r="E369" i="3"/>
  <c r="E197" i="3"/>
  <c r="E140" i="3"/>
  <c r="E452" i="3"/>
  <c r="E512" i="3"/>
  <c r="E303" i="3"/>
  <c r="E532" i="3"/>
  <c r="E485" i="3"/>
  <c r="E345" i="3"/>
  <c r="E531" i="3"/>
  <c r="E417" i="3"/>
  <c r="E56" i="3"/>
  <c r="E116" i="3"/>
  <c r="E122" i="3"/>
  <c r="E156" i="3"/>
  <c r="E244" i="3"/>
  <c r="E453" i="3"/>
  <c r="E304" i="3"/>
  <c r="E213" i="3"/>
  <c r="E302" i="3"/>
  <c r="E57" i="3"/>
  <c r="AG6" i="3"/>
  <c r="E436" i="3"/>
  <c r="E136" i="3"/>
  <c r="E361" i="3"/>
  <c r="E396" i="3"/>
  <c r="E518" i="3"/>
  <c r="E563" i="3"/>
  <c r="E359" i="3"/>
  <c r="E407" i="3"/>
  <c r="E130" i="3"/>
  <c r="E581" i="3"/>
  <c r="E261" i="3"/>
  <c r="E550" i="3"/>
  <c r="E231" i="3"/>
  <c r="E271" i="3"/>
  <c r="E415" i="3"/>
  <c r="E77" i="3"/>
  <c r="Z6" i="3"/>
  <c r="E141" i="3"/>
  <c r="E586" i="3"/>
  <c r="E530" i="3"/>
  <c r="E347" i="3"/>
  <c r="E124" i="3"/>
  <c r="E13" i="3"/>
  <c r="E382" i="3"/>
  <c r="P6" i="3"/>
  <c r="E444" i="3"/>
  <c r="E90" i="3"/>
  <c r="E269" i="3"/>
  <c r="E296" i="3"/>
  <c r="E528" i="3"/>
  <c r="E239" i="3"/>
  <c r="E569" i="3"/>
  <c r="E229" i="3"/>
  <c r="E385" i="3"/>
  <c r="AI6" i="3"/>
  <c r="E278" i="3"/>
  <c r="E172" i="3"/>
  <c r="O6" i="3"/>
  <c r="E97" i="3"/>
  <c r="AK6" i="3"/>
  <c r="E320" i="3"/>
  <c r="E230" i="3"/>
  <c r="E254" i="3"/>
  <c r="E193" i="3"/>
  <c r="E451" i="3"/>
  <c r="E89" i="3"/>
  <c r="E579" i="3"/>
  <c r="E114" i="3"/>
  <c r="E337" i="3"/>
  <c r="E439" i="3"/>
  <c r="E185" i="3"/>
  <c r="E207" i="3"/>
  <c r="E145" i="3"/>
  <c r="E431" i="3"/>
  <c r="E143" i="3"/>
  <c r="E61" i="3"/>
  <c r="E199" i="3"/>
  <c r="E576" i="3"/>
  <c r="E201" i="3"/>
  <c r="E290" i="3"/>
  <c r="AD6" i="3"/>
  <c r="E167" i="3"/>
  <c r="E499" i="3"/>
  <c r="E175" i="3"/>
  <c r="E343" i="3"/>
  <c r="E508" i="3"/>
  <c r="AA6" i="3"/>
  <c r="E280" i="3"/>
  <c r="E270" i="3"/>
  <c r="E535" i="3"/>
  <c r="E574" i="3"/>
  <c r="E285" i="3"/>
  <c r="E314" i="3"/>
  <c r="E16" i="3"/>
  <c r="AB6" i="3"/>
  <c r="E387" i="3"/>
  <c r="E335" i="3"/>
  <c r="E215" i="3"/>
  <c r="E189" i="3"/>
  <c r="E134" i="3"/>
  <c r="E91" i="3"/>
  <c r="E420" i="3"/>
  <c r="E448" i="3"/>
  <c r="E39" i="3"/>
  <c r="E443" i="3"/>
  <c r="E520" i="3"/>
  <c r="E262" i="3"/>
  <c r="E503" i="3"/>
  <c r="E247" i="3"/>
  <c r="AN6" i="3"/>
  <c r="E395" i="3"/>
  <c r="E555" i="3"/>
  <c r="E397" i="3"/>
  <c r="E538" i="3"/>
  <c r="E380" i="3"/>
  <c r="E216" i="3"/>
  <c r="E135" i="3"/>
  <c r="E117" i="3"/>
  <c r="E252" i="3"/>
  <c r="E204" i="3"/>
  <c r="E164" i="3"/>
  <c r="E183" i="3"/>
  <c r="E495" i="3"/>
  <c r="E388" i="3"/>
  <c r="E536" i="3"/>
  <c r="E298" i="3"/>
  <c r="E180" i="3"/>
  <c r="E253" i="3"/>
  <c r="E107" i="3"/>
  <c r="E379" i="3"/>
  <c r="E585" i="3"/>
  <c r="E306" i="3"/>
  <c r="E260" i="3"/>
  <c r="E321" i="3"/>
  <c r="E212" i="3"/>
  <c r="E312" i="3"/>
  <c r="E509" i="3"/>
  <c r="E169" i="3"/>
  <c r="E575" i="3"/>
  <c r="E149" i="3"/>
  <c r="E418" i="3"/>
  <c r="E53" i="3"/>
  <c r="E319" i="3"/>
  <c r="E501" i="3"/>
  <c r="E153" i="3"/>
  <c r="E426" i="3"/>
  <c r="E328" i="3"/>
  <c r="E583" i="3"/>
  <c r="X6" i="3"/>
  <c r="E336" i="3"/>
  <c r="E246" i="3"/>
  <c r="E293" i="3"/>
  <c r="E37" i="3"/>
  <c r="E125" i="3"/>
  <c r="E366" i="3"/>
  <c r="E553" i="3"/>
  <c r="E282" i="3"/>
  <c r="N6" i="3"/>
  <c r="E329" i="3"/>
  <c r="E545" i="3"/>
  <c r="E510" i="3"/>
  <c r="E352" i="3"/>
  <c r="E205" i="3"/>
  <c r="E128" i="3"/>
  <c r="E358" i="3"/>
  <c r="E514" i="3"/>
  <c r="E559" i="3"/>
  <c r="E570" i="3"/>
  <c r="E551" i="3"/>
  <c r="M6" i="3"/>
  <c r="V6" i="3"/>
  <c r="E217" i="3"/>
  <c r="E526" i="3"/>
  <c r="E268" i="3"/>
  <c r="E322" i="3"/>
  <c r="AJ6" i="3"/>
  <c r="E539" i="3"/>
  <c r="E567" i="3"/>
  <c r="E461" i="3"/>
  <c r="E227" i="3"/>
  <c r="E165" i="3"/>
  <c r="E311" i="3"/>
  <c r="E533" i="3"/>
  <c r="S6" i="3"/>
  <c r="AR6" i="3"/>
  <c r="E523" i="3"/>
  <c r="E561" i="3"/>
  <c r="E506" i="3"/>
  <c r="E66" i="39"/>
  <c r="M17" i="43"/>
  <c r="P17" i="43"/>
  <c r="N17" i="43"/>
  <c r="G39" i="43"/>
  <c r="I39" i="43" s="1"/>
  <c r="AB7" i="33"/>
  <c r="T48" i="33" s="1"/>
  <c r="G48" i="33" s="1"/>
  <c r="U7" i="33"/>
  <c r="S7" i="33"/>
  <c r="AA7" i="33"/>
  <c r="R48" i="33" s="1"/>
  <c r="V38" i="35"/>
  <c r="I38" i="35" s="1"/>
  <c r="I42" i="35" s="1"/>
  <c r="J42" i="35" s="1"/>
  <c r="J33" i="21"/>
  <c r="H33" i="21"/>
  <c r="M14" i="1"/>
  <c r="C34" i="69"/>
  <c r="D3" i="21"/>
  <c r="C115" i="43"/>
  <c r="D113" i="43" s="1"/>
  <c r="S5" i="43"/>
  <c r="T5" i="43" s="1"/>
  <c r="V5" i="43" s="1"/>
  <c r="C23" i="43"/>
  <c r="C21" i="43" s="1"/>
  <c r="E38" i="35"/>
  <c r="G53" i="34"/>
  <c r="H53" i="34" s="1"/>
  <c r="G54" i="34"/>
  <c r="H54" i="34" s="1"/>
  <c r="I53" i="34"/>
  <c r="J53" i="34" s="1"/>
  <c r="H46" i="36"/>
  <c r="S7" i="34"/>
  <c r="AA7" i="34"/>
  <c r="R49" i="34" s="1"/>
  <c r="E70" i="39"/>
  <c r="AB7" i="35"/>
  <c r="T38" i="35" s="1"/>
  <c r="G38" i="35" s="1"/>
  <c r="U7" i="35"/>
  <c r="E65" i="40"/>
  <c r="F63" i="40"/>
  <c r="G52" i="37"/>
  <c r="H52" i="37" s="1"/>
  <c r="I52" i="37" s="1"/>
  <c r="J52" i="37" s="1"/>
  <c r="K52" i="37" s="1"/>
  <c r="L52" i="37" s="1"/>
  <c r="M52" i="37" s="1"/>
  <c r="N52" i="37" s="1"/>
  <c r="O52" i="37" s="1"/>
  <c r="C10" i="67"/>
  <c r="C5" i="67" s="1"/>
  <c r="C53" i="67"/>
  <c r="AE8" i="1"/>
  <c r="AE13" i="1"/>
  <c r="AE10" i="1"/>
  <c r="AE6" i="1"/>
  <c r="F41" i="83" s="1"/>
  <c r="D19" i="11" l="1"/>
  <c r="C19" i="11" s="1"/>
  <c r="C20" i="11" s="1"/>
  <c r="E6" i="6"/>
  <c r="S4" i="43"/>
  <c r="T4" i="43" s="1"/>
  <c r="V4" i="43" s="1"/>
  <c r="S6" i="43"/>
  <c r="T6" i="43" s="1"/>
  <c r="V6" i="43" s="1"/>
  <c r="S3" i="43"/>
  <c r="T3" i="43" s="1"/>
  <c r="V3" i="43" s="1"/>
  <c r="L18" i="9"/>
  <c r="D14" i="12"/>
  <c r="D17" i="12" s="1"/>
  <c r="C17" i="12" s="1"/>
  <c r="C48" i="67"/>
  <c r="C66" i="67" s="1"/>
  <c r="C17" i="4"/>
  <c r="B4" i="52" s="1"/>
  <c r="B43" i="72" s="1"/>
  <c r="D37" i="11"/>
  <c r="S8" i="1"/>
  <c r="AQ8" i="1" s="1"/>
  <c r="S7" i="43"/>
  <c r="T7" i="43" s="1"/>
  <c r="V7" i="43" s="1"/>
  <c r="S2" i="43"/>
  <c r="T2" i="43" s="1"/>
  <c r="V2" i="43" s="1"/>
  <c r="T6" i="1"/>
  <c r="AA10" i="40"/>
  <c r="AC10" i="39"/>
  <c r="AA10" i="39"/>
  <c r="AY113" i="3"/>
  <c r="AY256" i="3"/>
  <c r="AY550" i="3"/>
  <c r="AY273" i="3"/>
  <c r="AY512" i="3"/>
  <c r="AY265" i="3"/>
  <c r="AY415" i="3"/>
  <c r="AY64" i="3"/>
  <c r="AY324" i="3"/>
  <c r="AY373" i="3"/>
  <c r="AY51" i="3"/>
  <c r="AY351" i="3"/>
  <c r="AY54" i="3"/>
  <c r="AY110" i="3"/>
  <c r="BN6" i="3"/>
  <c r="AY260" i="3"/>
  <c r="AY426" i="3"/>
  <c r="AY145" i="3"/>
  <c r="AY66" i="3"/>
  <c r="AY505" i="3"/>
  <c r="AY448" i="3"/>
  <c r="AY128" i="3"/>
  <c r="AY558" i="3"/>
  <c r="AY151" i="3"/>
  <c r="AY476" i="3"/>
  <c r="AY523" i="3"/>
  <c r="AY309" i="3"/>
  <c r="AY134" i="3"/>
  <c r="AY567" i="3"/>
  <c r="AY386" i="3"/>
  <c r="AY71" i="3"/>
  <c r="AY537" i="3"/>
  <c r="AY525" i="3"/>
  <c r="AY232" i="3"/>
  <c r="AY468" i="3"/>
  <c r="AY202" i="3"/>
  <c r="AY425" i="3"/>
  <c r="AY86" i="3"/>
  <c r="AY26" i="3"/>
  <c r="AY411" i="3"/>
  <c r="BC6" i="3"/>
  <c r="AY459" i="3"/>
  <c r="AY148" i="3"/>
  <c r="AY437" i="3"/>
  <c r="AY19" i="3"/>
  <c r="AY479" i="3"/>
  <c r="AY543" i="3"/>
  <c r="AY341" i="3"/>
  <c r="AY173" i="3"/>
  <c r="AY566" i="3"/>
  <c r="AY208" i="3"/>
  <c r="AY568" i="3"/>
  <c r="AY399" i="3"/>
  <c r="AY454" i="3"/>
  <c r="AY249" i="3"/>
  <c r="AY364" i="3"/>
  <c r="AY365" i="3"/>
  <c r="AY350" i="3"/>
  <c r="AY504" i="3"/>
  <c r="AY362" i="3"/>
  <c r="AY72" i="3"/>
  <c r="AY565" i="3"/>
  <c r="AY21" i="3"/>
  <c r="AY198" i="3"/>
  <c r="AY338" i="3"/>
  <c r="AY179" i="3"/>
  <c r="AY456" i="3"/>
  <c r="AY79" i="3"/>
  <c r="AY305" i="3"/>
  <c r="AY552" i="3"/>
  <c r="AY258" i="3"/>
  <c r="AY193" i="3"/>
  <c r="AY15" i="3"/>
  <c r="AY257" i="3"/>
  <c r="AY547" i="3"/>
  <c r="AY461" i="3"/>
  <c r="AY340" i="3"/>
  <c r="AY156" i="3"/>
  <c r="AY234" i="3"/>
  <c r="AY544" i="3"/>
  <c r="AY31" i="3"/>
  <c r="AY376" i="3"/>
  <c r="AY236" i="3"/>
  <c r="AY140" i="3"/>
  <c r="AY472" i="3"/>
  <c r="AC10" i="40"/>
  <c r="AY323" i="3"/>
  <c r="AY38" i="3"/>
  <c r="AY466" i="3"/>
  <c r="BP6" i="3"/>
  <c r="AY361" i="3"/>
  <c r="AY536" i="3"/>
  <c r="AY275" i="3"/>
  <c r="AY533" i="3"/>
  <c r="AY521" i="3"/>
  <c r="AY293" i="3"/>
  <c r="AY485" i="3"/>
  <c r="AY321" i="3"/>
  <c r="AY279" i="3"/>
  <c r="AY99" i="3"/>
  <c r="AY101" i="3"/>
  <c r="AY303" i="3"/>
  <c r="AY224" i="3"/>
  <c r="AY538" i="3"/>
  <c r="AY406" i="3"/>
  <c r="AY474" i="3"/>
  <c r="AY164" i="3"/>
  <c r="AY359" i="3"/>
  <c r="AY205" i="3"/>
  <c r="AY141" i="3"/>
  <c r="AY76" i="3"/>
  <c r="BL6" i="3"/>
  <c r="AY438" i="3"/>
  <c r="AY507" i="3"/>
  <c r="AY322" i="3"/>
  <c r="AY195" i="3"/>
  <c r="AY49" i="3"/>
  <c r="AY439" i="3"/>
  <c r="AY276" i="3"/>
  <c r="AY586" i="3"/>
  <c r="AY354" i="3"/>
  <c r="AY55" i="3"/>
  <c r="AY331" i="3"/>
  <c r="AY551" i="3"/>
  <c r="AY267" i="3"/>
  <c r="AY503" i="3"/>
  <c r="AY181" i="3"/>
  <c r="AY420" i="3"/>
  <c r="AY443" i="3"/>
  <c r="AY136" i="3"/>
  <c r="AY315" i="3"/>
  <c r="AY122" i="3"/>
  <c r="AY40" i="3"/>
  <c r="AY570" i="3"/>
  <c r="AY571" i="3"/>
  <c r="AY262" i="3"/>
  <c r="D3" i="34"/>
  <c r="AY490" i="3"/>
  <c r="AY277" i="3"/>
  <c r="AY587" i="3"/>
  <c r="AY469" i="3"/>
  <c r="AY62" i="3"/>
  <c r="AY445" i="3"/>
  <c r="AY153" i="3"/>
  <c r="AY580" i="3"/>
  <c r="AY215" i="3"/>
  <c r="AY270" i="3"/>
  <c r="AY473" i="3"/>
  <c r="AY432" i="3"/>
  <c r="AY240" i="3"/>
  <c r="AY39" i="3"/>
  <c r="AY296" i="3"/>
  <c r="AY385" i="3"/>
  <c r="AY467" i="3"/>
  <c r="AY42" i="3"/>
  <c r="AY524" i="3"/>
  <c r="AY494" i="3"/>
  <c r="AY117" i="3"/>
  <c r="AY562" i="3"/>
  <c r="BD6" i="3"/>
  <c r="AY213" i="3"/>
  <c r="AY184" i="3"/>
  <c r="AY405" i="3"/>
  <c r="AY248" i="3"/>
  <c r="AY515" i="3"/>
  <c r="AY337" i="3"/>
  <c r="AY532" i="3"/>
  <c r="AY449" i="3"/>
  <c r="AY29" i="3"/>
  <c r="AY84" i="3"/>
  <c r="BT6" i="3"/>
  <c r="AY307" i="3"/>
  <c r="AY175" i="3"/>
  <c r="AY500" i="3"/>
  <c r="AY564" i="3"/>
  <c r="AY518" i="3"/>
  <c r="BB6" i="3"/>
  <c r="AY46" i="3"/>
  <c r="AY312" i="3"/>
  <c r="AY333" i="3"/>
  <c r="AY125" i="3"/>
  <c r="M18" i="9"/>
  <c r="B118" i="9" s="1"/>
  <c r="B14" i="74" s="1"/>
  <c r="B1" i="74" s="1"/>
  <c r="C7" i="74" s="1"/>
  <c r="AY511" i="3"/>
  <c r="AY306" i="3"/>
  <c r="AY241" i="3"/>
  <c r="AY27" i="3"/>
  <c r="AY560" i="3"/>
  <c r="AY346" i="3"/>
  <c r="AY172" i="3"/>
  <c r="AY522" i="3"/>
  <c r="AY320" i="3"/>
  <c r="AY174" i="3"/>
  <c r="AY520" i="3"/>
  <c r="AY480" i="3"/>
  <c r="AY161" i="3"/>
  <c r="AY286" i="3"/>
  <c r="AY372" i="3"/>
  <c r="AY583" i="3"/>
  <c r="AY477" i="3"/>
  <c r="AY272" i="3"/>
  <c r="AY200" i="3"/>
  <c r="AY451" i="3"/>
  <c r="AY548" i="3"/>
  <c r="AY235" i="3"/>
  <c r="AY435" i="3"/>
  <c r="AY384" i="3"/>
  <c r="AY285" i="3"/>
  <c r="AY14" i="3"/>
  <c r="AY48" i="3"/>
  <c r="AY259" i="3"/>
  <c r="AY374" i="3"/>
  <c r="AY244" i="3"/>
  <c r="C28" i="11"/>
  <c r="C27" i="11" s="1"/>
  <c r="D3" i="37"/>
  <c r="D3" i="33"/>
  <c r="AY429" i="3"/>
  <c r="AY391" i="3"/>
  <c r="AY159" i="3"/>
  <c r="AY91" i="3"/>
  <c r="AY424" i="3"/>
  <c r="AY394" i="3"/>
  <c r="AY493" i="3"/>
  <c r="AY402" i="3"/>
  <c r="AY250" i="3"/>
  <c r="AY496" i="3"/>
  <c r="AY419" i="3"/>
  <c r="AY370" i="3"/>
  <c r="AY88" i="3"/>
  <c r="AY20" i="3"/>
  <c r="AY281" i="3"/>
  <c r="AY400" i="3"/>
  <c r="AY375" i="3"/>
  <c r="AY143" i="3"/>
  <c r="AY107" i="3"/>
  <c r="AY216" i="3"/>
  <c r="AY418" i="3"/>
  <c r="AY577" i="3"/>
  <c r="AY226" i="3"/>
  <c r="AY366" i="3"/>
  <c r="AY578" i="3"/>
  <c r="AY471" i="3"/>
  <c r="AY585" i="3"/>
  <c r="AY254" i="3"/>
  <c r="AY541" i="3"/>
  <c r="AY498" i="3"/>
  <c r="AY416" i="3"/>
  <c r="AY367" i="3"/>
  <c r="AY119" i="3"/>
  <c r="AY70" i="3"/>
  <c r="AY517" i="3"/>
  <c r="AY314" i="3"/>
  <c r="AY301" i="3"/>
  <c r="AY545" i="3"/>
  <c r="AY434" i="3"/>
  <c r="AY396" i="3"/>
  <c r="AY81" i="3"/>
  <c r="AY572" i="3"/>
  <c r="AY483" i="3"/>
  <c r="AY121" i="3"/>
  <c r="AY227" i="3"/>
  <c r="AY100" i="3"/>
  <c r="AY124" i="3"/>
  <c r="AY413" i="3"/>
  <c r="AY339" i="3"/>
  <c r="AY288" i="3"/>
  <c r="AY22" i="3"/>
  <c r="AY408" i="3"/>
  <c r="AY30" i="3"/>
  <c r="AY304" i="3"/>
  <c r="AY508" i="3"/>
  <c r="AY356" i="3"/>
  <c r="AY69" i="3"/>
  <c r="AY192" i="3"/>
  <c r="AY407" i="3"/>
  <c r="AY287" i="3"/>
  <c r="AY316" i="3"/>
  <c r="AY68" i="3"/>
  <c r="AY358" i="3"/>
  <c r="AY191" i="3"/>
  <c r="AY255" i="3"/>
  <c r="AY378" i="3"/>
  <c r="AY63" i="3"/>
  <c r="AY506" i="3"/>
  <c r="AY344" i="3"/>
  <c r="BG6" i="3"/>
  <c r="AY388" i="3"/>
  <c r="AY178" i="3"/>
  <c r="AY185" i="3"/>
  <c r="AY481" i="3"/>
  <c r="U10" i="39"/>
  <c r="AY150" i="3"/>
  <c r="AY549" i="3"/>
  <c r="AY135" i="3"/>
  <c r="AY542" i="3"/>
  <c r="AY458" i="3"/>
  <c r="AY158" i="3"/>
  <c r="AY430" i="3"/>
  <c r="AY73" i="3"/>
  <c r="AY87" i="3"/>
  <c r="AY470" i="3"/>
  <c r="AY147" i="3"/>
  <c r="C48" i="83"/>
  <c r="C60" i="83" s="1"/>
  <c r="J18" i="83"/>
  <c r="J24" i="83"/>
  <c r="S13" i="1"/>
  <c r="E13" i="70" s="1"/>
  <c r="S11" i="1"/>
  <c r="E11" i="70" s="1"/>
  <c r="C47" i="68"/>
  <c r="D45" i="68" s="1"/>
  <c r="F69" i="83"/>
  <c r="J29" i="83"/>
  <c r="C47" i="11"/>
  <c r="D45" i="11" s="1"/>
  <c r="F24" i="79"/>
  <c r="C24" i="79" s="1"/>
  <c r="F24" i="83"/>
  <c r="C38" i="83"/>
  <c r="C33" i="83"/>
  <c r="C32" i="83"/>
  <c r="J24" i="67"/>
  <c r="J18" i="67"/>
  <c r="J26" i="67"/>
  <c r="S9" i="1"/>
  <c r="T9" i="1" s="1"/>
  <c r="S12" i="1"/>
  <c r="E12" i="70" s="1"/>
  <c r="S10" i="1"/>
  <c r="E10" i="70" s="1"/>
  <c r="S7" i="1"/>
  <c r="AR6" i="1"/>
  <c r="M19" i="6"/>
  <c r="M27" i="6" s="1"/>
  <c r="AQ6" i="1"/>
  <c r="AY329" i="3"/>
  <c r="AY380" i="3"/>
  <c r="AY251" i="3"/>
  <c r="AY137" i="3"/>
  <c r="AY194" i="3"/>
  <c r="AY65" i="3"/>
  <c r="AY582" i="3"/>
  <c r="AY501" i="3"/>
  <c r="AY495" i="3"/>
  <c r="AY534" i="3"/>
  <c r="BQ6" i="3"/>
  <c r="AY398" i="3"/>
  <c r="AY462" i="3"/>
  <c r="AY475" i="3"/>
  <c r="AY348" i="3"/>
  <c r="AY353" i="3"/>
  <c r="AY242" i="3"/>
  <c r="AY295" i="3"/>
  <c r="AY166" i="3"/>
  <c r="AY56" i="3"/>
  <c r="BI6" i="3"/>
  <c r="AY211" i="3"/>
  <c r="AY271" i="3"/>
  <c r="AY157" i="3"/>
  <c r="AY25" i="3"/>
  <c r="AY85" i="3"/>
  <c r="AY217" i="3"/>
  <c r="AY152" i="3"/>
  <c r="BH6" i="3"/>
  <c r="AY219" i="3"/>
  <c r="AY278" i="3"/>
  <c r="AY165" i="3"/>
  <c r="AY33" i="3"/>
  <c r="AY92" i="3"/>
  <c r="AY433" i="3"/>
  <c r="AY180" i="3"/>
  <c r="AY225" i="3"/>
  <c r="AY115" i="3"/>
  <c r="BO6" i="3"/>
  <c r="AY404" i="3"/>
  <c r="AY355" i="3"/>
  <c r="AY199" i="3"/>
  <c r="AY486" i="3"/>
  <c r="AY220" i="3"/>
  <c r="AY292" i="3"/>
  <c r="AY132"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83" i="3"/>
  <c r="AY23" i="3"/>
  <c r="AY155" i="3"/>
  <c r="AY59" i="3"/>
  <c r="AY131" i="3"/>
  <c r="AY58" i="3"/>
  <c r="AY268" i="3"/>
  <c r="AY371" i="3"/>
  <c r="AY318" i="3"/>
  <c r="AY428" i="3"/>
  <c r="AY106" i="3"/>
  <c r="AY245" i="3"/>
  <c r="AY395" i="3"/>
  <c r="AY342" i="3"/>
  <c r="AY452" i="3"/>
  <c r="AY513" i="3"/>
  <c r="AY569"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34" i="3"/>
  <c r="AY95" i="3"/>
  <c r="AY111" i="3"/>
  <c r="AY382" i="3"/>
  <c r="AY460" i="3"/>
  <c r="AY300" i="3"/>
  <c r="AY327" i="3"/>
  <c r="AY401" i="3"/>
  <c r="BE6" i="3"/>
  <c r="AY98" i="3"/>
  <c r="AY18" i="3"/>
  <c r="AY171" i="3"/>
  <c r="AY90" i="3"/>
  <c r="AY163" i="3"/>
  <c r="AY75" i="3"/>
  <c r="AY237" i="3"/>
  <c r="AY387" i="3"/>
  <c r="AY334" i="3"/>
  <c r="AY444" i="3"/>
  <c r="AY526" i="3"/>
  <c r="AY269" i="3"/>
  <c r="AY390" i="3"/>
  <c r="AY311" i="3"/>
  <c r="AY447" i="3"/>
  <c r="AY535" i="3"/>
  <c r="AY574" i="3"/>
  <c r="AY555" i="3"/>
  <c r="AY176" i="3"/>
  <c r="AY188" i="3"/>
  <c r="AY297" i="3"/>
  <c r="AY335" i="3"/>
  <c r="AY409" i="3"/>
  <c r="AY228" i="3"/>
  <c r="AY465" i="3"/>
  <c r="BK6" i="3"/>
  <c r="AY97" i="3"/>
  <c r="AY61" i="3"/>
  <c r="AY44" i="3"/>
  <c r="AY190" i="3"/>
  <c r="AY154" i="3"/>
  <c r="AY133" i="3"/>
  <c r="AY283" i="3"/>
  <c r="AY247" i="3"/>
  <c r="AY230" i="3"/>
  <c r="AY397" i="3"/>
  <c r="AY360" i="3"/>
  <c r="AY109" i="3"/>
  <c r="AY144" i="3"/>
  <c r="AY253" i="3"/>
  <c r="AY529" i="3"/>
  <c r="AY463" i="3"/>
  <c r="AY89" i="3"/>
  <c r="AY53" i="3"/>
  <c r="AY36" i="3"/>
  <c r="AY182" i="3"/>
  <c r="AY146" i="3"/>
  <c r="AY126" i="3"/>
  <c r="AY302" i="3"/>
  <c r="AY239" i="3"/>
  <c r="AY222" i="3"/>
  <c r="AY389" i="3"/>
  <c r="BS6" i="3"/>
  <c r="AY93"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M19" i="9" s="1"/>
  <c r="C118" i="9" s="1"/>
  <c r="C14" i="74" s="1"/>
  <c r="B2" i="74" s="1"/>
  <c r="AY502" i="3"/>
  <c r="AY509" i="3"/>
  <c r="BR6" i="3"/>
  <c r="AY531" i="3"/>
  <c r="BA6" i="3"/>
  <c r="AY94" i="3"/>
  <c r="AY78" i="3"/>
  <c r="AY35" i="3"/>
  <c r="AY187" i="3"/>
  <c r="AY167" i="3"/>
  <c r="AY127" i="3"/>
  <c r="AY280" i="3"/>
  <c r="AY264" i="3"/>
  <c r="AY221" i="3"/>
  <c r="AY207" i="3"/>
  <c r="AY168" i="3"/>
  <c r="AY441" i="3"/>
  <c r="AY310" i="3"/>
  <c r="AY105" i="3"/>
  <c r="AY52" i="3"/>
  <c r="AY162" i="3"/>
  <c r="AY291" i="3"/>
  <c r="AY238" i="3"/>
  <c r="AY368"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AY575" i="3"/>
  <c r="AY530" i="3"/>
  <c r="AY563" i="3"/>
  <c r="AY47" i="3"/>
  <c r="AY203" i="3"/>
  <c r="AY120" i="3"/>
  <c r="AY233" i="3"/>
  <c r="AY383" i="3"/>
  <c r="AY347" i="3"/>
  <c r="AY330" i="3"/>
  <c r="AY482" i="3"/>
  <c r="AY440" i="3"/>
  <c r="AY421" i="3"/>
  <c r="AY13" i="3"/>
  <c r="AY528" i="3"/>
  <c r="AY576" i="3"/>
  <c r="AY102" i="3"/>
  <c r="J26" i="79"/>
  <c r="J18" i="79"/>
  <c r="C48" i="79"/>
  <c r="C60" i="79" s="1"/>
  <c r="K27" i="6"/>
  <c r="E8" i="70"/>
  <c r="F22" i="69"/>
  <c r="C26" i="69" s="1"/>
  <c r="D22" i="69" s="1"/>
  <c r="F24" i="67"/>
  <c r="C24" i="67" s="1"/>
  <c r="F22" i="11"/>
  <c r="C24" i="11" s="1"/>
  <c r="F22" i="68"/>
  <c r="C26" i="68" s="1"/>
  <c r="D22" i="68" s="1"/>
  <c r="F25" i="12"/>
  <c r="C26" i="12" s="1"/>
  <c r="D25" i="12" s="1"/>
  <c r="C38" i="79"/>
  <c r="C33" i="79"/>
  <c r="C32" i="79"/>
  <c r="F7" i="37"/>
  <c r="S7" i="37" s="1"/>
  <c r="I43" i="35"/>
  <c r="J43" i="35" s="1"/>
  <c r="H6" i="3"/>
  <c r="AC6" i="3"/>
  <c r="E48" i="33"/>
  <c r="R49" i="33"/>
  <c r="G52" i="33"/>
  <c r="H52" i="33" s="1"/>
  <c r="G53" i="33"/>
  <c r="H53" i="33" s="1"/>
  <c r="R39" i="35"/>
  <c r="C39" i="35" s="1"/>
  <c r="B2" i="35" s="1"/>
  <c r="S33" i="21"/>
  <c r="AA33" i="21"/>
  <c r="AR8" i="1"/>
  <c r="AB33" i="21"/>
  <c r="U33" i="21"/>
  <c r="AC33" i="21"/>
  <c r="W33" i="21"/>
  <c r="C38" i="69"/>
  <c r="C35" i="69"/>
  <c r="O14" i="1"/>
  <c r="O16" i="1" s="1"/>
  <c r="M16" i="1"/>
  <c r="N16" i="1" s="1"/>
  <c r="D10" i="11"/>
  <c r="C10" i="11" s="1"/>
  <c r="D10" i="68"/>
  <c r="D20" i="12"/>
  <c r="C20" i="12" s="1"/>
  <c r="D10" i="69"/>
  <c r="C29" i="43"/>
  <c r="H7" i="37"/>
  <c r="G63" i="40"/>
  <c r="F65" i="40"/>
  <c r="I46" i="36"/>
  <c r="E43" i="35"/>
  <c r="F43" i="35" s="1"/>
  <c r="E42" i="35"/>
  <c r="F42" i="35" s="1"/>
  <c r="J7" i="37"/>
  <c r="G43" i="35"/>
  <c r="H43" i="35" s="1"/>
  <c r="G42" i="35"/>
  <c r="H42" i="35" s="1"/>
  <c r="F70" i="39"/>
  <c r="E49" i="34"/>
  <c r="R50" i="34"/>
  <c r="C32" i="67"/>
  <c r="C38" i="67"/>
  <c r="F41" i="79"/>
  <c r="F41" i="67"/>
  <c r="C17" i="79"/>
  <c r="C17" i="67"/>
  <c r="C14" i="67"/>
  <c r="C17" i="83"/>
  <c r="F69" i="67" l="1"/>
  <c r="J29" i="67"/>
  <c r="T8" i="1"/>
  <c r="C60" i="67"/>
  <c r="T10" i="1"/>
  <c r="C8" i="74"/>
  <c r="C18" i="67"/>
  <c r="C15" i="67"/>
  <c r="AQ13" i="1"/>
  <c r="T13" i="1"/>
  <c r="AR9" i="1"/>
  <c r="AR13" i="1"/>
  <c r="T11" i="1"/>
  <c r="AR12" i="1"/>
  <c r="D28" i="6"/>
  <c r="D22" i="6"/>
  <c r="AR11" i="1"/>
  <c r="D6" i="6"/>
  <c r="AQ11" i="1"/>
  <c r="C66" i="83"/>
  <c r="I19" i="6"/>
  <c r="H19" i="6" s="1"/>
  <c r="F69" i="79"/>
  <c r="J29" i="79"/>
  <c r="H23" i="6"/>
  <c r="D5" i="6"/>
  <c r="D29" i="6"/>
  <c r="C18" i="4"/>
  <c r="C4" i="52" s="1"/>
  <c r="B45" i="72" s="1"/>
  <c r="H24" i="6"/>
  <c r="H25" i="6"/>
  <c r="D11" i="6"/>
  <c r="D24" i="6"/>
  <c r="D25" i="6"/>
  <c r="D10" i="6"/>
  <c r="D23" i="6"/>
  <c r="D19" i="6"/>
  <c r="H20" i="6"/>
  <c r="H22" i="6"/>
  <c r="H26" i="6"/>
  <c r="E61" i="40"/>
  <c r="D13" i="6"/>
  <c r="D12" i="6"/>
  <c r="D20" i="6"/>
  <c r="D21" i="6"/>
  <c r="D15" i="6"/>
  <c r="H21" i="6"/>
  <c r="L19" i="9"/>
  <c r="D9" i="6"/>
  <c r="D14" i="6"/>
  <c r="D8" i="6"/>
  <c r="D26" i="6"/>
  <c r="AQ12" i="1"/>
  <c r="S16" i="1"/>
  <c r="AA7" i="37"/>
  <c r="R42" i="37" s="1"/>
  <c r="R43" i="37" s="1"/>
  <c r="AR10" i="1"/>
  <c r="T12" i="1"/>
  <c r="C24" i="83"/>
  <c r="AQ10" i="1"/>
  <c r="AQ9" i="1"/>
  <c r="E7" i="70"/>
  <c r="E2" i="70" s="1"/>
  <c r="AR7" i="1"/>
  <c r="AQ7" i="1"/>
  <c r="T7" i="1"/>
  <c r="C66" i="79"/>
  <c r="C26" i="11"/>
  <c r="D22" i="11" s="1"/>
  <c r="C44" i="68"/>
  <c r="D41" i="68" s="1"/>
  <c r="C44" i="69"/>
  <c r="D41" i="69" s="1"/>
  <c r="C44" i="11"/>
  <c r="D41" i="11" s="1"/>
  <c r="C23" i="11"/>
  <c r="C25" i="11"/>
  <c r="E6" i="3"/>
  <c r="E52" i="33"/>
  <c r="F52" i="33" s="1"/>
  <c r="E53" i="33"/>
  <c r="F53" i="33" s="1"/>
  <c r="I53" i="33"/>
  <c r="J53" i="33" s="1"/>
  <c r="C49" i="33"/>
  <c r="B2" i="33" s="1"/>
  <c r="B3" i="33" s="1"/>
  <c r="C48" i="33"/>
  <c r="C38" i="35"/>
  <c r="B3" i="35"/>
  <c r="F34" i="11"/>
  <c r="C34" i="11" s="1"/>
  <c r="F34" i="68"/>
  <c r="C36" i="68" s="1"/>
  <c r="F11" i="12"/>
  <c r="P14" i="1"/>
  <c r="P16" i="1" s="1"/>
  <c r="C11" i="12" s="1"/>
  <c r="C12" i="12" s="1"/>
  <c r="F50" i="68"/>
  <c r="F50" i="69"/>
  <c r="F50" i="11"/>
  <c r="L16" i="1"/>
  <c r="D19" i="69"/>
  <c r="C10" i="69"/>
  <c r="C8" i="69" s="1"/>
  <c r="C5" i="69" s="1"/>
  <c r="C10" i="68"/>
  <c r="C8" i="68" s="1"/>
  <c r="D19" i="68"/>
  <c r="D8" i="74"/>
  <c r="D7" i="74"/>
  <c r="E29" i="43"/>
  <c r="C26" i="43" s="1"/>
  <c r="C30" i="43"/>
  <c r="E30" i="43" s="1"/>
  <c r="C27" i="43" s="1"/>
  <c r="G70" i="39"/>
  <c r="C49" i="34"/>
  <c r="C50" i="34"/>
  <c r="B2" i="34" s="1"/>
  <c r="B3" i="34" s="1"/>
  <c r="J46" i="36"/>
  <c r="U7" i="37"/>
  <c r="AB7" i="37"/>
  <c r="T42" i="37" s="1"/>
  <c r="G42" i="37" s="1"/>
  <c r="E54" i="34"/>
  <c r="F54" i="34" s="1"/>
  <c r="E53" i="34"/>
  <c r="F53" i="34" s="1"/>
  <c r="I54" i="34"/>
  <c r="J54" i="34" s="1"/>
  <c r="AC7" i="37"/>
  <c r="V42" i="37" s="1"/>
  <c r="I42" i="37" s="1"/>
  <c r="W7" i="37"/>
  <c r="H63" i="40"/>
  <c r="G65" i="40"/>
  <c r="C14" i="83"/>
  <c r="C14" i="79"/>
  <c r="E6" i="76"/>
  <c r="H27" i="6" l="1"/>
  <c r="R25" i="6"/>
  <c r="D30" i="6"/>
  <c r="E42" i="37"/>
  <c r="C19" i="67"/>
  <c r="C20" i="67" s="1"/>
  <c r="C23" i="67" s="1"/>
  <c r="C18" i="79"/>
  <c r="C15" i="79"/>
  <c r="D16" i="6"/>
  <c r="D27" i="6"/>
  <c r="S19" i="6"/>
  <c r="S27" i="6" s="1"/>
  <c r="I27" i="6"/>
  <c r="R26" i="6"/>
  <c r="A10" i="51"/>
  <c r="B9" i="72" s="1"/>
  <c r="R21" i="6"/>
  <c r="R19" i="6"/>
  <c r="A7" i="51"/>
  <c r="B7" i="72" s="1"/>
  <c r="R22" i="6"/>
  <c r="T16" i="1"/>
  <c r="D31" i="6"/>
  <c r="I5" i="6" s="1"/>
  <c r="R23" i="6"/>
  <c r="R24" i="6"/>
  <c r="R20" i="6"/>
  <c r="R12" i="1" s="1"/>
  <c r="C15" i="83"/>
  <c r="C18" i="83"/>
  <c r="C15" i="12"/>
  <c r="C34" i="68"/>
  <c r="C38" i="68" s="1"/>
  <c r="C22" i="11"/>
  <c r="C31" i="11" s="1"/>
  <c r="C14" i="12"/>
  <c r="C36" i="11"/>
  <c r="C37" i="11"/>
  <c r="C18" i="12"/>
  <c r="C35" i="11"/>
  <c r="C38" i="11"/>
  <c r="C19" i="68"/>
  <c r="D37" i="68"/>
  <c r="C37" i="68" s="1"/>
  <c r="C23" i="69"/>
  <c r="C19" i="69"/>
  <c r="C24" i="69" s="1"/>
  <c r="D37" i="69"/>
  <c r="C37" i="69" s="1"/>
  <c r="C33" i="69" s="1"/>
  <c r="E2" i="76"/>
  <c r="B2" i="43"/>
  <c r="H65" i="40"/>
  <c r="I63" i="40"/>
  <c r="E47" i="37"/>
  <c r="F47" i="37" s="1"/>
  <c r="E46" i="37"/>
  <c r="F46" i="37" s="1"/>
  <c r="I47" i="37"/>
  <c r="J47" i="37" s="1"/>
  <c r="I46" i="37"/>
  <c r="J46" i="37" s="1"/>
  <c r="C43" i="37"/>
  <c r="B2" i="37" s="1"/>
  <c r="B3" i="37" s="1"/>
  <c r="C42" i="37"/>
  <c r="G47" i="37"/>
  <c r="H47" i="37" s="1"/>
  <c r="G46" i="37"/>
  <c r="H46" i="37" s="1"/>
  <c r="K46" i="36"/>
  <c r="L46" i="36" s="1"/>
  <c r="M46" i="36" s="1"/>
  <c r="N46" i="36" s="1"/>
  <c r="O46" i="36" s="1"/>
  <c r="F7" i="36" s="1"/>
  <c r="H70" i="39"/>
  <c r="B6" i="76"/>
  <c r="M21" i="79"/>
  <c r="F35" i="79"/>
  <c r="R9" i="1" l="1"/>
  <c r="R8" i="1"/>
  <c r="I6" i="6"/>
  <c r="C11" i="21" s="1"/>
  <c r="R6" i="1"/>
  <c r="R11" i="1"/>
  <c r="R7" i="1"/>
  <c r="R10" i="1"/>
  <c r="R13" i="1"/>
  <c r="C19" i="79"/>
  <c r="C20" i="79" s="1"/>
  <c r="C26" i="79" s="1"/>
  <c r="C26" i="67"/>
  <c r="C29" i="67" s="1"/>
  <c r="J14" i="67" s="1"/>
  <c r="J13" i="67" s="1"/>
  <c r="J23" i="67" s="1"/>
  <c r="R27" i="6"/>
  <c r="C19" i="83"/>
  <c r="C20" i="83" s="1"/>
  <c r="C26" i="83" s="1"/>
  <c r="C34" i="79"/>
  <c r="C31" i="79" s="1"/>
  <c r="F63" i="79"/>
  <c r="C62" i="79" s="1"/>
  <c r="J20" i="79"/>
  <c r="C35" i="68"/>
  <c r="C33" i="68" s="1"/>
  <c r="C16" i="12"/>
  <c r="C21" i="12" s="1"/>
  <c r="C22" i="12" s="1"/>
  <c r="C33" i="11"/>
  <c r="C42" i="11" s="1"/>
  <c r="C39" i="69"/>
  <c r="C42" i="69"/>
  <c r="C20" i="69"/>
  <c r="C25" i="69" s="1"/>
  <c r="C22" i="69" s="1"/>
  <c r="C24" i="68"/>
  <c r="B2" i="76"/>
  <c r="B3" i="76" s="1"/>
  <c r="B3" i="43"/>
  <c r="I70" i="39"/>
  <c r="H7" i="36"/>
  <c r="S7" i="36"/>
  <c r="AA7" i="36"/>
  <c r="R36" i="36" s="1"/>
  <c r="I65" i="40"/>
  <c r="J63" i="40"/>
  <c r="J7" i="36"/>
  <c r="M21" i="67"/>
  <c r="F35" i="83"/>
  <c r="F35" i="67"/>
  <c r="M21" i="83"/>
  <c r="F63" i="83" l="1"/>
  <c r="C62" i="83" s="1"/>
  <c r="C34" i="83"/>
  <c r="C31" i="83" s="1"/>
  <c r="J20" i="83"/>
  <c r="R16" i="1"/>
  <c r="C34" i="67"/>
  <c r="F63" i="67"/>
  <c r="C62" i="67" s="1"/>
  <c r="J20" i="67"/>
  <c r="C23" i="79"/>
  <c r="C29" i="79" s="1"/>
  <c r="C13" i="79" s="1"/>
  <c r="C37" i="79" s="1"/>
  <c r="J19" i="67"/>
  <c r="C13" i="67"/>
  <c r="Q70" i="67" s="1"/>
  <c r="C57" i="67"/>
  <c r="C64" i="67" s="1"/>
  <c r="Q49" i="67"/>
  <c r="J59" i="67"/>
  <c r="J60" i="67" s="1"/>
  <c r="Q48" i="67" s="1"/>
  <c r="C36" i="67"/>
  <c r="C33" i="67"/>
  <c r="C42" i="68"/>
  <c r="C91" i="9"/>
  <c r="C23" i="83"/>
  <c r="C29" i="83" s="1"/>
  <c r="J22" i="67"/>
  <c r="C39" i="11"/>
  <c r="C46" i="11" s="1"/>
  <c r="C45" i="11" s="1"/>
  <c r="J11" i="39"/>
  <c r="H11" i="39"/>
  <c r="F11" i="39"/>
  <c r="H11" i="21"/>
  <c r="J11" i="21"/>
  <c r="F11" i="21"/>
  <c r="C39" i="68"/>
  <c r="C43" i="68" s="1"/>
  <c r="C28" i="69"/>
  <c r="C27" i="69" s="1"/>
  <c r="C31" i="69" s="1"/>
  <c r="C46" i="69"/>
  <c r="C45" i="69" s="1"/>
  <c r="C43" i="69"/>
  <c r="C41" i="69" s="1"/>
  <c r="K63" i="40"/>
  <c r="J65" i="40"/>
  <c r="E36" i="36"/>
  <c r="R37" i="36"/>
  <c r="U7" i="36"/>
  <c r="AB7" i="36"/>
  <c r="T36" i="36" s="1"/>
  <c r="G36" i="36" s="1"/>
  <c r="W7" i="36"/>
  <c r="AC7" i="36"/>
  <c r="V36" i="36" s="1"/>
  <c r="I36" i="36" s="1"/>
  <c r="J70" i="39"/>
  <c r="C31" i="67" l="1"/>
  <c r="J17" i="67"/>
  <c r="J16" i="67" s="1"/>
  <c r="J25" i="67" s="1"/>
  <c r="Q70" i="79"/>
  <c r="Q49" i="79"/>
  <c r="J14" i="79"/>
  <c r="J13" i="79" s="1"/>
  <c r="J23" i="79" s="1"/>
  <c r="C56" i="79"/>
  <c r="C65" i="79" s="1"/>
  <c r="C75" i="79"/>
  <c r="C57" i="79"/>
  <c r="C61" i="79" s="1"/>
  <c r="C59" i="79" s="1"/>
  <c r="C36" i="79"/>
  <c r="C30" i="79" s="1"/>
  <c r="C39" i="79" s="1"/>
  <c r="J19" i="79"/>
  <c r="J17" i="79" s="1"/>
  <c r="C37" i="67"/>
  <c r="C75" i="67"/>
  <c r="C61" i="67"/>
  <c r="C59" i="67" s="1"/>
  <c r="C56" i="67"/>
  <c r="C65" i="67" s="1"/>
  <c r="C41" i="68"/>
  <c r="C94" i="9"/>
  <c r="C92" i="9"/>
  <c r="C57" i="83"/>
  <c r="Q49" i="83"/>
  <c r="C13" i="83"/>
  <c r="J14" i="83"/>
  <c r="C36" i="83"/>
  <c r="J19" i="83"/>
  <c r="J17" i="83" s="1"/>
  <c r="C43" i="11"/>
  <c r="C41" i="11" s="1"/>
  <c r="C49" i="11" s="1"/>
  <c r="C51" i="11" s="1"/>
  <c r="C52" i="11" s="1"/>
  <c r="B2" i="11" s="1"/>
  <c r="B3" i="11" s="1"/>
  <c r="S11" i="21"/>
  <c r="AA11" i="21"/>
  <c r="R48" i="21" s="1"/>
  <c r="U11" i="21"/>
  <c r="AB11" i="21"/>
  <c r="T48" i="21" s="1"/>
  <c r="G48" i="21" s="1"/>
  <c r="AB11" i="39"/>
  <c r="U11" i="39"/>
  <c r="W11" i="21"/>
  <c r="AC11" i="21"/>
  <c r="V48" i="21" s="1"/>
  <c r="I48" i="21" s="1"/>
  <c r="AA11" i="39"/>
  <c r="S11" i="39"/>
  <c r="W11" i="39"/>
  <c r="AC11" i="39"/>
  <c r="C46" i="68"/>
  <c r="C45" i="68" s="1"/>
  <c r="C49" i="69"/>
  <c r="C51" i="69" s="1"/>
  <c r="C52" i="69" s="1"/>
  <c r="B2" i="69" s="1"/>
  <c r="B3" i="69" s="1"/>
  <c r="K70" i="39"/>
  <c r="I41" i="36"/>
  <c r="J41" i="36" s="1"/>
  <c r="I40" i="36"/>
  <c r="J40" i="36" s="1"/>
  <c r="G40" i="36"/>
  <c r="H40" i="36" s="1"/>
  <c r="G41" i="36"/>
  <c r="H41" i="36" s="1"/>
  <c r="C36" i="36"/>
  <c r="C37" i="36"/>
  <c r="B2" i="36" s="1"/>
  <c r="B3" i="36" s="1"/>
  <c r="E40" i="36"/>
  <c r="F40" i="36" s="1"/>
  <c r="E41" i="36"/>
  <c r="F41" i="36" s="1"/>
  <c r="K65" i="40"/>
  <c r="L63" i="40"/>
  <c r="L51" i="79"/>
  <c r="J22" i="79" l="1"/>
  <c r="J16" i="79" s="1"/>
  <c r="J25" i="79" s="1"/>
  <c r="C30" i="67"/>
  <c r="C39" i="67" s="1"/>
  <c r="Q69" i="67" s="1"/>
  <c r="Q68" i="67" s="1"/>
  <c r="C64" i="79"/>
  <c r="C58" i="79" s="1"/>
  <c r="C67" i="79" s="1"/>
  <c r="C68" i="79" s="1"/>
  <c r="C71" i="79" s="1"/>
  <c r="C58" i="67"/>
  <c r="C67" i="67" s="1"/>
  <c r="C68" i="67" s="1"/>
  <c r="C71" i="67" s="1"/>
  <c r="C49" i="68"/>
  <c r="C51" i="68" s="1"/>
  <c r="J22" i="83"/>
  <c r="J13" i="83"/>
  <c r="J23" i="83" s="1"/>
  <c r="C75" i="83"/>
  <c r="C56" i="83"/>
  <c r="C65" i="83" s="1"/>
  <c r="C37" i="83"/>
  <c r="C30" i="83" s="1"/>
  <c r="C39" i="83" s="1"/>
  <c r="Q70" i="83"/>
  <c r="C61" i="83"/>
  <c r="C59" i="83" s="1"/>
  <c r="C64" i="83"/>
  <c r="L57" i="79"/>
  <c r="L60" i="79" s="1"/>
  <c r="L57" i="83"/>
  <c r="L60" i="83" s="1"/>
  <c r="Q67" i="79"/>
  <c r="C40" i="79"/>
  <c r="Q69" i="79"/>
  <c r="Q68" i="79" s="1"/>
  <c r="C80" i="79"/>
  <c r="C79" i="79" s="1"/>
  <c r="I52" i="21"/>
  <c r="J52" i="21" s="1"/>
  <c r="G52" i="21"/>
  <c r="H52" i="21" s="1"/>
  <c r="G53" i="21"/>
  <c r="H53" i="21" s="1"/>
  <c r="E48" i="21"/>
  <c r="R49" i="21"/>
  <c r="C57" i="69"/>
  <c r="C56" i="69" s="1"/>
  <c r="C56" i="11"/>
  <c r="C57" i="11" s="1"/>
  <c r="M63" i="40"/>
  <c r="L65" i="40"/>
  <c r="L70" i="39"/>
  <c r="L51" i="83"/>
  <c r="C40" i="67" l="1"/>
  <c r="C43" i="67" s="1"/>
  <c r="C80" i="67"/>
  <c r="C79" i="67" s="1"/>
  <c r="C58" i="83"/>
  <c r="C67" i="83" s="1"/>
  <c r="C68" i="83" s="1"/>
  <c r="C71" i="83" s="1"/>
  <c r="J16" i="83"/>
  <c r="J25" i="83" s="1"/>
  <c r="Q67" i="83"/>
  <c r="Q69" i="83"/>
  <c r="Q68" i="83" s="1"/>
  <c r="C40" i="83"/>
  <c r="C80" i="83"/>
  <c r="C79" i="83" s="1"/>
  <c r="Q66" i="79"/>
  <c r="L46" i="79"/>
  <c r="B2" i="79" s="1"/>
  <c r="Q57" i="79"/>
  <c r="Q66" i="83"/>
  <c r="Q57" i="83"/>
  <c r="L46" i="83"/>
  <c r="Q47" i="79"/>
  <c r="Q53" i="79" s="1"/>
  <c r="C83" i="79"/>
  <c r="C82" i="79" s="1"/>
  <c r="C43" i="79"/>
  <c r="Q56" i="79"/>
  <c r="C46" i="79"/>
  <c r="Q65" i="79"/>
  <c r="E52" i="21"/>
  <c r="F52" i="21" s="1"/>
  <c r="E53" i="21"/>
  <c r="F53" i="21" s="1"/>
  <c r="C49" i="21"/>
  <c r="C48" i="21"/>
  <c r="I53" i="21"/>
  <c r="J53" i="21" s="1"/>
  <c r="M70" i="39"/>
  <c r="M65" i="40"/>
  <c r="N63" i="40"/>
  <c r="AO10" i="1"/>
  <c r="AO11" i="1"/>
  <c r="L51" i="67"/>
  <c r="AO13" i="1"/>
  <c r="AO8" i="1"/>
  <c r="Q67" i="67" l="1"/>
  <c r="L57" i="67"/>
  <c r="L60" i="67" s="1"/>
  <c r="L46" i="67" s="1"/>
  <c r="D2" i="67" s="1"/>
  <c r="B3" i="67" s="1"/>
  <c r="C83" i="67"/>
  <c r="C82" i="67" s="1"/>
  <c r="Q65" i="67"/>
  <c r="Q47" i="67"/>
  <c r="Q53" i="67" s="1"/>
  <c r="C45" i="67"/>
  <c r="C46" i="67" s="1"/>
  <c r="Q56" i="67"/>
  <c r="B10" i="70"/>
  <c r="B2" i="83"/>
  <c r="C8" i="12" s="1"/>
  <c r="B13" i="70"/>
  <c r="B11" i="70"/>
  <c r="Q47" i="83"/>
  <c r="Q53" i="83" s="1"/>
  <c r="Q56" i="83"/>
  <c r="Q62" i="83" s="1"/>
  <c r="C83" i="83"/>
  <c r="C82" i="83" s="1"/>
  <c r="Q65" i="83"/>
  <c r="Q75" i="83" s="1"/>
  <c r="C43" i="83"/>
  <c r="C46" i="83"/>
  <c r="Q75" i="79"/>
  <c r="Q62" i="79"/>
  <c r="B8" i="70"/>
  <c r="B3" i="79"/>
  <c r="B2" i="21"/>
  <c r="B3" i="21"/>
  <c r="O63" i="40"/>
  <c r="O65" i="40" s="1"/>
  <c r="N65" i="40"/>
  <c r="O70" i="39"/>
  <c r="N70" i="39"/>
  <c r="AO6" i="1"/>
  <c r="AO12" i="1"/>
  <c r="AO7" i="1"/>
  <c r="Q57" i="67" l="1"/>
  <c r="Q62" i="67" s="1"/>
  <c r="Q66" i="67"/>
  <c r="Q75" i="67" s="1"/>
  <c r="B6" i="70"/>
  <c r="B2" i="67"/>
  <c r="B7" i="70"/>
  <c r="B3" i="83"/>
  <c r="C6" i="12" s="1"/>
  <c r="B12" i="70"/>
  <c r="H7" i="39"/>
  <c r="F7" i="39"/>
  <c r="J7" i="39"/>
  <c r="J7" i="40"/>
  <c r="F7" i="40"/>
  <c r="H7" i="40"/>
  <c r="B2" i="70" l="1"/>
  <c r="B3" i="70" s="1"/>
  <c r="C4" i="12"/>
  <c r="C31" i="12" s="1"/>
  <c r="U7" i="40"/>
  <c r="AB7" i="40"/>
  <c r="T42" i="40" s="1"/>
  <c r="G42" i="40" s="1"/>
  <c r="AC7" i="40"/>
  <c r="V42" i="40" s="1"/>
  <c r="I42" i="40" s="1"/>
  <c r="W7" i="40"/>
  <c r="AA7" i="39"/>
  <c r="R47" i="39" s="1"/>
  <c r="S7" i="39"/>
  <c r="AA7" i="40"/>
  <c r="R42" i="40" s="1"/>
  <c r="S7" i="40"/>
  <c r="W7" i="39"/>
  <c r="AC7" i="39"/>
  <c r="V47" i="39" s="1"/>
  <c r="I47" i="39" s="1"/>
  <c r="AB7" i="39"/>
  <c r="T47" i="39" s="1"/>
  <c r="G47" i="39" s="1"/>
  <c r="U7" i="39"/>
  <c r="C23" i="12" l="1"/>
  <c r="C30" i="12" s="1"/>
  <c r="C28" i="12" s="1"/>
  <c r="G52" i="39"/>
  <c r="H52" i="39" s="1"/>
  <c r="G51" i="39"/>
  <c r="H51" i="39" s="1"/>
  <c r="E42" i="40"/>
  <c r="I47" i="40" s="1"/>
  <c r="J47" i="40" s="1"/>
  <c r="R43" i="40"/>
  <c r="R48" i="39"/>
  <c r="E47" i="39"/>
  <c r="I52" i="39" s="1"/>
  <c r="J52" i="39" s="1"/>
  <c r="I51" i="39"/>
  <c r="J51" i="39" s="1"/>
  <c r="G47" i="40"/>
  <c r="H47" i="40" s="1"/>
  <c r="G46" i="40"/>
  <c r="H46" i="40" s="1"/>
  <c r="I46" i="40"/>
  <c r="J46" i="40" s="1"/>
  <c r="C27" i="12" l="1"/>
  <c r="C25" i="12" s="1"/>
  <c r="C32" i="12" s="1"/>
  <c r="B2" i="12" s="1"/>
  <c r="B3" i="12" s="1"/>
  <c r="E51" i="39"/>
  <c r="F51" i="39" s="1"/>
  <c r="E52" i="39"/>
  <c r="F52" i="39" s="1"/>
  <c r="C42" i="40"/>
  <c r="C43" i="40"/>
  <c r="C48" i="39"/>
  <c r="C47" i="39"/>
  <c r="E46" i="40"/>
  <c r="F46" i="40" s="1"/>
  <c r="E47" i="40"/>
  <c r="F47" i="40" s="1"/>
  <c r="D20" i="9"/>
  <c r="D19" i="9"/>
  <c r="D21" i="9" l="1"/>
  <c r="D102" i="9"/>
  <c r="D103" i="9"/>
  <c r="B61" i="39"/>
  <c r="F61" i="39" s="1"/>
  <c r="B60" i="39"/>
  <c r="F60" i="39" s="1"/>
  <c r="B56" i="39"/>
  <c r="F56" i="39" s="1"/>
  <c r="B58" i="39"/>
  <c r="F58" i="39" s="1"/>
  <c r="B59" i="39"/>
  <c r="F59" i="39" s="1"/>
  <c r="B64" i="39"/>
  <c r="F64" i="39" s="1"/>
  <c r="B65" i="39"/>
  <c r="F65" i="39" s="1"/>
  <c r="B57" i="39"/>
  <c r="F57" i="39" s="1"/>
  <c r="B63" i="39"/>
  <c r="F63" i="39" s="1"/>
  <c r="B62" i="39"/>
  <c r="F62" i="39"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F66" i="39" l="1"/>
  <c r="B2" i="39" l="1"/>
  <c r="B3" i="39" s="1"/>
  <c r="C7" i="68"/>
  <c r="C5" i="68" s="1"/>
  <c r="C23" i="68" l="1"/>
  <c r="C20" i="68"/>
  <c r="C28" i="68" l="1"/>
  <c r="C27" i="68" s="1"/>
  <c r="C25" i="68"/>
  <c r="C22" i="68" s="1"/>
  <c r="C31" i="68" l="1"/>
  <c r="C52" i="68" s="1"/>
  <c r="B2" i="68" l="1"/>
  <c r="C57" i="68"/>
  <c r="C56" i="68" s="1"/>
  <c r="C19" i="9"/>
  <c r="C102" i="9" l="1"/>
  <c r="G19" i="9"/>
  <c r="D22" i="9"/>
  <c r="C21" i="9"/>
  <c r="B3" i="68"/>
  <c r="D35" i="9"/>
  <c r="D34" i="9"/>
  <c r="C20" i="9"/>
  <c r="G20" i="9" l="1"/>
  <c r="C103" i="9"/>
  <c r="C32" i="9"/>
  <c r="G21" i="9"/>
  <c r="C35" i="9" l="1"/>
  <c r="F118" i="9" s="1"/>
  <c r="H118" i="9"/>
  <c r="C34" i="9" l="1"/>
  <c r="D118" i="9" s="1"/>
  <c r="D4" i="52" s="1"/>
  <c r="B47" i="72" s="1"/>
  <c r="H101" i="9"/>
  <c r="H119" i="9"/>
  <c r="H5" i="52" s="1"/>
  <c r="D14" i="74"/>
  <c r="I118" i="9"/>
  <c r="H4" i="52"/>
  <c r="C104" i="9"/>
  <c r="F119" i="9"/>
  <c r="F5" i="52" s="1"/>
  <c r="B53" i="72" s="1"/>
  <c r="F4" i="52"/>
  <c r="B51" i="72" s="1"/>
  <c r="G118" i="9"/>
  <c r="G4" i="52" s="1"/>
  <c r="B52" i="72" s="1"/>
  <c r="D119" i="9" l="1"/>
  <c r="D5" i="52" s="1"/>
  <c r="B49" i="72" s="1"/>
  <c r="E118" i="9"/>
  <c r="E4" i="52" s="1"/>
  <c r="B48" i="72" s="1"/>
  <c r="C105" i="9"/>
  <c r="I4" i="52"/>
  <c r="H102" i="9"/>
  <c r="D7" i="53" s="1"/>
  <c r="B21" i="72" s="1"/>
  <c r="E14" i="74"/>
  <c r="B5" i="74"/>
  <c r="F14" i="74"/>
  <c r="M48" i="9"/>
  <c r="D5" i="53"/>
  <c r="D45" i="9"/>
  <c r="H107" i="9"/>
  <c r="C64" i="9" l="1"/>
  <c r="C63" i="9" s="1"/>
  <c r="C67" i="9" s="1"/>
  <c r="C68" i="9" s="1"/>
  <c r="D54" i="9" s="1"/>
  <c r="C78" i="9"/>
  <c r="C73" i="9" s="1"/>
  <c r="D52" i="9"/>
  <c r="D55" i="9"/>
  <c r="M53" i="9" s="1"/>
  <c r="C93" i="9"/>
  <c r="C86" i="9" s="1"/>
  <c r="D53" i="9"/>
  <c r="D48" i="9" s="1"/>
  <c r="M52" i="9" s="1"/>
  <c r="C85" i="9"/>
  <c r="C72" i="9"/>
  <c r="D5" i="74"/>
  <c r="C5" i="74"/>
  <c r="D13" i="53"/>
  <c r="D122" i="9"/>
  <c r="H108" i="9"/>
  <c r="D15" i="53" s="1"/>
  <c r="B31" i="72" s="1"/>
  <c r="D6" i="53"/>
  <c r="B22" i="72" s="1"/>
  <c r="B20" i="72"/>
  <c r="C79" i="9" l="1"/>
  <c r="C80" i="9" s="1"/>
  <c r="E80" i="9" s="1"/>
  <c r="E81" i="9" s="1"/>
  <c r="C95" i="9"/>
  <c r="C96" i="9" s="1"/>
  <c r="E96" i="9" s="1"/>
  <c r="E97" i="9" s="1"/>
  <c r="G14" i="74"/>
  <c r="B6" i="74" s="1"/>
  <c r="D8" i="52"/>
  <c r="D123" i="9"/>
  <c r="D9" i="52" s="1"/>
  <c r="B30" i="72"/>
  <c r="D14" i="53"/>
  <c r="B32" i="72" s="1"/>
  <c r="C81" i="9" l="1"/>
  <c r="C97" i="9"/>
  <c r="D58" i="9" s="1"/>
  <c r="D56" i="9" s="1"/>
  <c r="M54" i="9" s="1"/>
  <c r="N57" i="9" s="1"/>
  <c r="N58" i="9" s="1"/>
  <c r="D6" i="74"/>
  <c r="C6" i="74"/>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<sst xmlns="http://schemas.openxmlformats.org/spreadsheetml/2006/main" count="9002" uniqueCount="3887">
  <si>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</si>
  <si>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</si>
  <si>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</si>
  <si>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</si>
  <si>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</si>
  <si>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</si>
  <si>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</si>
  <si>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</si>
  <si>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</si>
  <si>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</si>
  <si>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</si>
  <si>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</si>
  <si>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</si>
  <si>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</si>
  <si>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</si>
  <si>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</si>
  <si>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</si>
  <si>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</si>
  <si>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</si>
  <si>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</si>
  <si>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</si>
  <si>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</si>
  <si>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</si>
  <si>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</si>
  <si>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</si>
  <si>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</si>
  <si>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</si>
  <si>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</si>
  <si>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</si>
  <si>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</si>
  <si>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</si>
  <si>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</si>
  <si>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</si>
  <si>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</si>
  <si>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</si>
  <si>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</si>
  <si>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</si>
  <si>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</si>
  <si>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</si>
  <si>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</si>
  <si>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</si>
  <si>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</si>
  <si>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</si>
  <si>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</si>
  <si>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</si>
  <si>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</si>
  <si>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</si>
  <si>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</si>
  <si>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</si>
  <si>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</si>
  <si>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</si>
  <si>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</si>
  <si>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</si>
  <si>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</si>
  <si>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</si>
  <si>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</si>
  <si>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</si>
  <si>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</si>
  <si>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</si>
  <si>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</si>
  <si>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</si>
  <si>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</si>
  <si>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</si>
  <si>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</si>
  <si>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</si>
  <si>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</si>
  <si>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</si>
  <si>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</si>
  <si>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</si>
  <si>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</si>
  <si>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</si>
  <si>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</si>
  <si>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</si>
  <si>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</si>
  <si>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</si>
  <si>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</si>
  <si>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</si>
  <si>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</si>
  <si>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</si>
  <si>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</si>
  <si>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</si>
  <si>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</si>
  <si>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</si>
  <si>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</si>
  <si>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</si>
  <si>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</si>
  <si>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</si>
  <si>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</si>
  <si>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</si>
  <si>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</si>
  <si>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</si>
  <si>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</si>
  <si>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</si>
  <si>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</si>
  <si>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</si>
  <si>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</si>
  <si>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</si>
  <si>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</si>
  <si>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</si>
  <si>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</si>
  <si>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</si>
  <si>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</si>
  <si>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</si>
  <si>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</si>
  <si>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</si>
  <si>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</si>
  <si>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</si>
  <si>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</si>
  <si>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</si>
  <si>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</si>
  <si>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</si>
  <si>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</si>
  <si>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</si>
  <si>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</si>
  <si>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</si>
  <si>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</si>
  <si>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</si>
  <si>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</si>
  <si>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</si>
  <si>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</si>
  <si>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</si>
  <si>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</si>
  <si>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</si>
  <si>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</si>
  <si>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</si>
  <si>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</si>
  <si>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</si>
  <si>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</si>
  <si>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</si>
  <si>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</si>
  <si>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</si>
  <si>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</si>
  <si>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</si>
  <si>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</si>
  <si>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</si>
  <si>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</si>
  <si>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</si>
  <si>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</si>
  <si>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</si>
  <si>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</si>
  <si>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</si>
  <si>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</si>
  <si>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</si>
  <si>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</si>
  <si>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</si>
  <si>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</si>
  <si>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</si>
  <si>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</si>
  <si>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</si>
  <si>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</si>
  <si>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</si>
  <si>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</si>
  <si>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</si>
  <si>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</si>
  <si>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</si>
  <si>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</si>
  <si>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</si>
  <si>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</si>
  <si>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</si>
  <si>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</si>
  <si>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</si>
  <si>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</si>
  <si>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</si>
  <si>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</si>
  <si>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</si>
  <si>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</si>
  <si>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</si>
  <si>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</si>
  <si>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</si>
  <si>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</si>
  <si>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</si>
  <si>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</si>
  <si>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</si>
  <si>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</si>
  <si>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</si>
  <si>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</si>
  <si>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</si>
  <si>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</si>
  <si>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</si>
  <si>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</si>
  <si>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</si>
  <si>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</si>
  <si>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</si>
  <si>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</si>
  <si>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</si>
  <si>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</si>
  <si>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</si>
  <si>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</si>
  <si>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</si>
  <si>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</si>
  <si>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</si>
  <si>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</si>
  <si>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</si>
  <si>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</si>
  <si>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</si>
  <si>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</si>
  <si>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</si>
  <si>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</si>
  <si>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</si>
  <si>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</si>
  <si>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</si>
  <si>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</si>
  <si>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</si>
  <si>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</si>
  <si>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</si>
  <si>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</si>
  <si>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</si>
  <si>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</si>
  <si>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</si>
  <si>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</si>
  <si>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</si>
  <si>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</si>
  <si>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</si>
  <si>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</si>
  <si>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</si>
  <si>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</si>
  <si>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</si>
  <si>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</si>
  <si>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</si>
  <si>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</si>
  <si>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</si>
  <si>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</si>
  <si>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</si>
  <si>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</si>
  <si>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</si>
  <si>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</si>
  <si>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</si>
  <si>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</si>
  <si>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</si>
  <si>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</si>
  <si>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</si>
  <si>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</si>
  <si>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</si>
  <si>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</si>
  <si>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</si>
  <si>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</si>
  <si>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</si>
  <si>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</si>
  <si>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</si>
  <si>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</si>
  <si>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</si>
  <si>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</si>
  <si>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</si>
  <si>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</si>
  <si>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</si>
  <si>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</si>
  <si>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</si>
  <si>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</si>
  <si>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</si>
  <si>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</si>
  <si>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</si>
  <si>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</si>
  <si>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</si>
  <si>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</si>
  <si>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</si>
  <si>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</si>
  <si>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</si>
  <si>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</si>
  <si>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</si>
  <si>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</si>
  <si>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</si>
  <si>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</si>
  <si>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</si>
  <si>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</si>
  <si>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</si>
  <si>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</si>
  <si>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</si>
  <si>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</si>
  <si>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</si>
  <si>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</si>
  <si>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</si>
  <si>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</si>
  <si>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</si>
  <si>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</si>
  <si>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</si>
  <si>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</si>
  <si>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</si>
  <si>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</si>
  <si>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</si>
  <si>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</si>
  <si>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</si>
  <si>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</si>
  <si>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</si>
  <si>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</si>
  <si>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</si>
  <si>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</si>
  <si>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</si>
  <si>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</si>
  <si>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</si>
  <si>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</si>
  <si>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</si>
  <si>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</si>
  <si>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</si>
  <si>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</si>
  <si>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</si>
  <si>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</si>
  <si>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</si>
  <si>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</si>
  <si>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</si>
  <si>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</si>
  <si>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</si>
  <si>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</si>
  <si>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</si>
  <si>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</si>
  <si>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</si>
  <si>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</si>
  <si>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</si>
  <si>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</si>
  <si>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</si>
  <si>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</si>
  <si>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</si>
  <si>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</si>
  <si>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</si>
  <si>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</si>
  <si>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</si>
  <si>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</si>
  <si>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</si>
  <si>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</si>
  <si>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</si>
  <si>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</si>
  <si>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</si>
  <si>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</si>
  <si>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</si>
  <si>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</si>
  <si>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</si>
  <si>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</si>
  <si>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</si>
  <si>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</si>
  <si>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</si>
  <si>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</si>
  <si>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</si>
  <si>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</si>
  <si>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</si>
  <si>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</si>
  <si>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</si>
  <si>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</si>
  <si>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</si>
  <si>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</si>
  <si>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</si>
  <si>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</si>
  <si>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</si>
  <si>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</si>
  <si>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</si>
  <si>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</si>
  <si>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</si>
  <si>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</si>
  <si>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</si>
  <si>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</si>
  <si>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</si>
  <si>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</si>
  <si>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</si>
  <si>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</si>
  <si>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</si>
  <si>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</si>
  <si>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</si>
  <si>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</si>
  <si>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</si>
  <si>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</si>
  <si>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</si>
  <si>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</si>
  <si>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</si>
  <si>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</si>
  <si>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</si>
  <si>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</si>
  <si>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</si>
  <si>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</si>
  <si>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</si>
  <si>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</si>
  <si>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</si>
  <si>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</si>
  <si>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</si>
  <si>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</si>
  <si>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</si>
  <si>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</si>
  <si>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</si>
  <si>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</si>
  <si>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</si>
  <si>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</si>
  <si>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</si>
  <si>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</si>
  <si>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</si>
  <si>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</si>
  <si>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</si>
  <si>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</si>
  <si>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</si>
  <si>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</si>
  <si>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</si>
  <si>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</si>
  <si>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</si>
  <si>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</si>
  <si>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</si>
  <si>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</si>
  <si>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</si>
  <si>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</si>
  <si>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</si>
  <si>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</si>
  <si>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</si>
  <si>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</si>
  <si>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</si>
  <si>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</si>
  <si>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</si>
  <si>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</si>
  <si>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</si>
  <si>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</si>
  <si>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</si>
  <si>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</si>
  <si>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</si>
  <si>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</si>
  <si>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</si>
  <si>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</si>
  <si>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</si>
  <si>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</si>
  <si>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</si>
  <si>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</si>
  <si>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</si>
  <si>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</si>
  <si>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</si>
  <si>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</si>
  <si>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</si>
  <si>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</si>
  <si>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</si>
  <si>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</si>
  <si>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</si>
  <si>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</si>
  <si>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</si>
  <si>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</si>
  <si>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</si>
  <si>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</si>
  <si>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</si>
  <si>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</si>
  <si>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</si>
  <si>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</si>
  <si>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</si>
  <si>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</si>
  <si>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</si>
  <si>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</si>
  <si>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</si>
  <si>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</si>
  <si>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</si>
  <si>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</si>
  <si>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</si>
  <si>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</si>
  <si>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</si>
  <si>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</si>
  <si>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</si>
  <si>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</si>
  <si>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</si>
  <si>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</si>
  <si>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</si>
  <si>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</si>
  <si>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</si>
  <si>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</si>
  <si>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</si>
  <si>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</si>
  <si>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</si>
  <si>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</si>
  <si>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</si>
  <si>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</si>
  <si>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</si>
  <si>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</si>
  <si>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</si>
  <si>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</si>
  <si>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</si>
  <si>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</si>
  <si>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</si>
  <si>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</si>
  <si>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</si>
  <si>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</si>
  <si>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</si>
  <si>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</si>
  <si>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</si>
  <si>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</si>
  <si>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</si>
  <si>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</si>
  <si>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</si>
  <si>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</si>
  <si>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</si>
  <si>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</si>
  <si>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</si>
  <si>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</si>
  <si>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</si>
  <si>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</si>
  <si>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</si>
  <si>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</si>
  <si>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</si>
  <si>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</si>
  <si>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</si>
  <si>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</si>
  <si>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</si>
  <si>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</si>
  <si>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</si>
  <si>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</si>
  <si>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</si>
  <si>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</si>
  <si>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</si>
  <si>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</si>
  <si>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</si>
  <si>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</si>
  <si>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</si>
  <si>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</si>
  <si>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</si>
  <si>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</si>
  <si>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</si>
  <si>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</si>
  <si>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</si>
  <si>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</si>
  <si>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</si>
  <si>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</si>
  <si>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</si>
  <si>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</si>
  <si>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</si>
  <si>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</si>
  <si>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</si>
  <si>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</si>
  <si>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</si>
  <si>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</si>
  <si>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</si>
  <si>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</si>
  <si>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</si>
  <si>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</si>
  <si>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</si>
  <si>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</si>
  <si>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</si>
  <si>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</si>
  <si>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</si>
  <si>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</si>
  <si>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</si>
  <si>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</si>
  <si>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</si>
  <si>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</si>
  <si>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</si>
  <si>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</si>
  <si>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</si>
  <si>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</si>
  <si>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</si>
  <si>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</si>
  <si>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</si>
  <si>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</si>
  <si>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</si>
  <si>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</si>
  <si>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</si>
  <si>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</si>
  <si>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</si>
  <si>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</si>
  <si>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</si>
  <si>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</si>
  <si>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</si>
  <si>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</si>
  <si>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</si>
  <si>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</si>
  <si>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</si>
  <si>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</si>
  <si>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</si>
  <si>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</si>
  <si>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</si>
  <si>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</si>
  <si>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</si>
  <si>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</si>
  <si>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</si>
  <si>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</si>
  <si>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</si>
  <si>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</si>
  <si>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</si>
  <si>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</si>
  <si>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</si>
  <si>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</si>
  <si>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</si>
  <si>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</si>
  <si>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</si>
  <si>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</si>
  <si>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</si>
  <si>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</si>
  <si>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</si>
  <si>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</si>
  <si>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</si>
  <si>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</si>
  <si>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</si>
  <si>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</si>
  <si>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</si>
  <si>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</si>
  <si>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</si>
  <si>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</si>
  <si>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</si>
  <si>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</si>
  <si>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</si>
  <si>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</si>
  <si>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</si>
  <si>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</si>
  <si>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</si>
  <si>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</si>
  <si>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</si>
  <si>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</si>
  <si>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</si>
  <si>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</si>
  <si>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</si>
  <si>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</si>
  <si>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</si>
  <si>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</si>
  <si>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</si>
  <si>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</si>
  <si>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</si>
  <si>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</si>
  <si>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</si>
  <si>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</si>
  <si>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</si>
  <si>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</si>
  <si>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</si>
  <si>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</si>
  <si>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</si>
  <si>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</si>
  <si>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</si>
  <si>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</si>
  <si>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</si>
  <si>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</si>
  <si>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</si>
  <si>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</si>
  <si>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</si>
  <si>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</si>
  <si>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</si>
  <si>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</si>
  <si>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</si>
  <si>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</si>
  <si>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</si>
  <si>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</si>
  <si>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</si>
  <si>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</si>
  <si>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</si>
  <si>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</si>
  <si>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</si>
  <si>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</si>
  <si>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</si>
  <si>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</si>
  <si>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</si>
  <si>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</si>
  <si>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</si>
  <si>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</si>
  <si>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</si>
  <si>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</si>
  <si>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</si>
  <si>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</si>
  <si>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</si>
  <si>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</si>
  <si>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</si>
  <si>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</si>
  <si>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</si>
  <si>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</si>
  <si>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</si>
  <si>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</si>
  <si>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</si>
  <si>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</si>
  <si>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</si>
  <si>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</si>
  <si>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</si>
  <si>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</si>
  <si>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</si>
  <si>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</si>
  <si>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</si>
  <si>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</si>
  <si>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</si>
  <si>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</si>
  <si>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</si>
  <si>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</si>
  <si>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</si>
  <si>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</si>
  <si>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</si>
  <si>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</si>
  <si>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</si>
  <si>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</si>
  <si>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</si>
  <si>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</si>
  <si>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</si>
  <si>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</si>
  <si>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</si>
  <si>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</si>
  <si>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</si>
  <si>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</si>
  <si>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</si>
  <si>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</si>
  <si>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</si>
  <si>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</si>
  <si>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</si>
  <si>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</si>
  <si>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</si>
  <si>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</si>
  <si>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</si>
  <si>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</si>
  <si>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</si>
  <si>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</si>
  <si>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</si>
  <si>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</si>
  <si>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</si>
  <si>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</si>
  <si>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</si>
  <si>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</si>
  <si>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</si>
  <si>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</si>
  <si>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</si>
  <si>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</si>
  <si>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</si>
  <si>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</si>
  <si>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</si>
  <si>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</si>
  <si>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</si>
  <si>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</si>
  <si>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</si>
  <si>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</si>
  <si>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</si>
  <si>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</si>
  <si>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</si>
  <si>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</si>
  <si>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</si>
  <si>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</si>
  <si>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</si>
  <si>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</si>
  <si>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</si>
  <si>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</si>
  <si>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</si>
  <si>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</si>
  <si>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</si>
  <si>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</si>
  <si>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</si>
  <si>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</si>
  <si>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</si>
  <si>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</si>
  <si>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</si>
  <si>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</si>
  <si>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</si>
  <si>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</si>
  <si>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</si>
  <si>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</si>
  <si>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</si>
  <si>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</si>
  <si>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</si>
  <si>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</si>
  <si>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</si>
  <si>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</si>
  <si>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</si>
  <si>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</si>
  <si>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</si>
  <si>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</si>
  <si>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</si>
  <si>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</si>
  <si>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</si>
  <si>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</si>
  <si>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</si>
  <si>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</si>
  <si>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</si>
  <si>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</si>
  <si>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</si>
  <si>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</si>
  <si>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</si>
  <si>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</si>
  <si>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</si>
  <si>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</si>
  <si>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</si>
  <si>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</si>
  <si>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</si>
  <si>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</si>
  <si>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</si>
  <si>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</si>
  <si>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</si>
  <si>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</si>
  <si>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</si>
  <si>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</si>
  <si>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</si>
  <si>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</si>
  <si>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</si>
  <si>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</si>
  <si>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</si>
  <si>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</si>
  <si>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</si>
  <si>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</si>
  <si>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</si>
  <si>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</si>
  <si>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</si>
  <si>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</si>
  <si>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</si>
  <si>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</si>
  <si>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</si>
  <si>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</si>
  <si>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</si>
  <si>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</si>
  <si>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</si>
  <si>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</si>
  <si>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</si>
  <si>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</si>
  <si>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</si>
  <si>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</si>
  <si>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</si>
  <si>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</si>
  <si>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</si>
  <si>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</si>
  <si>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</si>
  <si>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</si>
  <si>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</si>
  <si>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</si>
  <si>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</si>
  <si>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</si>
  <si>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</si>
  <si>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</si>
  <si>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</si>
  <si>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</si>
  <si>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</si>
  <si>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</si>
  <si>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</si>
  <si>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</si>
  <si>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</si>
  <si>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</si>
  <si>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</si>
  <si>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</si>
  <si>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</si>
  <si>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</si>
  <si>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</si>
  <si>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</si>
  <si>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</si>
  <si>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</si>
  <si>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</si>
  <si>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</si>
  <si>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</si>
  <si>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</si>
  <si>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</si>
  <si>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</si>
  <si>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</si>
  <si>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</si>
  <si>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</si>
  <si>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</si>
  <si>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</si>
  <si>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</si>
  <si>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</si>
  <si>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</si>
  <si>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</si>
  <si>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</si>
  <si>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</si>
  <si>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</si>
  <si>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</si>
  <si>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</si>
  <si>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</si>
  <si>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</si>
  <si>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</si>
  <si>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</si>
  <si>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</si>
  <si>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</si>
  <si>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</si>
  <si>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</si>
  <si>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</si>
  <si>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</si>
  <si>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</si>
  <si>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</si>
  <si>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</si>
  <si>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</si>
  <si>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</si>
  <si>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</si>
  <si>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</si>
  <si>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</si>
  <si>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</si>
  <si>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</si>
  <si>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</si>
  <si>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</si>
  <si>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</si>
  <si>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</si>
  <si>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</si>
  <si>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</si>
  <si>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</si>
  <si>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</si>
  <si>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</si>
  <si>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</si>
  <si>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</si>
  <si>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</si>
  <si>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</si>
  <si>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</si>
  <si>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</si>
  <si>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</si>
  <si>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</si>
  <si>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</si>
  <si>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</si>
  <si>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</si>
  <si>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</si>
  <si>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</si>
  <si>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</si>
  <si>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</si>
  <si>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</si>
  <si>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</si>
  <si>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</si>
  <si>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</si>
  <si>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</si>
  <si>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</si>
  <si>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</si>
  <si>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</si>
  <si>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</si>
  <si>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</si>
  <si>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</si>
  <si>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</si>
  <si>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</si>
  <si>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</si>
  <si>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</si>
  <si>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</si>
  <si>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</si>
  <si>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</si>
  <si>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</si>
  <si>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</si>
  <si>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</si>
  <si>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</si>
  <si>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</si>
  <si>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</si>
  <si>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</si>
  <si>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</si>
  <si>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</si>
  <si>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</si>
  <si>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</si>
  <si>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</si>
  <si>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</si>
  <si>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</si>
  <si>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</si>
  <si>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</si>
  <si>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</si>
  <si>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</si>
  <si>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</si>
  <si>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</si>
  <si>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</si>
  <si>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</si>
  <si>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</si>
  <si>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</si>
  <si>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</si>
  <si>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</si>
  <si>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</si>
  <si>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</si>
  <si>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</si>
  <si>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</si>
  <si>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</si>
  <si>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</si>
  <si>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</si>
  <si>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</si>
  <si>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</si>
  <si>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</si>
  <si>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</si>
  <si>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</si>
  <si>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</si>
  <si>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</si>
  <si>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</si>
  <si>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</si>
  <si>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</si>
  <si>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</si>
  <si>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</si>
  <si>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</si>
  <si>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</si>
  <si>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</si>
  <si>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</si>
  <si>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</si>
  <si>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</si>
  <si>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</si>
  <si>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</si>
  <si>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</si>
  <si>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</si>
  <si>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</si>
  <si>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</si>
  <si>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</si>
  <si>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</si>
  <si>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</si>
  <si>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</si>
  <si>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</si>
  <si>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</si>
  <si>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</si>
  <si>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</si>
  <si>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</si>
  <si>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</si>
  <si>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</si>
  <si>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</si>
  <si>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</si>
  <si>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</si>
  <si>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</si>
  <si>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</si>
  <si>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</si>
  <si>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</si>
  <si>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</si>
  <si>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</si>
  <si>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</si>
  <si>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</si>
  <si>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</si>
  <si>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</si>
  <si>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</si>
  <si>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</si>
  <si>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</si>
  <si>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</si>
  <si>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</si>
  <si>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</si>
  <si>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</si>
  <si>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</si>
  <si>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</si>
  <si>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</si>
  <si>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</si>
  <si>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</si>
  <si>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</si>
  <si>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</si>
  <si>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</si>
  <si>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</si>
  <si>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</si>
  <si>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</si>
  <si>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</si>
  <si>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</si>
  <si>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</si>
  <si>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</si>
  <si>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</si>
  <si>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</si>
  <si>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</si>
  <si>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</si>
  <si>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</si>
  <si>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</si>
  <si>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</si>
  <si>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</si>
  <si>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</si>
  <si>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</si>
  <si>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</si>
  <si>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</si>
  <si>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</si>
  <si>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</si>
  <si>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</si>
  <si>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</si>
  <si>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</si>
  <si>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</si>
  <si>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</si>
  <si>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</si>
  <si>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</si>
  <si>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</si>
  <si>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</si>
  <si>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</si>
  <si>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</si>
  <si>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</si>
  <si>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</si>
  <si>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</si>
  <si>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</si>
  <si>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</si>
  <si>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</si>
  <si>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</si>
  <si>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</si>
  <si>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</si>
  <si>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</si>
  <si>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</si>
  <si>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</si>
  <si>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</si>
  <si>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</si>
  <si>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</si>
  <si>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</si>
  <si>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</si>
  <si>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</si>
  <si>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</si>
  <si>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</si>
  <si>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</si>
  <si>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</si>
  <si>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</si>
  <si>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</si>
  <si>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</si>
  <si>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</si>
  <si>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</si>
  <si>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</si>
  <si>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</si>
  <si>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</si>
  <si>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</si>
  <si>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</si>
  <si>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</si>
  <si>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</si>
  <si>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</si>
  <si>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</si>
  <si>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</si>
  <si>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</si>
  <si>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</si>
  <si>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</si>
  <si>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</si>
  <si>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</si>
  <si>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</si>
  <si>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</si>
  <si>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</si>
  <si>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</si>
  <si>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</si>
  <si>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</si>
  <si>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</si>
  <si>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</si>
  <si>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</si>
  <si>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</si>
  <si>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</si>
  <si>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</si>
  <si>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</si>
  <si>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</si>
  <si>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</si>
  <si>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</si>
  <si>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</si>
  <si>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</si>
  <si>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</si>
  <si>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</si>
  <si>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</si>
  <si>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</si>
  <si>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</si>
  <si>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</si>
  <si>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</si>
  <si>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</si>
  <si>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</si>
  <si>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</si>
  <si>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</si>
  <si>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</si>
  <si>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</si>
  <si>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</si>
  <si>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</si>
  <si>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</si>
  <si>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</si>
  <si>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</si>
  <si>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</si>
  <si>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</si>
  <si>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</si>
  <si>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</si>
  <si>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</si>
  <si>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</si>
  <si>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</si>
  <si>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</si>
  <si>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</si>
  <si>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</si>
  <si>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</si>
  <si>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</si>
  <si>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</si>
  <si>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</si>
  <si>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</si>
  <si>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</si>
  <si>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</si>
  <si>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</si>
  <si>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</si>
  <si>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</si>
  <si>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</si>
  <si>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</si>
  <si>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</si>
  <si>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</si>
  <si>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</si>
  <si>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</si>
  <si>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</si>
  <si>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</si>
  <si>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</si>
  <si>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</si>
  <si>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</si>
  <si>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</si>
  <si>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</si>
  <si>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</si>
  <si>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</si>
  <si>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</si>
  <si>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</si>
  <si>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</si>
  <si>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</si>
  <si>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</si>
  <si>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</si>
  <si>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</si>
  <si>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</si>
  <si>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</si>
  <si>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</si>
  <si>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</si>
  <si>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</si>
  <si>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</si>
  <si>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</si>
  <si>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</si>
  <si>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</si>
  <si>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</si>
  <si>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</si>
  <si>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</si>
  <si>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</si>
  <si>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</si>
  <si>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</si>
  <si>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</si>
  <si>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</si>
  <si>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</si>
  <si>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</si>
  <si>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</si>
  <si>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</si>
  <si>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</si>
  <si>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</si>
  <si>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</si>
  <si>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</si>
  <si>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</si>
  <si>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</si>
  <si>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</si>
  <si>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</si>
  <si>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</si>
  <si>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</si>
  <si>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</si>
  <si>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</si>
  <si>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</si>
  <si>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</si>
  <si>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</si>
  <si>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</si>
  <si>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</si>
  <si>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</si>
  <si>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</si>
  <si>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</si>
  <si>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</si>
  <si>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</si>
  <si>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</si>
  <si>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</si>
  <si>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</si>
  <si>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</si>
  <si>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</si>
  <si>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</si>
  <si>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</si>
  <si>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</si>
  <si>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</si>
  <si>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</si>
  <si>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</si>
  <si>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</si>
  <si>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</si>
  <si>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</si>
  <si>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</si>
  <si>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</si>
  <si>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</si>
  <si>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</si>
  <si>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</si>
  <si>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</si>
  <si>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</si>
  <si>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</si>
  <si>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</si>
  <si>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</si>
  <si>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</si>
  <si>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</si>
  <si>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</si>
  <si>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</si>
  <si>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</si>
  <si>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</si>
  <si>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</si>
  <si>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</si>
  <si>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</si>
  <si>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</si>
  <si>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</si>
  <si>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</si>
  <si>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</si>
  <si>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</si>
  <si>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</si>
  <si>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</si>
  <si>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</si>
  <si>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</si>
  <si>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</si>
  <si>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</si>
  <si>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</si>
  <si>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</si>
  <si>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</si>
  <si>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</si>
  <si>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</si>
  <si>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</si>
  <si>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</si>
  <si>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</si>
  <si>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</si>
  <si>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</si>
  <si>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</si>
  <si>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</si>
  <si>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</si>
  <si>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</si>
  <si>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</si>
  <si>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</si>
  <si>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</si>
  <si>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</si>
  <si>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</si>
  <si>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</si>
  <si>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</si>
  <si>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</si>
  <si>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</si>
  <si>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</si>
  <si>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</si>
  <si>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</si>
  <si>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</si>
  <si>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</si>
  <si>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</si>
  <si>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</si>
  <si>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</si>
  <si>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</si>
  <si>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</si>
  <si>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</si>
  <si>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</si>
  <si>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</si>
  <si>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</si>
  <si>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</si>
  <si>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</si>
  <si>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</si>
  <si>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</si>
  <si>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</si>
  <si>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</si>
  <si>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</si>
  <si>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</si>
  <si>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</si>
  <si>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</si>
  <si>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</si>
  <si>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</si>
  <si>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</si>
  <si>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</si>
  <si>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</si>
  <si>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</si>
  <si>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</si>
  <si>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</si>
  <si>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</si>
  <si>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</si>
  <si>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</si>
  <si>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</si>
  <si>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</si>
  <si>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</si>
  <si>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</si>
  <si>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</si>
  <si>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</si>
  <si>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</si>
  <si>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</si>
  <si>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</si>
  <si>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</si>
  <si>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</si>
  <si>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</si>
  <si>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</si>
  <si>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</si>
  <si>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</si>
  <si>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</si>
  <si>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</si>
  <si>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</si>
  <si>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</si>
  <si>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</si>
  <si>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</si>
  <si>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</si>
  <si>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</si>
  <si>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</si>
  <si>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</si>
  <si>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</si>
  <si>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</si>
  <si>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</si>
  <si>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</si>
  <si>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</si>
  <si>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</si>
  <si>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</si>
  <si>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</si>
  <si>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</si>
  <si>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</si>
  <si>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</si>
  <si>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</si>
  <si>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</si>
  <si>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</si>
  <si>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</si>
  <si>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</si>
  <si>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</si>
  <si>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</si>
  <si>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</si>
  <si>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</si>
  <si>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</si>
  <si>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</si>
  <si>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</si>
  <si>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</si>
  <si>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</si>
  <si>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</si>
  <si>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</si>
  <si>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</si>
  <si>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</si>
  <si>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</si>
  <si>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</si>
  <si>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</si>
  <si>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</si>
  <si>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</si>
  <si>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</si>
  <si>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</si>
  <si>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</si>
  <si>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</si>
  <si>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</si>
  <si>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</si>
  <si>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</si>
  <si>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</si>
  <si>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</si>
  <si>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</si>
  <si>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</si>
  <si>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</si>
  <si>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</si>
  <si>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</si>
  <si>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</si>
  <si>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</si>
  <si>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</si>
  <si>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</si>
  <si>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</si>
  <si>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</si>
  <si>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</si>
  <si>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</si>
  <si>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</si>
  <si>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</si>
  <si>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</si>
  <si>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</si>
  <si>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</si>
  <si>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</si>
  <si>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</si>
  <si>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</si>
  <si>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</si>
  <si>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</si>
  <si>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</si>
  <si>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</si>
  <si>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</si>
  <si>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</si>
  <si>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</si>
  <si>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</si>
  <si>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</si>
  <si>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</si>
  <si>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</si>
  <si>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</si>
  <si>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</si>
  <si>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</si>
  <si>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</si>
  <si>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</si>
  <si>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</si>
  <si>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</si>
  <si>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</si>
  <si>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</si>
  <si>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</si>
  <si>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</si>
  <si>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</si>
  <si>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</si>
  <si>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</si>
  <si>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</si>
  <si>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</si>
  <si>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</si>
  <si>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</si>
  <si>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</si>
  <si>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</si>
  <si>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</si>
  <si>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</si>
  <si>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</si>
  <si>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</si>
  <si>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</si>
  <si>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</si>
  <si>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</si>
  <si>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</si>
  <si>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</si>
  <si>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</si>
  <si>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</si>
  <si>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</si>
  <si>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</si>
  <si>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</si>
  <si>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</si>
  <si>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</si>
  <si>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</si>
  <si>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</si>
  <si>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</si>
  <si>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</si>
  <si>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</si>
  <si>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</si>
  <si>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</si>
  <si>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</si>
  <si>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</si>
  <si>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</si>
  <si>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</si>
  <si>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</si>
  <si>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</si>
  <si>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</si>
  <si>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</si>
  <si>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</si>
  <si>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</si>
  <si>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</si>
  <si>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</si>
  <si>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</si>
  <si>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</si>
  <si>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</si>
  <si>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</si>
  <si>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</si>
  <si>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</si>
  <si>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</si>
  <si>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</si>
  <si>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</si>
  <si>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</si>
  <si>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</si>
  <si>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</si>
  <si>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</si>
  <si>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</si>
  <si>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</si>
  <si>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</si>
  <si>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</si>
  <si>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</si>
  <si>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</si>
  <si>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</si>
  <si>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</si>
  <si>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</si>
  <si>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</si>
  <si>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</si>
  <si>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</si>
  <si>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</si>
  <si>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</si>
  <si>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</si>
  <si>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</si>
  <si>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</si>
  <si>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</si>
  <si>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</si>
  <si>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</si>
  <si>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</si>
  <si>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</si>
  <si>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</si>
  <si>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</si>
  <si>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</si>
  <si>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</si>
  <si>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</si>
  <si>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</si>
  <si>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</si>
  <si>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</si>
  <si>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</si>
  <si>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</si>
  <si>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</si>
  <si>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</si>
  <si>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</si>
  <si>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</si>
  <si>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</si>
  <si>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</si>
  <si>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</si>
  <si>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</si>
  <si>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</si>
  <si>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</si>
  <si>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</si>
  <si>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</si>
  <si>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</si>
  <si>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</si>
  <si>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</si>
  <si>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</si>
  <si>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</si>
  <si>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</si>
  <si>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</si>
  <si>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</si>
  <si>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</si>
  <si>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</si>
  <si>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</si>
  <si>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</si>
  <si>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</si>
  <si>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</si>
  <si>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</si>
  <si>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</si>
  <si>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</si>
  <si>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</si>
  <si>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</si>
  <si>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</si>
  <si>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</si>
  <si>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</si>
  <si>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</si>
  <si>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</si>
  <si>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</si>
  <si>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</si>
  <si>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</si>
  <si>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</si>
  <si>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</si>
  <si>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</si>
  <si>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</si>
  <si>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</si>
  <si>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</si>
  <si>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</si>
  <si>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</si>
  <si>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</si>
  <si>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</si>
  <si>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</si>
  <si>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</si>
  <si>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</si>
  <si>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</si>
  <si>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</si>
  <si>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</si>
  <si>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</si>
  <si>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</si>
  <si>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</si>
  <si>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</si>
  <si>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</si>
  <si>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</si>
  <si>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</si>
  <si>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</si>
  <si>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</si>
  <si>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</si>
  <si>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</si>
  <si>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</si>
  <si>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</si>
  <si>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</si>
  <si>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</si>
  <si>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</si>
  <si>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</si>
  <si>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</si>
  <si>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</si>
  <si>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</si>
  <si>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</si>
  <si>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</si>
  <si>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</si>
  <si>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</si>
  <si>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</si>
  <si>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</si>
  <si>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</si>
  <si>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</si>
  <si>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</si>
  <si>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</si>
  <si>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</si>
  <si>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</si>
  <si>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</si>
  <si>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</si>
  <si>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</si>
  <si>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</si>
  <si>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</si>
  <si>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</si>
  <si>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</si>
  <si>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</si>
  <si>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</si>
  <si>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</si>
  <si>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</si>
  <si>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</si>
  <si>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</si>
  <si>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</si>
  <si>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</si>
  <si>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</si>
  <si>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</si>
  <si>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</si>
  <si>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</si>
  <si>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</si>
  <si>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</si>
  <si>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</si>
  <si>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</si>
  <si>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</si>
  <si>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</si>
  <si>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</si>
  <si>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</si>
  <si>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</si>
  <si>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</si>
  <si>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</si>
  <si>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</si>
  <si>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</si>
  <si>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</si>
  <si>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</si>
  <si>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</si>
  <si>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</si>
  <si>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</si>
  <si>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</si>
  <si>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</si>
  <si>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</si>
  <si>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</si>
  <si>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</si>
  <si>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</si>
  <si>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</si>
  <si>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</si>
  <si>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</si>
  <si>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</si>
  <si>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</si>
  <si>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</si>
  <si>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</si>
  <si>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</si>
  <si>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</si>
  <si>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</si>
  <si>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</si>
  <si>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</si>
  <si>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</si>
  <si>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</si>
  <si>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</si>
  <si>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</si>
  <si>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</si>
  <si>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</si>
  <si>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</si>
  <si>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</si>
  <si>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</si>
  <si>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</si>
  <si>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</si>
  <si>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</si>
  <si>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</si>
  <si>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</si>
  <si>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</si>
  <si>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</si>
  <si>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</si>
  <si>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</si>
  <si>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</si>
  <si>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</si>
  <si>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</si>
  <si>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</si>
  <si>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</si>
  <si>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</si>
  <si>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</si>
  <si>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</si>
  <si>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</si>
  <si>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</si>
  <si>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</si>
  <si>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</si>
  <si>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</si>
  <si>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</si>
  <si>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</si>
  <si>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</si>
  <si>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</si>
  <si>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</si>
  <si>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</si>
  <si>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</si>
  <si>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</si>
  <si>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</si>
  <si>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</si>
  <si>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</si>
  <si>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</si>
  <si>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</si>
  <si>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</si>
  <si>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</si>
  <si>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</si>
  <si>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</si>
  <si>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</si>
  <si>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</si>
  <si>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</si>
  <si>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</si>
  <si>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</si>
  <si>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</si>
  <si>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</si>
  <si>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</si>
  <si>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</si>
  <si>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</si>
  <si>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</si>
  <si>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</si>
  <si>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</si>
  <si>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</si>
  <si>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</si>
  <si>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</si>
  <si>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</si>
  <si>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</si>
  <si>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</si>
  <si>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</si>
  <si>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</si>
  <si>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</si>
  <si>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</si>
  <si>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</si>
  <si>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</si>
  <si>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</si>
  <si>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</si>
  <si>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</si>
  <si>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</si>
  <si>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</si>
  <si>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</si>
  <si>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</si>
  <si>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</si>
  <si>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</si>
  <si>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</si>
  <si>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</si>
  <si>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</si>
  <si>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</si>
  <si>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</si>
  <si>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</si>
  <si>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</si>
  <si>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</si>
  <si>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</si>
  <si>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</si>
  <si>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</si>
  <si>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</si>
  <si>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</si>
  <si>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</si>
  <si>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</si>
  <si>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</si>
  <si>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</si>
  <si>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</si>
  <si>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</si>
  <si>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</si>
  <si>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</si>
  <si>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</si>
  <si>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</si>
  <si>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</si>
  <si>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</si>
  <si>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</si>
  <si>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</si>
  <si>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</si>
  <si>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</si>
  <si>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</si>
  <si>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</si>
  <si>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</si>
  <si>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</si>
  <si>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</si>
  <si>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</si>
  <si>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</si>
  <si>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</si>
  <si>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</si>
  <si>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</si>
  <si>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</si>
  <si>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</si>
  <si>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</si>
  <si>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</si>
  <si>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</si>
  <si>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</si>
  <si>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</si>
  <si>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</si>
  <si>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</si>
  <si>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</si>
  <si>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</si>
  <si>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</si>
  <si>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</si>
  <si>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</si>
  <si>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</si>
  <si>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</si>
  <si>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</si>
  <si>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</si>
  <si>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</si>
  <si>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</si>
  <si>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</si>
  <si>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</si>
  <si>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</si>
  <si>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</si>
  <si>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</si>
  <si>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</si>
  <si>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</si>
  <si>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</si>
  <si>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</si>
  <si>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</si>
  <si>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</si>
  <si>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</si>
  <si>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</si>
  <si>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</si>
  <si>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</si>
  <si>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</si>
  <si>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</si>
  <si>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</si>
  <si>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</si>
  <si>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</si>
  <si>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</si>
  <si>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</si>
  <si>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</si>
  <si>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</si>
  <si>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</si>
  <si>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</si>
  <si>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</si>
  <si>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</si>
  <si>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</si>
  <si>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</si>
  <si>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</si>
  <si>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</si>
  <si>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</si>
  <si>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</si>
  <si>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</si>
  <si>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</si>
  <si>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</si>
  <si>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</si>
  <si>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</si>
  <si>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</si>
  <si>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</si>
  <si>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</si>
  <si>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</si>
  <si>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</si>
  <si>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</si>
  <si>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</si>
  <si>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</si>
  <si>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</si>
  <si>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</si>
  <si>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</si>
  <si>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</si>
  <si>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</si>
  <si>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</si>
  <si>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</si>
  <si>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</si>
  <si>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</si>
  <si>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</si>
  <si>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</si>
  <si>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</si>
  <si>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</si>
  <si>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</si>
  <si>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</si>
  <si>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</si>
  <si>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</si>
  <si>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</si>
  <si>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</si>
  <si>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</si>
  <si>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</si>
  <si>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</si>
  <si>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</si>
  <si>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</si>
  <si>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</si>
  <si>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</si>
  <si>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</si>
  <si>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</si>
  <si>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</si>
  <si>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</si>
  <si>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</si>
  <si>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</si>
  <si>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</si>
  <si>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</si>
  <si>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</si>
  <si>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</si>
  <si>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</si>
  <si>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</si>
  <si>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</si>
  <si>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</si>
  <si>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</si>
  <si>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</si>
  <si>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</si>
  <si>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</si>
  <si>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</si>
  <si>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</si>
  <si>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</si>
  <si>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</si>
  <si>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</si>
  <si>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</si>
  <si>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</si>
  <si>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</si>
  <si>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</si>
  <si>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</si>
  <si>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</si>
  <si>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</si>
  <si>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</si>
  <si>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</si>
  <si>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</si>
  <si>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</si>
  <si>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</si>
  <si>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</si>
  <si>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</si>
  <si>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</si>
  <si>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</si>
  <si>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</si>
  <si>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</si>
  <si>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</si>
  <si>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</si>
  <si>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</si>
  <si>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</si>
  <si>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</si>
  <si>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</si>
  <si>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</si>
  <si>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</si>
  <si>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</si>
  <si>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</si>
  <si>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</si>
  <si>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</si>
  <si>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</si>
  <si>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</si>
  <si>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</si>
  <si>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</si>
  <si>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</si>
  <si>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</si>
  <si>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</si>
  <si>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</si>
  <si>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</si>
  <si>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</si>
  <si>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</si>
  <si>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</si>
  <si>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</si>
  <si>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</si>
  <si>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</si>
  <si>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</si>
  <si>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</si>
  <si>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</si>
  <si>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</si>
  <si>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</si>
  <si>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</si>
  <si>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</si>
  <si>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</si>
  <si>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</si>
  <si>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</si>
  <si>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</si>
  <si>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</si>
  <si>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</si>
  <si>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</si>
  <si>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</si>
  <si>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</si>
  <si>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</si>
  <si>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</si>
  <si>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</si>
  <si>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</si>
  <si>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</si>
  <si>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</si>
  <si>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</si>
  <si>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</si>
  <si>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</si>
  <si>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</si>
  <si>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</si>
  <si>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</si>
  <si>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</si>
  <si>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</si>
  <si>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</si>
  <si>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</si>
  <si>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</si>
  <si>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</si>
  <si>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</si>
  <si>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</si>
  <si>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</si>
  <si>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</si>
  <si>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</si>
  <si>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</si>
  <si>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</si>
  <si>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</si>
  <si>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</si>
  <si>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</si>
  <si>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</si>
  <si>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</si>
  <si>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</si>
  <si>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</si>
  <si>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</si>
  <si>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</si>
  <si>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</si>
  <si>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</si>
  <si>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</si>
  <si>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</si>
  <si>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</si>
  <si>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</si>
  <si>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</si>
  <si>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</si>
  <si>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</si>
  <si>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</si>
  <si>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</si>
  <si>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</si>
  <si>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</si>
  <si>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</si>
  <si>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</si>
  <si>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</si>
  <si>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</si>
  <si>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</si>
  <si>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</si>
  <si>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</si>
  <si>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</si>
  <si>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</si>
  <si>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</si>
  <si>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</si>
  <si>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</si>
  <si>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</si>
  <si>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</si>
  <si>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</si>
  <si>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</si>
  <si>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</si>
  <si>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</si>
  <si>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</si>
  <si>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</si>
  <si>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</si>
  <si>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</si>
  <si>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</si>
  <si>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</si>
  <si>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</si>
  <si>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</si>
  <si>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</si>
  <si>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</si>
  <si>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</si>
  <si>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</si>
  <si>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</si>
  <si>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</si>
  <si>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</si>
  <si>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</si>
  <si>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</si>
  <si>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</si>
  <si>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</si>
  <si>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</si>
  <si>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</si>
  <si>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</si>
  <si>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</si>
  <si>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</si>
  <si>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</si>
  <si>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</si>
  <si>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</si>
  <si>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</si>
  <si>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</si>
  <si>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</si>
  <si>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</si>
  <si>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</si>
  <si>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</si>
  <si>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</si>
  <si>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</si>
  <si>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</si>
  <si>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</si>
  <si>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</si>
  <si>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</si>
  <si>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</si>
  <si>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</si>
  <si>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</si>
  <si>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</si>
  <si>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</si>
  <si>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</si>
  <si>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</si>
  <si>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</si>
  <si>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</si>
  <si>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</si>
  <si>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</si>
  <si>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</si>
  <si>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</si>
  <si>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</si>
  <si>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</si>
  <si>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</si>
  <si>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</si>
  <si>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</si>
  <si>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</si>
  <si>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</si>
  <si>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</si>
  <si>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</si>
  <si>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</si>
  <si>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</si>
  <si>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</si>
  <si>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</si>
  <si>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</si>
  <si>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</si>
  <si>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</si>
  <si>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</si>
  <si>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</si>
  <si>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</si>
  <si>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</si>
  <si>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</si>
  <si>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</si>
  <si>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</si>
  <si>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</si>
  <si>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</si>
  <si>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</si>
  <si>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</si>
  <si>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</si>
  <si>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</si>
  <si>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</si>
  <si>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</si>
  <si>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</si>
  <si>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</si>
  <si>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</si>
  <si>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</si>
  <si>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</si>
  <si>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</si>
  <si>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</si>
  <si>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</si>
  <si>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</si>
  <si>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</si>
  <si>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</si>
  <si>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</si>
  <si>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</si>
  <si>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</si>
  <si>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</si>
  <si>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</si>
  <si>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</si>
  <si>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</si>
  <si>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</si>
  <si>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</si>
  <si>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</si>
  <si>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</si>
  <si>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</si>
  <si>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</si>
  <si>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</si>
  <si>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</si>
  <si>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</si>
  <si>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</si>
  <si>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</si>
  <si>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</si>
  <si>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</si>
  <si>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</si>
  <si>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</si>
  <si>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</si>
  <si>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</si>
  <si>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</si>
  <si>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</si>
  <si>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</si>
  <si>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</si>
  <si>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</si>
  <si>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</si>
  <si>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</si>
  <si>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</si>
  <si>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</si>
  <si>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</si>
  <si>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</si>
  <si>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</si>
  <si>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</si>
  <si>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</si>
  <si>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</si>
  <si>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</si>
  <si>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</si>
  <si>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</si>
  <si>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</si>
  <si>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</si>
  <si>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</si>
  <si>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</si>
  <si>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</si>
  <si>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</si>
  <si>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</si>
  <si>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</si>
  <si>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</si>
  <si>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</si>
  <si>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</si>
  <si>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</si>
  <si>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</si>
  <si>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</si>
  <si>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</si>
  <si>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</si>
  <si>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</si>
  <si>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</si>
  <si>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</si>
  <si>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</si>
  <si>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</si>
  <si>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</si>
  <si>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</si>
  <si>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</si>
  <si>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</si>
  <si>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</si>
  <si>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</si>
  <si>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</si>
  <si>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</si>
  <si>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</si>
  <si>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</si>
  <si>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</si>
  <si>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</si>
  <si>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</si>
  <si>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</si>
  <si>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</si>
  <si>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</si>
  <si>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</si>
  <si>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</si>
  <si>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</si>
  <si>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</si>
  <si>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</si>
  <si>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</si>
  <si>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</si>
  <si>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</si>
  <si>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</si>
  <si>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</si>
  <si>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</si>
  <si>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</si>
  <si>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</si>
  <si>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</si>
  <si>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</si>
  <si>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</si>
  <si>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</si>
  <si>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</si>
  <si>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</si>
  <si>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</si>
  <si>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</si>
  <si>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</si>
  <si>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</si>
  <si>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</si>
  <si>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</si>
  <si>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</si>
  <si>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</si>
  <si>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</si>
  <si>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</si>
  <si>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</si>
  <si>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</si>
  <si>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</si>
  <si>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</si>
  <si>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</si>
  <si>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</si>
  <si>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</si>
  <si>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</si>
  <si>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</si>
  <si>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</si>
  <si>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</si>
  <si>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</si>
  <si>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</si>
  <si>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</si>
  <si>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</si>
  <si>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</si>
  <si>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</si>
  <si>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</si>
  <si>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</si>
  <si>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</si>
  <si>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</si>
  <si>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</si>
  <si>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</si>
  <si>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</si>
  <si>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</si>
  <si>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</si>
  <si>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</si>
  <si>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</si>
  <si>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</si>
  <si>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</si>
  <si>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</si>
  <si>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</si>
  <si>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</si>
  <si>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</si>
  <si>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</si>
  <si>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</si>
  <si>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</si>
  <si>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</si>
  <si>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</si>
  <si>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</si>
  <si>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</si>
  <si>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</si>
  <si>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</si>
  <si>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</si>
  <si>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</si>
  <si>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</si>
  <si>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</si>
  <si>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</si>
  <si>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</si>
  <si>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</si>
  <si>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</si>
  <si>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</si>
  <si>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</si>
  <si>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</si>
  <si>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</si>
  <si>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</si>
  <si>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</si>
  <si>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</si>
  <si>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</si>
  <si>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</si>
  <si>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</si>
  <si>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</si>
  <si>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</si>
  <si>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</si>
  <si>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</si>
  <si>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</si>
  <si>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</si>
  <si>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</si>
  <si>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</si>
  <si>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</si>
  <si>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</si>
  <si>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</si>
  <si>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</si>
  <si>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</si>
  <si>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</si>
  <si>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</si>
  <si>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</si>
  <si>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</si>
  <si>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</si>
  <si>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</si>
  <si>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</si>
  <si>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</si>
  <si>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</si>
  <si>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</si>
  <si>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</si>
  <si>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</si>
  <si>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</si>
  <si>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</si>
  <si>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</si>
  <si>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</si>
  <si>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</si>
  <si>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</si>
  <si>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</si>
  <si>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</si>
  <si>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</si>
  <si>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</si>
  <si>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</si>
  <si>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</si>
  <si>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</si>
  <si>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</si>
  <si>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</si>
  <si>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</si>
  <si>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</si>
  <si>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</si>
  <si>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</si>
  <si>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</si>
  <si>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</si>
  <si>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</si>
  <si>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</si>
  <si>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</si>
  <si>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</si>
  <si>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</si>
  <si>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</si>
  <si>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</si>
  <si>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</si>
  <si>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</si>
  <si>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</si>
  <si>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</si>
  <si>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</si>
  <si>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</si>
  <si>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</si>
  <si>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</si>
  <si>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</si>
  <si>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</si>
  <si>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</si>
  <si>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</si>
  <si>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</si>
  <si>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</si>
  <si>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</si>
  <si>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</si>
  <si>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</si>
  <si>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</si>
  <si>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</si>
  <si>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</si>
  <si>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</si>
  <si>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</si>
  <si>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</si>
  <si>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</si>
  <si>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</si>
  <si>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</si>
  <si>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</si>
  <si>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</si>
  <si>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</si>
  <si>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</si>
  <si>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</si>
  <si>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</si>
  <si>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</si>
  <si>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</si>
  <si>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</si>
  <si>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</si>
  <si>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</si>
  <si>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</si>
  <si>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</si>
  <si>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</si>
  <si>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</si>
  <si>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</si>
  <si>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</si>
  <si>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</si>
  <si>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</si>
  <si>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</si>
  <si>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</si>
  <si>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</si>
  <si>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</si>
  <si>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</si>
  <si>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</si>
  <si>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</si>
  <si>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</si>
  <si>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</si>
  <si>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</si>
  <si>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</si>
  <si>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</si>
  <si>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</si>
  <si>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</si>
  <si>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</si>
  <si>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</si>
  <si>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</si>
  <si>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</si>
  <si>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</si>
  <si>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</si>
  <si>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</si>
  <si>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</si>
  <si>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</si>
  <si>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</si>
  <si>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</si>
  <si>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</si>
  <si>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</si>
  <si>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</si>
  <si>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</si>
  <si>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</si>
  <si>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</si>
  <si>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</si>
  <si>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</si>
  <si>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</si>
  <si>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</si>
  <si>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</si>
  <si>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</si>
  <si>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</si>
  <si>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</si>
  <si>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</si>
  <si>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</si>
  <si>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</si>
  <si>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</si>
  <si>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</si>
  <si>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</si>
  <si>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</si>
  <si>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</si>
  <si>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</si>
  <si>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</si>
  <si>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</si>
  <si>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</si>
  <si>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</si>
  <si>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</si>
  <si>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</si>
  <si>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</si>
  <si>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</si>
  <si>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</si>
  <si>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</si>
  <si>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</si>
  <si>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</si>
  <si>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</si>
  <si>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</si>
  <si>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</si>
  <si>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</si>
  <si>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</si>
  <si>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</si>
  <si>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</si>
  <si>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</si>
  <si>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</si>
  <si>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</si>
  <si>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</si>
  <si>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</si>
  <si>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</si>
  <si>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</si>
  <si>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</si>
  <si>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</si>
  <si>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</si>
  <si>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</si>
  <si>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</si>
  <si>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</si>
  <si>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</si>
  <si>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</si>
  <si>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</si>
  <si>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</si>
  <si>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</si>
  <si>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</si>
  <si>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</si>
  <si>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</si>
  <si>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</si>
  <si>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</si>
  <si>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</si>
  <si>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</si>
  <si>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</si>
  <si>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</si>
  <si>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</si>
  <si>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</si>
  <si>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</si>
  <si>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</si>
  <si>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</si>
  <si>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</si>
  <si>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</si>
  <si>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</si>
  <si>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</si>
  <si>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</si>
  <si>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</si>
  <si>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</si>
  <si>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</si>
  <si>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</si>
  <si>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</si>
  <si>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</si>
  <si>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</si>
  <si>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</si>
  <si>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</si>
  <si>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</si>
  <si>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</si>
  <si>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</si>
  <si>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</si>
  <si>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</si>
  <si>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</si>
  <si>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</si>
  <si>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</si>
  <si>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</si>
  <si>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</si>
  <si>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</si>
  <si>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</si>
  <si>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</si>
  <si>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</si>
  <si>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</si>
  <si>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</si>
  <si>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</si>
  <si>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</si>
  <si>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</si>
  <si>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</si>
  <si>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</si>
  <si>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</si>
  <si>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</si>
  <si>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</si>
  <si>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</si>
  <si>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</si>
  <si>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</si>
  <si>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</si>
  <si>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</si>
  <si>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</si>
  <si>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</si>
  <si>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</si>
  <si>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</si>
  <si>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</si>
  <si>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</si>
  <si>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</si>
  <si>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</si>
  <si>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</si>
  <si>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</si>
  <si>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</si>
  <si>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</si>
  <si>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</si>
  <si>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</si>
  <si>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</si>
  <si>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</si>
  <si>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</si>
  <si>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</si>
  <si>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</si>
  <si>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</si>
  <si>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</si>
  <si>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</si>
  <si>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</si>
  <si>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</si>
  <si>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</si>
  <si>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</si>
  <si>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</si>
  <si>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</si>
  <si>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</si>
  <si>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</si>
  <si>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</si>
  <si>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</si>
  <si>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</si>
  <si>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</si>
  <si>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</si>
  <si>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</si>
  <si>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</si>
  <si>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</si>
  <si>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</si>
  <si>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</si>
  <si>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</si>
  <si>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</si>
  <si>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</si>
  <si>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</si>
  <si>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</si>
  <si>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</si>
  <si>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</si>
  <si>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</si>
  <si>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</si>
  <si>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</si>
  <si>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</si>
  <si>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</si>
  <si>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</si>
  <si>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</si>
  <si>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</si>
  <si>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</si>
  <si>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</si>
  <si>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</si>
  <si>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</si>
  <si>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</si>
  <si>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</si>
  <si>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</si>
  <si>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</si>
  <si>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</si>
  <si>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</si>
  <si>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</si>
  <si>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</si>
  <si>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</si>
  <si>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</si>
  <si>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</si>
  <si>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</si>
  <si>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</si>
  <si>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</si>
  <si>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</si>
  <si>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</si>
  <si>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</si>
  <si>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</si>
  <si>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</si>
  <si>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</si>
  <si>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</si>
  <si>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</si>
  <si>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</si>
  <si>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</si>
  <si>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</si>
  <si>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</si>
  <si>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</si>
  <si>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</si>
  <si>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</si>
  <si>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</si>
  <si>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</si>
  <si>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</si>
  <si>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</si>
  <si>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</si>
  <si>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</si>
  <si>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</si>
  <si>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</si>
  <si>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</si>
  <si>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</si>
  <si>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</si>
  <si>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</si>
  <si>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</si>
  <si>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</si>
  <si>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</si>
  <si>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</si>
  <si>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</si>
  <si>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</si>
  <si>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</si>
  <si>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</si>
  <si>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</si>
  <si>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</si>
  <si>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</si>
  <si>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</si>
  <si>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</si>
  <si>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</si>
  <si>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</si>
  <si>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</si>
  <si>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</si>
  <si>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</si>
  <si>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</si>
  <si>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</si>
  <si>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</si>
  <si>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</si>
  <si>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</si>
  <si>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</si>
  <si>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</si>
  <si>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</si>
  <si>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</si>
  <si>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</si>
  <si>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</si>
  <si>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</si>
  <si>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</si>
  <si>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</si>
  <si>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</si>
  <si>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</si>
  <si>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</si>
  <si>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</si>
  <si>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</si>
  <si>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</si>
  <si>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</si>
  <si>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</si>
  <si>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</si>
  <si>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</si>
  <si>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</si>
  <si>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</si>
  <si>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</si>
  <si>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</si>
  <si>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</si>
  <si>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</si>
  <si>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</si>
  <si>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</si>
  <si>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</si>
  <si>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</si>
  <si>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</si>
  <si>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</si>
  <si>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</si>
  <si>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</si>
  <si>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</si>
  <si>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</si>
  <si>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</si>
  <si>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</si>
  <si>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</si>
  <si>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</si>
  <si>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</si>
  <si>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</si>
  <si>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</si>
  <si>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</si>
  <si>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</si>
  <si>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</si>
  <si>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</si>
  <si>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</si>
  <si>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</si>
  <si>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</si>
  <si>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</si>
  <si>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</si>
  <si>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</si>
  <si>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</si>
  <si>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</si>
  <si>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</si>
  <si>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</si>
  <si>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</si>
  <si>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</si>
  <si>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</si>
  <si>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</si>
  <si>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</si>
  <si>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</si>
  <si>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</si>
  <si>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</si>
  <si>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</si>
  <si>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</si>
  <si>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</si>
  <si>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</si>
  <si>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</si>
  <si>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</si>
  <si>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</si>
  <si>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</si>
  <si>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</si>
  <si>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</si>
  <si>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</si>
  <si>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</si>
  <si>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</si>
  <si>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</si>
  <si>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</si>
  <si>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</si>
  <si>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</si>
  <si>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</si>
  <si>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</si>
  <si>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</si>
  <si>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</si>
  <si>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</si>
  <si>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</si>
  <si>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</si>
  <si>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</si>
  <si>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</si>
  <si>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</si>
  <si>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</si>
  <si>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</si>
  <si>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</si>
  <si>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</si>
  <si>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</si>
  <si>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</si>
  <si>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</si>
  <si>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</si>
  <si>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</si>
  <si>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</si>
  <si>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</si>
  <si>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</si>
  <si>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</si>
  <si>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</si>
  <si>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</si>
  <si>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</si>
  <si>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</si>
  <si>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</si>
  <si>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</si>
  <si>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</si>
  <si>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</si>
  <si>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</si>
  <si>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</si>
  <si>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</si>
  <si>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</si>
  <si>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</si>
  <si>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</si>
  <si>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</si>
  <si>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</si>
  <si>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</si>
  <si>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</si>
  <si>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</si>
  <si>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</si>
  <si>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</si>
  <si>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</si>
  <si>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</si>
  <si>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</si>
  <si>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</si>
  <si>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</si>
  <si>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</si>
  <si>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</si>
  <si>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</si>
  <si>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</si>
  <si>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</si>
  <si>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</si>
  <si>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</si>
  <si>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</si>
  <si>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</si>
  <si>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</si>
  <si>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</si>
  <si>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</si>
  <si>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</si>
  <si>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</si>
  <si>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</si>
  <si>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</si>
  <si>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</si>
  <si>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</si>
  <si>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</si>
  <si>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</si>
  <si>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</si>
  <si>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</si>
  <si>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</si>
  <si>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</si>
  <si>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</si>
  <si>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</si>
  <si>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</si>
  <si>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</si>
  <si>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</si>
  <si>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</si>
  <si>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</si>
  <si>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</si>
  <si>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</si>
  <si>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</si>
  <si>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</si>
  <si>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</si>
  <si>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</si>
  <si>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</si>
  <si>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</si>
  <si>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</si>
  <si>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</si>
  <si>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</si>
  <si>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</si>
  <si>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</si>
  <si>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</si>
  <si>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</si>
  <si>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</si>
  <si>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</si>
  <si>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</si>
  <si>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</si>
  <si>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</si>
  <si>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</si>
  <si>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</si>
  <si>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</si>
  <si>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</si>
  <si>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</si>
  <si>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</si>
  <si>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</si>
  <si>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</si>
  <si>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</si>
  <si>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</si>
  <si>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</si>
  <si>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</si>
  <si>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</si>
  <si>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</si>
  <si>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</si>
  <si>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</si>
  <si>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</si>
  <si>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</si>
  <si>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</si>
  <si>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</si>
  <si>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</si>
  <si>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</si>
  <si>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</si>
  <si>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</si>
  <si>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</si>
  <si>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</si>
  <si>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</si>
  <si>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</si>
  <si>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</si>
  <si>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</si>
  <si>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</si>
  <si>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</si>
  <si>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</si>
  <si>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</si>
  <si>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</si>
  <si>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</si>
  <si>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</si>
  <si>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</si>
  <si>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</si>
  <si>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</si>
  <si>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</si>
  <si>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</si>
  <si>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</si>
  <si>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</si>
  <si>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</si>
  <si>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</si>
  <si>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</si>
  <si>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</si>
  <si>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</si>
  <si>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</si>
  <si>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</si>
  <si>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</si>
  <si>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</si>
  <si>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</si>
  <si>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</si>
  <si>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</si>
  <si>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</si>
  <si>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</si>
  <si>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</si>
  <si>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</si>
  <si>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</si>
  <si>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</si>
  <si>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</si>
  <si>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</si>
  <si>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</si>
  <si>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</si>
  <si>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</si>
  <si>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</si>
  <si>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</si>
  <si>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</si>
  <si>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</si>
  <si>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</si>
  <si>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</si>
  <si>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</si>
  <si>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</si>
  <si>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</si>
  <si>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</si>
  <si>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</si>
  <si>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</si>
  <si>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</si>
  <si>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</si>
  <si>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</si>
  <si>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</si>
  <si>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</si>
  <si>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</si>
  <si>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</si>
  <si>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</si>
  <si>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</si>
  <si>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</si>
  <si>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</si>
  <si>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</si>
  <si>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</si>
  <si>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</si>
  <si>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</si>
  <si>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</si>
  <si>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</si>
  <si>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</si>
  <si>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</si>
  <si>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</si>
  <si>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</si>
  <si>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</si>
  <si>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</si>
  <si>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</si>
  <si>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</si>
  <si>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</si>
  <si>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</si>
  <si>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</si>
  <si>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</si>
  <si>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</si>
  <si>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</si>
  <si>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</si>
  <si>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</si>
  <si>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</si>
  <si>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</si>
  <si>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</si>
  <si>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</si>
  <si>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</si>
  <si>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</si>
  <si>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</si>
  <si>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</si>
  <si>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</si>
  <si>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</si>
  <si>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</si>
  <si>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</si>
  <si>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</si>
  <si>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</si>
  <si>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</si>
  <si>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</si>
  <si>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</si>
  <si>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</si>
  <si>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</si>
  <si>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</si>
  <si>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</si>
  <si>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</si>
  <si>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</si>
  <si>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</si>
  <si>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</si>
  <si>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</si>
  <si>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</si>
  <si>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</si>
  <si>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</si>
  <si>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</si>
  <si>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</si>
  <si>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</si>
  <si>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</si>
  <si>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</si>
  <si>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</si>
  <si>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</si>
  <si>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</si>
  <si>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</si>
  <si>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</si>
  <si>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</si>
  <si>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</si>
  <si>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</si>
  <si>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</si>
  <si>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</si>
  <si>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</si>
  <si>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</si>
  <si>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</si>
  <si>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</si>
  <si>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</si>
  <si>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</si>
  <si>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</si>
  <si>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</si>
  <si>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</si>
  <si>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</si>
  <si>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</si>
  <si>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</si>
  <si>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</si>
  <si>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</si>
  <si>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</si>
  <si>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</si>
  <si>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</si>
  <si>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</si>
  <si>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</si>
  <si>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</si>
  <si>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</si>
  <si>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</si>
  <si>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</si>
  <si>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</si>
  <si>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</si>
  <si>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</si>
  <si>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</si>
  <si>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</si>
  <si>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</si>
  <si>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</si>
  <si>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</si>
  <si>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</si>
  <si>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</si>
  <si>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</si>
  <si>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</si>
  <si>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</si>
  <si>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</si>
  <si>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</si>
  <si>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</si>
  <si>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</si>
  <si>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</si>
  <si>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</si>
  <si>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</si>
  <si>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</si>
  <si>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</si>
  <si>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</si>
  <si>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</si>
  <si>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</si>
  <si>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</si>
  <si>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</si>
  <si>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</si>
  <si>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</si>
  <si>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</si>
  <si>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</si>
  <si>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</si>
  <si>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</si>
  <si>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</si>
  <si>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</si>
  <si>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</si>
  <si>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</si>
  <si>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</si>
  <si>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</si>
  <si>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</si>
  <si>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</si>
  <si>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</si>
  <si>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</si>
  <si>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</si>
  <si>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</si>
  <si>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</si>
  <si>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</si>
  <si>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</si>
  <si>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</si>
  <si>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</si>
  <si>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</si>
  <si>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</si>
  <si>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</si>
  <si>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</si>
  <si>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</si>
  <si>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出让</t>
  </si>
  <si>
    <t>住宅</t>
  </si>
  <si>
    <t>是</t>
  </si>
  <si>
    <t>地上</t>
  </si>
  <si>
    <t>车库</t>
  </si>
  <si>
    <t>高速路</t>
    <phoneticPr fontId="3" type="noConversion"/>
  </si>
  <si>
    <t>快速路</t>
    <phoneticPr fontId="3" type="noConversion"/>
  </si>
  <si>
    <t>主干道</t>
    <phoneticPr fontId="3" type="noConversion"/>
  </si>
  <si>
    <t>次干道</t>
    <phoneticPr fontId="3" type="noConversion"/>
  </si>
  <si>
    <t>支路</t>
    <phoneticPr fontId="3" type="noConversion"/>
  </si>
  <si>
    <t>1级</t>
    <phoneticPr fontId="3" type="noConversion"/>
  </si>
  <si>
    <t>2级</t>
    <phoneticPr fontId="3" type="noConversion"/>
  </si>
  <si>
    <t>3级</t>
    <phoneticPr fontId="3" type="noConversion"/>
  </si>
  <si>
    <t>4级</t>
  </si>
  <si>
    <t>5级</t>
  </si>
  <si>
    <t>6级</t>
  </si>
  <si>
    <t>7级</t>
  </si>
  <si>
    <t>8级</t>
  </si>
  <si>
    <t>9级</t>
  </si>
  <si>
    <t>10级</t>
  </si>
  <si>
    <t>11级</t>
  </si>
  <si>
    <t>规则</t>
    <phoneticPr fontId="3" type="noConversion"/>
  </si>
  <si>
    <t>较规则</t>
    <phoneticPr fontId="3" type="noConversion"/>
  </si>
  <si>
    <t>较不规则</t>
    <phoneticPr fontId="3" type="noConversion"/>
  </si>
  <si>
    <t>不规则</t>
    <phoneticPr fontId="3" type="noConversion"/>
  </si>
  <si>
    <t>比例适宜</t>
    <phoneticPr fontId="3" type="noConversion"/>
  </si>
  <si>
    <t>比例较适宜</t>
    <phoneticPr fontId="3" type="noConversion"/>
  </si>
  <si>
    <t>比较较不适宜</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</si>
  <si>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</si>
  <si>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</si>
  <si>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</si>
  <si>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</si>
  <si>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</si>
  <si>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</si>
  <si>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</si>
  <si>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</si>
  <si>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</si>
  <si>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</si>
  <si>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较好</t>
  </si>
  <si>
    <t>一般</t>
  </si>
  <si>
    <t>七通</t>
  </si>
  <si>
    <t>较规则</t>
  </si>
  <si>
    <t>比例较适宜</t>
  </si>
  <si>
    <t>估价对象</t>
    <phoneticPr fontId="3" type="noConversion"/>
  </si>
  <si>
    <t>正常</t>
  </si>
  <si>
    <t>高层</t>
  </si>
  <si>
    <t>高层</t>
    <phoneticPr fontId="25" type="noConversion"/>
  </si>
  <si>
    <t>钢结构</t>
    <phoneticPr fontId="3" type="noConversion"/>
  </si>
  <si>
    <t>钢混</t>
    <phoneticPr fontId="3" type="noConversion"/>
  </si>
  <si>
    <t>砖混</t>
    <phoneticPr fontId="3" type="noConversion"/>
  </si>
  <si>
    <t>高档</t>
    <phoneticPr fontId="3" type="noConversion"/>
  </si>
  <si>
    <t>中档</t>
    <phoneticPr fontId="3" type="noConversion"/>
  </si>
  <si>
    <t>精装修</t>
    <phoneticPr fontId="3" type="noConversion"/>
  </si>
  <si>
    <t>普通装修</t>
    <phoneticPr fontId="3" type="noConversion"/>
  </si>
  <si>
    <t>简装</t>
    <phoneticPr fontId="3" type="noConversion"/>
  </si>
  <si>
    <t>毛坯</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</si>
  <si>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</si>
  <si>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</si>
  <si>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</si>
  <si>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</si>
  <si>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</si>
  <si>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</si>
  <si>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</si>
  <si>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LOFT</t>
    <phoneticPr fontId="3" type="noConversion"/>
  </si>
  <si>
    <t>平层</t>
    <phoneticPr fontId="3" type="noConversion"/>
  </si>
  <si>
    <t>70至90</t>
    <phoneticPr fontId="3" type="noConversion"/>
  </si>
  <si>
    <t>80至100</t>
    <phoneticPr fontId="3" type="noConversion"/>
  </si>
  <si>
    <t>100至130</t>
    <phoneticPr fontId="3" type="noConversion"/>
  </si>
  <si>
    <t>130至150</t>
    <phoneticPr fontId="3" type="noConversion"/>
  </si>
  <si>
    <t>钢混</t>
  </si>
  <si>
    <t>高档</t>
  </si>
  <si>
    <t>精装修</t>
  </si>
  <si>
    <t>专业</t>
  </si>
  <si>
    <t>平层</t>
  </si>
  <si>
    <t>在建（套用方法）</t>
  </si>
  <si>
    <t>非生产用房</t>
  </si>
  <si>
    <t>华业东方玫瑰</t>
    <phoneticPr fontId="3" type="noConversion"/>
  </si>
  <si>
    <t>珠江拉维小镇</t>
    <phoneticPr fontId="3" type="noConversion"/>
  </si>
  <si>
    <t>车库</t>
    <phoneticPr fontId="32" type="noConversion"/>
  </si>
  <si>
    <t>30-40（含）</t>
  </si>
  <si>
    <t>40-50（含）</t>
  </si>
  <si>
    <t>地下一层</t>
  </si>
  <si>
    <t>地下一层</t>
    <phoneticPr fontId="32" type="noConversion"/>
  </si>
  <si>
    <t>1:0.82</t>
    <phoneticPr fontId="3" type="noConversion"/>
  </si>
  <si>
    <t>1:0.7</t>
    <phoneticPr fontId="3" type="noConversion"/>
  </si>
  <si>
    <t>1:0.64</t>
    <phoneticPr fontId="3" type="noConversion"/>
  </si>
  <si>
    <t>1:1</t>
    <phoneticPr fontId="3" type="noConversion"/>
  </si>
  <si>
    <t>精装修</t>
    <phoneticPr fontId="3" type="noConversion"/>
  </si>
  <si>
    <r>
      <rPr>
        <sz val="11"/>
        <color indexed="8"/>
        <rFont val="楷体_GB2312"/>
        <family val="3"/>
        <charset val="134"/>
      </rPr>
      <t>普通装修</t>
    </r>
    <phoneticPr fontId="3" type="noConversion"/>
  </si>
  <si>
    <r>
      <rPr>
        <sz val="11"/>
        <color indexed="8"/>
        <rFont val="楷体_GB2312"/>
        <family val="3"/>
        <charset val="134"/>
      </rPr>
      <t>简装修</t>
    </r>
    <phoneticPr fontId="3" type="noConversion"/>
  </si>
  <si>
    <t>专业</t>
    <phoneticPr fontId="3" type="noConversion"/>
  </si>
  <si>
    <t>普通</t>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</si>
  <si>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</si>
  <si>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</si>
  <si>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r>
      <rPr>
        <sz val="11"/>
        <rFont val="楷体_GB2312"/>
        <family val="3"/>
        <charset val="134"/>
      </rPr>
      <t>是</t>
    </r>
    <phoneticPr fontId="3" type="noConversion"/>
  </si>
  <si>
    <r>
      <rPr>
        <sz val="11"/>
        <rFont val="楷体_GB2312"/>
        <family val="3"/>
        <charset val="134"/>
      </rPr>
      <t>否</t>
    </r>
    <phoneticPr fontId="3" type="noConversion"/>
  </si>
  <si>
    <t>平面车位</t>
  </si>
  <si>
    <t>住宅</t>
    <phoneticPr fontId="32" type="noConversion"/>
  </si>
  <si>
    <t>金成府</t>
    <phoneticPr fontId="3" type="noConversion"/>
  </si>
  <si>
    <t>售价</t>
  </si>
  <si>
    <t>成本法</t>
  </si>
  <si>
    <t>假设开发法</t>
  </si>
  <si>
    <t>按租金收入计税</t>
  </si>
  <si>
    <t>全部缴纳</t>
  </si>
  <si>
    <t>已包含在土地取得成本中</t>
  </si>
  <si>
    <t>已全部缴纳</t>
  </si>
  <si>
    <t>北京市系数</t>
  </si>
  <si>
    <t>成本比率</t>
  </si>
  <si>
    <t>商业收益法</t>
    <phoneticPr fontId="16" type="noConversion"/>
  </si>
  <si>
    <r>
      <rPr>
        <sz val="12"/>
        <color indexed="8"/>
        <rFont val="宋体"/>
        <family val="3"/>
        <charset val="134"/>
      </rPr>
      <t>住宅</t>
    </r>
    <phoneticPr fontId="6" type="noConversion"/>
  </si>
  <si>
    <t>有</t>
    <phoneticPr fontId="31" type="noConversion"/>
  </si>
  <si>
    <t>无</t>
    <phoneticPr fontId="31" type="noConversion"/>
  </si>
  <si>
    <t>有</t>
    <phoneticPr fontId="25" type="noConversion"/>
  </si>
  <si>
    <t>无</t>
    <phoneticPr fontId="25" type="noConversion"/>
  </si>
  <si>
    <r>
      <rPr>
        <b/>
        <sz val="10"/>
        <color indexed="8"/>
        <rFont val="宋体"/>
        <family val="3"/>
        <charset val="134"/>
      </rPr>
      <t>初审意见：</t>
    </r>
    <r>
      <rPr>
        <b/>
        <sz val="10"/>
        <color indexed="8"/>
        <rFont val="Arial"/>
        <family val="2"/>
      </rPr>
      <t>1.</t>
    </r>
    <r>
      <rPr>
        <b/>
        <sz val="10"/>
        <color indexed="8"/>
        <rFont val="宋体"/>
        <family val="3"/>
        <charset val="134"/>
      </rPr>
      <t>未见地价款票据及城市基础设施建设费票据；</t>
    </r>
    <r>
      <rPr>
        <b/>
        <sz val="10"/>
        <color indexed="8"/>
        <rFont val="Arial"/>
        <family val="2"/>
      </rPr>
      <t>2.</t>
    </r>
    <r>
      <rPr>
        <b/>
        <sz val="10"/>
        <color indexed="8"/>
        <rFont val="宋体"/>
        <family val="3"/>
        <charset val="134"/>
      </rPr>
      <t>确认地下车库是否可办理不动产权证；</t>
    </r>
    <r>
      <rPr>
        <b/>
        <sz val="10"/>
        <color indexed="8"/>
        <rFont val="Arial"/>
        <family val="2"/>
      </rPr>
      <t/>
    </r>
    <phoneticPr fontId="3" type="noConversion"/>
  </si>
  <si>
    <t>情况3</t>
  </si>
  <si>
    <t>出让金+开发费</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</si>
  <si>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</si>
  <si>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</si>
  <si>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</si>
  <si>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</si>
  <si>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</si>
  <si>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</si>
  <si>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</si>
  <si>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</si>
  <si>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</si>
  <si>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</si>
  <si>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</si>
  <si>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</si>
  <si>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</si>
  <si>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</si>
  <si>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商业/办公用地</t>
  </si>
  <si>
    <t>挂牌</t>
  </si>
  <si>
    <t>拍卖</t>
  </si>
  <si>
    <t>0星</t>
  </si>
  <si>
    <t>40</t>
    <phoneticPr fontId="31" type="noConversion"/>
  </si>
  <si>
    <t>六通</t>
  </si>
  <si>
    <t>六通一平</t>
  </si>
  <si>
    <t>2栋未售公寓</t>
  </si>
  <si>
    <t>请录依据文件名称：</t>
    <phoneticPr fontId="3" type="noConversion"/>
  </si>
  <si>
    <t>名居广场</t>
    <phoneticPr fontId="3" type="noConversion"/>
  </si>
  <si>
    <t>中粮祥云</t>
    <phoneticPr fontId="3" type="noConversion"/>
  </si>
  <si>
    <t>金地龙城中央自在寓</t>
    <phoneticPr fontId="3" type="noConversion"/>
  </si>
  <si>
    <t>商业</t>
    <phoneticPr fontId="25" type="noConversion"/>
  </si>
  <si>
    <t>38-72</t>
    <phoneticPr fontId="25" type="noConversion"/>
  </si>
  <si>
    <t>48-80</t>
    <phoneticPr fontId="25" type="noConversion"/>
  </si>
  <si>
    <t>40-77</t>
    <phoneticPr fontId="25" type="noConversion"/>
  </si>
  <si>
    <t>地下车库</t>
    <phoneticPr fontId="16" type="noConversion"/>
  </si>
  <si>
    <t>地上商业</t>
  </si>
  <si>
    <t>地上商业</t>
    <phoneticPr fontId="16" type="noConversion"/>
  </si>
  <si>
    <t>负一商业</t>
    <phoneticPr fontId="16" type="noConversion"/>
  </si>
  <si>
    <t>2015-4</t>
    <phoneticPr fontId="31" type="noConversion"/>
  </si>
  <si>
    <t>2015-3</t>
    <phoneticPr fontId="31" type="noConversion"/>
  </si>
  <si>
    <t>2015-2</t>
    <phoneticPr fontId="31" type="noConversion"/>
  </si>
  <si>
    <t>2015-1</t>
    <phoneticPr fontId="31" type="noConversion"/>
  </si>
  <si>
    <t>2014-4</t>
    <phoneticPr fontId="31" type="noConversion"/>
  </si>
  <si>
    <t>2014-3</t>
    <phoneticPr fontId="31" type="noConversion"/>
  </si>
  <si>
    <t>2014-2</t>
    <phoneticPr fontId="31" type="noConversion"/>
  </si>
  <si>
    <t>2014-1</t>
    <phoneticPr fontId="31" type="noConversion"/>
  </si>
  <si>
    <t>项目局部</t>
  </si>
  <si>
    <t>37000-40000</t>
    <phoneticPr fontId="18" type="noConversion"/>
  </si>
  <si>
    <t>平层</t>
    <phoneticPr fontId="18" type="noConversion"/>
  </si>
  <si>
    <t>loft</t>
    <phoneticPr fontId="18" type="noConversion"/>
  </si>
  <si>
    <r>
      <t>1</t>
    </r>
    <r>
      <rPr>
        <sz val="11"/>
        <color indexed="10"/>
        <rFont val="宋体"/>
        <family val="3"/>
        <charset val="134"/>
      </rPr>
      <t>栋</t>
    </r>
    <phoneticPr fontId="18" type="noConversion"/>
  </si>
  <si>
    <r>
      <t>2</t>
    </r>
    <r>
      <rPr>
        <sz val="11"/>
        <color indexed="10"/>
        <rFont val="宋体"/>
        <family val="3"/>
        <charset val="134"/>
      </rPr>
      <t>栋</t>
    </r>
    <phoneticPr fontId="18" type="noConversion"/>
  </si>
  <si>
    <t>未包含在土地购买价格中</t>
  </si>
  <si>
    <t>住宅63.7年、商业33.7年、地下车库43.7年</t>
    <phoneticPr fontId="6" type="noConversion"/>
  </si>
  <si>
    <t>B区未售商铺明细表</t>
  </si>
  <si>
    <t>原测绘面积</t>
    <phoneticPr fontId="143" type="noConversion"/>
  </si>
  <si>
    <t>新测绘面积</t>
    <phoneticPr fontId="143" type="noConversion"/>
  </si>
  <si>
    <t>序号</t>
  </si>
  <si>
    <t>楼栋</t>
  </si>
  <si>
    <t>商铺号</t>
  </si>
  <si>
    <t>建筑面积（㎡）</t>
  </si>
  <si>
    <t>备注</t>
  </si>
  <si>
    <t>1</t>
  </si>
  <si>
    <t>B23</t>
  </si>
  <si>
    <t>B23-101铺</t>
  </si>
  <si>
    <t>实测</t>
  </si>
  <si>
    <t>2</t>
  </si>
  <si>
    <t>B2#3#</t>
  </si>
  <si>
    <t>B2#3#103铺</t>
  </si>
  <si>
    <t>3</t>
  </si>
  <si>
    <t>B2#3#104铺</t>
  </si>
  <si>
    <t>4</t>
  </si>
  <si>
    <t>B2#3#105铺</t>
  </si>
  <si>
    <t>5</t>
  </si>
  <si>
    <t>B2#3#106铺</t>
  </si>
  <si>
    <t>6</t>
  </si>
  <si>
    <t>B2#3#107铺</t>
  </si>
  <si>
    <t>7</t>
  </si>
  <si>
    <t>B2#3#108铺</t>
  </si>
  <si>
    <t>8</t>
  </si>
  <si>
    <t>B2#3#109铺</t>
  </si>
  <si>
    <t>9</t>
  </si>
  <si>
    <t>B2#3#110铺</t>
  </si>
  <si>
    <t>10</t>
  </si>
  <si>
    <t>B2#3#112铺</t>
  </si>
  <si>
    <t>11</t>
  </si>
  <si>
    <t>B2#3#113铺</t>
  </si>
  <si>
    <t>12</t>
  </si>
  <si>
    <t>B2#3#114铺</t>
  </si>
  <si>
    <t>13</t>
  </si>
  <si>
    <t>B2#3#115铺</t>
  </si>
  <si>
    <t>14</t>
  </si>
  <si>
    <t>B2#3#116铺</t>
  </si>
  <si>
    <t>15</t>
  </si>
  <si>
    <t>B2#3#117铺</t>
  </si>
  <si>
    <t>16</t>
  </si>
  <si>
    <t>B2#3#118铺</t>
  </si>
  <si>
    <t>17</t>
  </si>
  <si>
    <t>B2#3#119铺</t>
  </si>
  <si>
    <t>18</t>
  </si>
  <si>
    <t>B2#3#120铺</t>
  </si>
  <si>
    <t>19</t>
  </si>
  <si>
    <t>B2#3#121铺</t>
  </si>
  <si>
    <t>20</t>
  </si>
  <si>
    <t>B2#3#122铺</t>
  </si>
  <si>
    <t>21</t>
  </si>
  <si>
    <t>B2#3#123铺</t>
  </si>
  <si>
    <t>22</t>
  </si>
  <si>
    <t>B4</t>
  </si>
  <si>
    <t>B4-101铺</t>
  </si>
  <si>
    <t>23</t>
  </si>
  <si>
    <t>B4-102铺</t>
  </si>
  <si>
    <t>24</t>
  </si>
  <si>
    <t>B4-105铺</t>
  </si>
  <si>
    <t>25</t>
  </si>
  <si>
    <t>B4-106铺</t>
  </si>
  <si>
    <t>26</t>
  </si>
  <si>
    <t>B4-109铺</t>
  </si>
  <si>
    <t>27</t>
  </si>
  <si>
    <t>B4-111铺</t>
  </si>
  <si>
    <t>28</t>
  </si>
  <si>
    <t>B4-112铺</t>
  </si>
  <si>
    <t>29</t>
  </si>
  <si>
    <t>B4-114铺</t>
  </si>
  <si>
    <t>30</t>
  </si>
  <si>
    <t>B4-118铺</t>
  </si>
  <si>
    <t>31</t>
  </si>
  <si>
    <t>B1转角</t>
  </si>
  <si>
    <t>B1转角103铺</t>
  </si>
  <si>
    <t>32</t>
  </si>
  <si>
    <t>B1转角104铺</t>
  </si>
  <si>
    <t>33</t>
  </si>
  <si>
    <t>B1转角105铺</t>
  </si>
  <si>
    <t>34</t>
  </si>
  <si>
    <t>B1转角106铺</t>
  </si>
  <si>
    <t>35</t>
  </si>
  <si>
    <t>B1转角108铺</t>
  </si>
  <si>
    <t>36</t>
  </si>
  <si>
    <t>B1转角109铺</t>
  </si>
  <si>
    <t>37</t>
  </si>
  <si>
    <t>B1转角111铺</t>
  </si>
  <si>
    <t>38</t>
  </si>
  <si>
    <t>B1转角112铺</t>
  </si>
  <si>
    <t>39</t>
  </si>
  <si>
    <t>B1转角113铺</t>
  </si>
  <si>
    <t>40</t>
  </si>
  <si>
    <t>B1转角115铺</t>
  </si>
  <si>
    <t>41</t>
  </si>
  <si>
    <t>B1转角203铺</t>
  </si>
  <si>
    <t>42</t>
  </si>
  <si>
    <t>B1转角204铺</t>
  </si>
  <si>
    <t>43</t>
  </si>
  <si>
    <t>B1转角205铺</t>
  </si>
  <si>
    <t>44</t>
  </si>
  <si>
    <t>B1转角206铺</t>
  </si>
  <si>
    <t>45</t>
  </si>
  <si>
    <t>B1转角208铺</t>
  </si>
  <si>
    <t>46</t>
  </si>
  <si>
    <t>B1转角209铺</t>
  </si>
  <si>
    <t>47</t>
  </si>
  <si>
    <t>B1转角211铺</t>
  </si>
  <si>
    <t>48</t>
  </si>
  <si>
    <t>B1转角212铺</t>
  </si>
  <si>
    <t>49</t>
  </si>
  <si>
    <t>B1转角213铺</t>
  </si>
  <si>
    <t>50</t>
  </si>
  <si>
    <t>B1转角215铺</t>
  </si>
  <si>
    <t>51</t>
  </si>
  <si>
    <t>B28</t>
    <phoneticPr fontId="143" type="noConversion"/>
  </si>
  <si>
    <t>B28-103铺</t>
  </si>
  <si>
    <t>52</t>
  </si>
  <si>
    <t>B28-104铺</t>
  </si>
  <si>
    <t>53</t>
  </si>
  <si>
    <t>B28-105铺</t>
  </si>
  <si>
    <t>54</t>
  </si>
  <si>
    <t>B28-107铺</t>
  </si>
  <si>
    <t>55</t>
  </si>
  <si>
    <t>B28-108铺</t>
  </si>
  <si>
    <t>56</t>
  </si>
  <si>
    <t>B28-109铺</t>
  </si>
  <si>
    <t>57</t>
  </si>
  <si>
    <t>B28-110铺</t>
  </si>
  <si>
    <t>58</t>
  </si>
  <si>
    <t>B28-111铺</t>
  </si>
  <si>
    <t>59</t>
  </si>
  <si>
    <t>B28-112铺</t>
  </si>
  <si>
    <t>60</t>
  </si>
  <si>
    <t>B28-113铺</t>
  </si>
  <si>
    <t>61</t>
  </si>
  <si>
    <t>B28-203铺</t>
  </si>
  <si>
    <t>62</t>
  </si>
  <si>
    <t>B28-204铺</t>
  </si>
  <si>
    <t>63</t>
  </si>
  <si>
    <t>B28-205铺</t>
  </si>
  <si>
    <t>64</t>
  </si>
  <si>
    <t>B28</t>
    <phoneticPr fontId="143" type="noConversion"/>
  </si>
  <si>
    <t>B28-208铺</t>
  </si>
  <si>
    <t>65</t>
  </si>
  <si>
    <t>B28-209铺</t>
  </si>
  <si>
    <t>66</t>
  </si>
  <si>
    <t>B28-210铺</t>
  </si>
  <si>
    <t>67</t>
  </si>
  <si>
    <t>B28-211铺</t>
  </si>
  <si>
    <t>68</t>
  </si>
  <si>
    <t>B28-213铺</t>
  </si>
  <si>
    <t>69</t>
  </si>
  <si>
    <t>B4转角</t>
  </si>
  <si>
    <t>B4转角101铺</t>
  </si>
  <si>
    <t>70</t>
  </si>
  <si>
    <t>B4转角102铺</t>
  </si>
  <si>
    <t>71</t>
  </si>
  <si>
    <t>B4转角105铺</t>
  </si>
  <si>
    <t>72</t>
  </si>
  <si>
    <t>B4转角201铺</t>
  </si>
  <si>
    <t>73</t>
  </si>
  <si>
    <t>B4转角202铺</t>
  </si>
  <si>
    <t>74</t>
  </si>
  <si>
    <t>B4转角203铺</t>
  </si>
  <si>
    <t>75</t>
  </si>
  <si>
    <t>B4转角204铺</t>
  </si>
  <si>
    <t>76</t>
  </si>
  <si>
    <t>B4转角205铺</t>
  </si>
  <si>
    <t>77</t>
  </si>
  <si>
    <t>B4转角206铺</t>
  </si>
  <si>
    <t>78</t>
  </si>
  <si>
    <t>B4转角210铺</t>
  </si>
  <si>
    <t>79</t>
  </si>
  <si>
    <t>B8</t>
  </si>
  <si>
    <t>B8-101铺</t>
  </si>
  <si>
    <t>80</t>
  </si>
  <si>
    <t>B8-102铺</t>
  </si>
  <si>
    <t>81</t>
  </si>
  <si>
    <t>B8-103铺</t>
  </si>
  <si>
    <t>82</t>
  </si>
  <si>
    <t>B8-104铺</t>
  </si>
  <si>
    <t>83</t>
  </si>
  <si>
    <t>B8-105铺</t>
  </si>
  <si>
    <t>84</t>
  </si>
  <si>
    <t>B8-201铺</t>
  </si>
  <si>
    <t>85</t>
  </si>
  <si>
    <t>B8-202铺</t>
  </si>
  <si>
    <t>86</t>
  </si>
  <si>
    <t>B8-204铺</t>
  </si>
  <si>
    <t>87</t>
  </si>
  <si>
    <t>B8-205铺</t>
  </si>
  <si>
    <t>88</t>
  </si>
  <si>
    <t>B11</t>
  </si>
  <si>
    <t>B11-101铺</t>
  </si>
  <si>
    <t>89</t>
  </si>
  <si>
    <t>B11-102铺</t>
  </si>
  <si>
    <t>90</t>
  </si>
  <si>
    <t>B11-103铺</t>
  </si>
  <si>
    <t>91</t>
  </si>
  <si>
    <t>B11-104铺</t>
  </si>
  <si>
    <t>92</t>
  </si>
  <si>
    <t>B11-105铺</t>
  </si>
  <si>
    <t>93</t>
  </si>
  <si>
    <t>B11-106铺</t>
  </si>
  <si>
    <t>94</t>
  </si>
  <si>
    <t>B11-107铺</t>
  </si>
  <si>
    <t>95</t>
  </si>
  <si>
    <t>B11-108铺</t>
  </si>
  <si>
    <t>96</t>
  </si>
  <si>
    <t>B11-109铺</t>
  </si>
  <si>
    <t>97</t>
  </si>
  <si>
    <t>B11-203铺</t>
  </si>
  <si>
    <t>98</t>
  </si>
  <si>
    <t>B11-201铺</t>
  </si>
  <si>
    <t>99</t>
  </si>
  <si>
    <t>B11-202铺</t>
  </si>
  <si>
    <t>100</t>
  </si>
  <si>
    <t>B11-204铺</t>
  </si>
  <si>
    <t>101</t>
  </si>
  <si>
    <t>B11-205铺</t>
  </si>
  <si>
    <t>102</t>
  </si>
  <si>
    <t>B11-206铺</t>
  </si>
  <si>
    <t>103</t>
  </si>
  <si>
    <t>B11-207铺</t>
  </si>
  <si>
    <t>104</t>
  </si>
  <si>
    <t>B11-208铺</t>
  </si>
  <si>
    <t>105</t>
  </si>
  <si>
    <t>B11-209铺</t>
  </si>
  <si>
    <t>106</t>
  </si>
  <si>
    <t>B15</t>
  </si>
  <si>
    <t>B15-101铺</t>
  </si>
  <si>
    <t>107</t>
  </si>
  <si>
    <t>B15-102铺</t>
  </si>
  <si>
    <t>108</t>
  </si>
  <si>
    <t>B15-103铺</t>
  </si>
  <si>
    <t>109</t>
  </si>
  <si>
    <t>B15-104铺</t>
  </si>
  <si>
    <t>110</t>
  </si>
  <si>
    <t>B15-105铺</t>
  </si>
  <si>
    <t>111</t>
  </si>
  <si>
    <t>B15-106铺</t>
  </si>
  <si>
    <t>112</t>
  </si>
  <si>
    <t>B15-107铺</t>
  </si>
  <si>
    <t>113</t>
  </si>
  <si>
    <t>B15-108铺</t>
  </si>
  <si>
    <t>114</t>
  </si>
  <si>
    <t>B15-109铺</t>
  </si>
  <si>
    <t>115</t>
  </si>
  <si>
    <t>B15-110铺</t>
  </si>
  <si>
    <t>116</t>
  </si>
  <si>
    <t>B15-111铺</t>
  </si>
  <si>
    <t>117</t>
  </si>
  <si>
    <t>B15-112铺</t>
  </si>
  <si>
    <t>118</t>
  </si>
  <si>
    <t>B15-113铺</t>
  </si>
  <si>
    <t>119</t>
  </si>
  <si>
    <t>B15-114铺</t>
  </si>
  <si>
    <t>120</t>
  </si>
  <si>
    <t>B15-115铺</t>
  </si>
  <si>
    <t>121</t>
  </si>
  <si>
    <t>B15-116铺</t>
  </si>
  <si>
    <t>122</t>
  </si>
  <si>
    <t>B15-117铺</t>
  </si>
  <si>
    <t>123</t>
  </si>
  <si>
    <t>B15-118铺</t>
  </si>
  <si>
    <t>124</t>
  </si>
  <si>
    <t>B15-119铺</t>
  </si>
  <si>
    <t>125</t>
  </si>
  <si>
    <t>B15-120铺</t>
  </si>
  <si>
    <t>126</t>
  </si>
  <si>
    <t>B15-121铺</t>
  </si>
  <si>
    <t>127</t>
  </si>
  <si>
    <t>B15-122铺</t>
  </si>
  <si>
    <t>128</t>
  </si>
  <si>
    <t>B15-123铺</t>
  </si>
  <si>
    <t>129</t>
  </si>
  <si>
    <t>B15-201铺</t>
  </si>
  <si>
    <t>130</t>
  </si>
  <si>
    <t>B15-202铺</t>
  </si>
  <si>
    <t>131</t>
  </si>
  <si>
    <t>B15-203铺</t>
  </si>
  <si>
    <t>132</t>
  </si>
  <si>
    <t>B15-204铺</t>
  </si>
  <si>
    <t>133</t>
  </si>
  <si>
    <t>B15-209铺</t>
  </si>
  <si>
    <t>134</t>
  </si>
  <si>
    <t>B15-212铺</t>
  </si>
  <si>
    <t>135</t>
  </si>
  <si>
    <t>B15-213铺</t>
  </si>
  <si>
    <t>136</t>
  </si>
  <si>
    <t>B15-205铺</t>
  </si>
  <si>
    <t>137</t>
  </si>
  <si>
    <t>B15-206铺</t>
  </si>
  <si>
    <t>138</t>
  </si>
  <si>
    <t>B15-207铺</t>
  </si>
  <si>
    <t>139</t>
  </si>
  <si>
    <t>B15-208铺</t>
  </si>
  <si>
    <t>140</t>
  </si>
  <si>
    <t>B15-210铺</t>
  </si>
  <si>
    <t>141</t>
  </si>
  <si>
    <t>B15-211铺</t>
  </si>
  <si>
    <t>142</t>
  </si>
  <si>
    <t>B15-214铺</t>
  </si>
  <si>
    <t>143</t>
  </si>
  <si>
    <t>B15-215铺</t>
  </si>
  <si>
    <t>144</t>
  </si>
  <si>
    <t>B15-216铺</t>
  </si>
  <si>
    <t>145</t>
  </si>
  <si>
    <t>B15-217铺</t>
  </si>
  <si>
    <t>146</t>
  </si>
  <si>
    <t>B15-218铺</t>
  </si>
  <si>
    <t>147</t>
  </si>
  <si>
    <t>B15-219铺</t>
  </si>
  <si>
    <t>148</t>
  </si>
  <si>
    <t>B15-220铺</t>
  </si>
  <si>
    <t>149</t>
  </si>
  <si>
    <t>B15-221铺</t>
  </si>
  <si>
    <t>150</t>
  </si>
  <si>
    <t>B15-222铺</t>
  </si>
  <si>
    <t>151</t>
  </si>
  <si>
    <t>B15-223铺</t>
  </si>
  <si>
    <t>152</t>
  </si>
  <si>
    <t>B19</t>
  </si>
  <si>
    <t>B19-101铺</t>
  </si>
  <si>
    <t>153</t>
  </si>
  <si>
    <t>B19-102铺</t>
  </si>
  <si>
    <t>154</t>
  </si>
  <si>
    <t>B19-103铺</t>
  </si>
  <si>
    <t>155</t>
  </si>
  <si>
    <t>B19-104铺</t>
  </si>
  <si>
    <t>156</t>
  </si>
  <si>
    <t>B19-105铺</t>
  </si>
  <si>
    <t>157</t>
  </si>
  <si>
    <t>B19-106铺</t>
  </si>
  <si>
    <t>158</t>
  </si>
  <si>
    <t>B19-107铺</t>
  </si>
  <si>
    <t>159</t>
  </si>
  <si>
    <t>B19-108铺</t>
  </si>
  <si>
    <t>160</t>
  </si>
  <si>
    <t>B19-109铺</t>
  </si>
  <si>
    <t>161</t>
  </si>
  <si>
    <t>B19-110铺</t>
  </si>
  <si>
    <t>162</t>
  </si>
  <si>
    <t>B19-111铺</t>
  </si>
  <si>
    <t>163</t>
  </si>
  <si>
    <t>B19-112铺</t>
  </si>
  <si>
    <t>164</t>
  </si>
  <si>
    <t>B19-113铺</t>
  </si>
  <si>
    <t>165</t>
  </si>
  <si>
    <t>B19-114铺</t>
  </si>
  <si>
    <t>166</t>
  </si>
  <si>
    <t>B19-115铺</t>
  </si>
  <si>
    <t>167</t>
  </si>
  <si>
    <t>B19-116铺</t>
  </si>
  <si>
    <t>168</t>
  </si>
  <si>
    <t>B19-117铺</t>
  </si>
  <si>
    <t>169</t>
  </si>
  <si>
    <t>B19-118铺</t>
  </si>
  <si>
    <t>170</t>
  </si>
  <si>
    <t>B19-119铺</t>
  </si>
  <si>
    <t>171</t>
  </si>
  <si>
    <t>B19-120铺</t>
  </si>
  <si>
    <t>172</t>
  </si>
  <si>
    <t>B19-121铺</t>
  </si>
  <si>
    <t>173</t>
  </si>
  <si>
    <t>B19-122铺</t>
  </si>
  <si>
    <t>174</t>
  </si>
  <si>
    <t>B19-123铺</t>
  </si>
  <si>
    <t>175</t>
  </si>
  <si>
    <t>B19-201铺</t>
  </si>
  <si>
    <t>176</t>
  </si>
  <si>
    <t>B19-202铺</t>
  </si>
  <si>
    <t>177</t>
  </si>
  <si>
    <t>B19-203铺</t>
  </si>
  <si>
    <t>178</t>
  </si>
  <si>
    <t>B19-204铺</t>
  </si>
  <si>
    <t>179</t>
  </si>
  <si>
    <t>B19-205铺</t>
  </si>
  <si>
    <t>180</t>
  </si>
  <si>
    <t>B19-206铺</t>
  </si>
  <si>
    <t>181</t>
  </si>
  <si>
    <t>B19-207铺</t>
  </si>
  <si>
    <t>182</t>
  </si>
  <si>
    <t>B19-208铺</t>
  </si>
  <si>
    <t>183</t>
  </si>
  <si>
    <t>B19-209铺</t>
  </si>
  <si>
    <t>184</t>
  </si>
  <si>
    <t>B19-210铺</t>
  </si>
  <si>
    <t>185</t>
  </si>
  <si>
    <t>B19-211铺</t>
  </si>
  <si>
    <t>186</t>
  </si>
  <si>
    <t>B19-212铺</t>
  </si>
  <si>
    <t>187</t>
  </si>
  <si>
    <t>B19-213铺</t>
  </si>
  <si>
    <t>188</t>
  </si>
  <si>
    <t>B19-214铺</t>
  </si>
  <si>
    <t>189</t>
  </si>
  <si>
    <t>B19-215铺</t>
  </si>
  <si>
    <t>190</t>
  </si>
  <si>
    <t>B19-216铺</t>
  </si>
  <si>
    <t>191</t>
  </si>
  <si>
    <t>B19-217铺</t>
  </si>
  <si>
    <t>192</t>
  </si>
  <si>
    <t>B19-219铺</t>
  </si>
  <si>
    <t>193</t>
  </si>
  <si>
    <t>B19-218铺</t>
  </si>
  <si>
    <t>194</t>
  </si>
  <si>
    <t>B19-220铺</t>
  </si>
  <si>
    <t>195</t>
  </si>
  <si>
    <t>B19-221铺</t>
  </si>
  <si>
    <t>196</t>
  </si>
  <si>
    <t>B19-222铺</t>
  </si>
  <si>
    <t>197</t>
  </si>
  <si>
    <t>B19-223铺</t>
  </si>
  <si>
    <t>198</t>
  </si>
  <si>
    <t>B22</t>
  </si>
  <si>
    <t>B22-101铺</t>
  </si>
  <si>
    <t>199</t>
  </si>
  <si>
    <t>B22-102铺</t>
  </si>
  <si>
    <t>200</t>
  </si>
  <si>
    <t>B22-103铺</t>
  </si>
  <si>
    <t>201</t>
  </si>
  <si>
    <t>B22-201铺</t>
  </si>
  <si>
    <t>202</t>
  </si>
  <si>
    <t>B22-202铺</t>
  </si>
  <si>
    <t>203</t>
  </si>
  <si>
    <t>B22-203铺</t>
  </si>
  <si>
    <t>204</t>
  </si>
  <si>
    <t>B29</t>
  </si>
  <si>
    <t>B29-101铺</t>
  </si>
  <si>
    <t>205</t>
  </si>
  <si>
    <t>B29-102铺</t>
  </si>
  <si>
    <t>206</t>
  </si>
  <si>
    <t>B29-103铺</t>
  </si>
  <si>
    <t>207</t>
  </si>
  <si>
    <t>B29-104铺</t>
  </si>
  <si>
    <t>208</t>
  </si>
  <si>
    <t>B29-105铺</t>
  </si>
  <si>
    <t>209</t>
  </si>
  <si>
    <t>B29-106铺</t>
  </si>
  <si>
    <t>210</t>
  </si>
  <si>
    <t>B29-107铺</t>
  </si>
  <si>
    <t>211</t>
  </si>
  <si>
    <t>B29-108铺</t>
  </si>
  <si>
    <t>212</t>
  </si>
  <si>
    <t>B29-109铺</t>
  </si>
  <si>
    <t>213</t>
  </si>
  <si>
    <t>B29-110铺</t>
  </si>
  <si>
    <t>214</t>
  </si>
  <si>
    <t>B29-111铺</t>
  </si>
  <si>
    <t>215</t>
  </si>
  <si>
    <t>B29-112铺</t>
  </si>
  <si>
    <t>216</t>
  </si>
  <si>
    <t>B29-113铺</t>
  </si>
  <si>
    <t>217</t>
  </si>
  <si>
    <t>B29-201铺</t>
  </si>
  <si>
    <t>218</t>
  </si>
  <si>
    <t>B29-202铺</t>
  </si>
  <si>
    <t>219</t>
  </si>
  <si>
    <t>B29-203铺</t>
  </si>
  <si>
    <t>220</t>
  </si>
  <si>
    <t>B29-204铺</t>
  </si>
  <si>
    <t>221</t>
  </si>
  <si>
    <t>B29-205铺</t>
  </si>
  <si>
    <t>222</t>
  </si>
  <si>
    <t>B29-206铺</t>
  </si>
  <si>
    <t>223</t>
  </si>
  <si>
    <t>B29-209铺</t>
  </si>
  <si>
    <t>224</t>
  </si>
  <si>
    <t>B29-210铺</t>
  </si>
  <si>
    <t>225</t>
  </si>
  <si>
    <t>B29-211铺</t>
  </si>
  <si>
    <t>226</t>
  </si>
  <si>
    <t>B29-212铺</t>
  </si>
  <si>
    <t>合同2013年</t>
    <phoneticPr fontId="143" type="noConversion"/>
  </si>
  <si>
    <t>规证0878号</t>
    <phoneticPr fontId="143" type="noConversion"/>
  </si>
  <si>
    <t>土地面积</t>
    <phoneticPr fontId="143" type="noConversion"/>
  </si>
  <si>
    <t>建筑面积</t>
    <phoneticPr fontId="143" type="noConversion"/>
  </si>
  <si>
    <t>层数</t>
    <phoneticPr fontId="143" type="noConversion"/>
  </si>
  <si>
    <t>底层建筑面积</t>
    <phoneticPr fontId="143" type="noConversion"/>
  </si>
  <si>
    <t>规证4262号</t>
    <phoneticPr fontId="143" type="noConversion"/>
  </si>
  <si>
    <t>容积率</t>
    <phoneticPr fontId="143" type="noConversion"/>
  </si>
  <si>
    <r>
      <t>1</t>
    </r>
    <r>
      <rPr>
        <sz val="11"/>
        <color theme="1"/>
        <rFont val="宋体"/>
        <family val="3"/>
        <charset val="134"/>
        <scheme val="minor"/>
      </rPr>
      <t>7#楼</t>
    </r>
    <phoneticPr fontId="143" type="noConversion"/>
  </si>
  <si>
    <r>
      <t>2</t>
    </r>
    <r>
      <rPr>
        <sz val="11"/>
        <color theme="1"/>
        <rFont val="宋体"/>
        <family val="3"/>
        <charset val="134"/>
        <scheme val="minor"/>
      </rPr>
      <t>4层</t>
    </r>
    <phoneticPr fontId="143" type="noConversion"/>
  </si>
  <si>
    <t>1#楼</t>
    <phoneticPr fontId="143" type="noConversion"/>
  </si>
  <si>
    <t>﹣1~24层</t>
    <phoneticPr fontId="143" type="noConversion"/>
  </si>
  <si>
    <t>18#楼</t>
    <phoneticPr fontId="143" type="noConversion"/>
  </si>
  <si>
    <t>2#、3#楼</t>
    <phoneticPr fontId="143" type="noConversion"/>
  </si>
  <si>
    <r>
      <t>21</t>
    </r>
    <r>
      <rPr>
        <sz val="11"/>
        <color theme="1"/>
        <rFont val="宋体"/>
        <family val="3"/>
        <charset val="134"/>
        <scheme val="minor"/>
      </rPr>
      <t>#</t>
    </r>
    <r>
      <rPr>
        <sz val="11"/>
        <color theme="1"/>
        <rFont val="宋体"/>
        <family val="3"/>
        <charset val="134"/>
        <scheme val="minor"/>
      </rPr>
      <t>楼</t>
    </r>
    <phoneticPr fontId="143" type="noConversion"/>
  </si>
  <si>
    <t>29层</t>
    <phoneticPr fontId="143" type="noConversion"/>
  </si>
  <si>
    <t>合计</t>
    <phoneticPr fontId="143" type="noConversion"/>
  </si>
  <si>
    <t>4#楼</t>
    <phoneticPr fontId="143" type="noConversion"/>
  </si>
  <si>
    <r>
      <t>24</t>
    </r>
    <r>
      <rPr>
        <sz val="11"/>
        <color theme="1"/>
        <rFont val="宋体"/>
        <family val="3"/>
        <charset val="134"/>
        <scheme val="minor"/>
      </rPr>
      <t>#</t>
    </r>
    <r>
      <rPr>
        <sz val="11"/>
        <color theme="1"/>
        <rFont val="宋体"/>
        <family val="3"/>
        <charset val="134"/>
        <scheme val="minor"/>
      </rPr>
      <t>楼</t>
    </r>
    <phoneticPr fontId="143" type="noConversion"/>
  </si>
  <si>
    <t>24层</t>
    <phoneticPr fontId="143" type="noConversion"/>
  </si>
  <si>
    <t>亩</t>
    <phoneticPr fontId="143" type="noConversion"/>
  </si>
  <si>
    <t>8#楼</t>
    <phoneticPr fontId="143" type="noConversion"/>
  </si>
  <si>
    <t>16层</t>
    <phoneticPr fontId="143" type="noConversion"/>
  </si>
  <si>
    <r>
      <t>25</t>
    </r>
    <r>
      <rPr>
        <sz val="11"/>
        <color theme="1"/>
        <rFont val="宋体"/>
        <family val="3"/>
        <charset val="134"/>
        <scheme val="minor"/>
      </rPr>
      <t>#</t>
    </r>
    <r>
      <rPr>
        <sz val="11"/>
        <color theme="1"/>
        <rFont val="宋体"/>
        <family val="3"/>
        <charset val="134"/>
        <scheme val="minor"/>
      </rPr>
      <t>楼</t>
    </r>
    <phoneticPr fontId="143" type="noConversion"/>
  </si>
  <si>
    <t>24层</t>
    <phoneticPr fontId="143" type="noConversion"/>
  </si>
  <si>
    <t>1#商业</t>
    <phoneticPr fontId="143" type="noConversion"/>
  </si>
  <si>
    <t>2层</t>
    <phoneticPr fontId="143" type="noConversion"/>
  </si>
  <si>
    <t>地下室</t>
    <phoneticPr fontId="143" type="noConversion"/>
  </si>
  <si>
    <t>发改委文件2014年</t>
    <phoneticPr fontId="143" type="noConversion"/>
  </si>
  <si>
    <t>4#商业</t>
    <phoneticPr fontId="143" type="noConversion"/>
  </si>
  <si>
    <t>2层</t>
    <phoneticPr fontId="143" type="noConversion"/>
  </si>
  <si>
    <t>合计</t>
    <phoneticPr fontId="143" type="noConversion"/>
  </si>
  <si>
    <t>土地面积</t>
    <phoneticPr fontId="143" type="noConversion"/>
  </si>
  <si>
    <t>建筑面积</t>
    <phoneticPr fontId="143" type="noConversion"/>
  </si>
  <si>
    <t>容积率</t>
    <phoneticPr fontId="143" type="noConversion"/>
  </si>
  <si>
    <t>1~4#增加地下室</t>
    <phoneticPr fontId="143" type="noConversion"/>
  </si>
  <si>
    <t>规证2777号</t>
    <phoneticPr fontId="143" type="noConversion"/>
  </si>
  <si>
    <t>层数</t>
    <phoneticPr fontId="143" type="noConversion"/>
  </si>
  <si>
    <t>底层建筑面积</t>
    <phoneticPr fontId="143" type="noConversion"/>
  </si>
  <si>
    <t>总</t>
    <phoneticPr fontId="143" type="noConversion"/>
  </si>
  <si>
    <t>合计</t>
    <phoneticPr fontId="143" type="noConversion"/>
  </si>
  <si>
    <t>﹣1~24层</t>
    <phoneticPr fontId="143" type="noConversion"/>
  </si>
  <si>
    <t>19#楼</t>
    <phoneticPr fontId="143" type="noConversion"/>
  </si>
  <si>
    <t>16层</t>
    <phoneticPr fontId="143" type="noConversion"/>
  </si>
  <si>
    <t>住宅</t>
    <phoneticPr fontId="143" type="noConversion"/>
  </si>
  <si>
    <t>规证0306号</t>
    <phoneticPr fontId="143" type="noConversion"/>
  </si>
  <si>
    <t>商业</t>
    <phoneticPr fontId="143" type="noConversion"/>
  </si>
  <si>
    <t>5#楼</t>
    <phoneticPr fontId="143" type="noConversion"/>
  </si>
  <si>
    <r>
      <t>1</t>
    </r>
    <r>
      <rPr>
        <sz val="11"/>
        <color theme="1"/>
        <rFont val="宋体"/>
        <family val="3"/>
        <charset val="134"/>
        <scheme val="minor"/>
      </rPr>
      <t>6层</t>
    </r>
    <phoneticPr fontId="143" type="noConversion"/>
  </si>
  <si>
    <t>幼儿园</t>
    <phoneticPr fontId="143" type="noConversion"/>
  </si>
  <si>
    <t>22#楼</t>
    <phoneticPr fontId="143" type="noConversion"/>
  </si>
  <si>
    <t>酒店</t>
    <phoneticPr fontId="143" type="noConversion"/>
  </si>
  <si>
    <t>住宅</t>
    <phoneticPr fontId="143" type="noConversion"/>
  </si>
  <si>
    <t>配套</t>
    <phoneticPr fontId="143" type="noConversion"/>
  </si>
  <si>
    <t>9#楼</t>
    <phoneticPr fontId="143" type="noConversion"/>
  </si>
  <si>
    <r>
      <t>1</t>
    </r>
    <r>
      <rPr>
        <sz val="11"/>
        <color theme="1"/>
        <rFont val="宋体"/>
        <family val="3"/>
        <charset val="134"/>
        <scheme val="minor"/>
      </rPr>
      <t>6层</t>
    </r>
    <phoneticPr fontId="143" type="noConversion"/>
  </si>
  <si>
    <t>商业</t>
    <phoneticPr fontId="143" type="noConversion"/>
  </si>
  <si>
    <r>
      <t>规证2</t>
    </r>
    <r>
      <rPr>
        <sz val="11"/>
        <color theme="1"/>
        <rFont val="宋体"/>
        <family val="3"/>
        <charset val="134"/>
        <scheme val="minor"/>
      </rPr>
      <t>505号</t>
    </r>
    <phoneticPr fontId="143" type="noConversion"/>
  </si>
  <si>
    <t>土地面积</t>
    <phoneticPr fontId="143" type="noConversion"/>
  </si>
  <si>
    <t>建筑面积</t>
    <phoneticPr fontId="143" type="noConversion"/>
  </si>
  <si>
    <t>层数</t>
    <phoneticPr fontId="143" type="noConversion"/>
  </si>
  <si>
    <t>底层建筑面积</t>
    <phoneticPr fontId="143" type="noConversion"/>
  </si>
  <si>
    <r>
      <t>总投7</t>
    </r>
    <r>
      <rPr>
        <sz val="11"/>
        <color theme="1"/>
        <rFont val="宋体"/>
        <family val="3"/>
        <charset val="134"/>
        <scheme val="minor"/>
      </rPr>
      <t>.9亿</t>
    </r>
    <phoneticPr fontId="143" type="noConversion"/>
  </si>
  <si>
    <t>12#楼</t>
    <phoneticPr fontId="143" type="noConversion"/>
  </si>
  <si>
    <t>11#楼</t>
    <phoneticPr fontId="143" type="noConversion"/>
  </si>
  <si>
    <t>测绘（实测）</t>
    <phoneticPr fontId="143" type="noConversion"/>
  </si>
  <si>
    <t>1#</t>
    <phoneticPr fontId="143" type="noConversion"/>
  </si>
  <si>
    <t>社会服务用房</t>
    <phoneticPr fontId="143" type="noConversion"/>
  </si>
  <si>
    <t>15#楼</t>
    <phoneticPr fontId="143" type="noConversion"/>
  </si>
  <si>
    <t>16层</t>
    <phoneticPr fontId="143" type="noConversion"/>
  </si>
  <si>
    <t>2-3#</t>
    <phoneticPr fontId="143" type="noConversion"/>
  </si>
  <si>
    <t>16#楼</t>
    <phoneticPr fontId="143" type="noConversion"/>
  </si>
  <si>
    <t>4#</t>
    <phoneticPr fontId="143" type="noConversion"/>
  </si>
  <si>
    <t>5#</t>
    <phoneticPr fontId="143" type="noConversion"/>
  </si>
  <si>
    <t>9#</t>
    <phoneticPr fontId="143" type="noConversion"/>
  </si>
  <si>
    <t>社区服务用房</t>
    <phoneticPr fontId="143" type="noConversion"/>
  </si>
  <si>
    <t>规证0295号</t>
    <phoneticPr fontId="143" type="noConversion"/>
  </si>
  <si>
    <t>12#</t>
    <phoneticPr fontId="143" type="noConversion"/>
  </si>
  <si>
    <t>架空层</t>
    <phoneticPr fontId="143" type="noConversion"/>
  </si>
  <si>
    <t>商业综合楼2层</t>
    <phoneticPr fontId="143" type="noConversion"/>
  </si>
  <si>
    <r>
      <t>16</t>
    </r>
    <r>
      <rPr>
        <sz val="11"/>
        <color theme="1"/>
        <rFont val="宋体"/>
        <family val="3"/>
        <charset val="134"/>
        <scheme val="minor"/>
      </rPr>
      <t>#</t>
    </r>
    <phoneticPr fontId="143" type="noConversion"/>
  </si>
  <si>
    <t>20#楼</t>
    <phoneticPr fontId="143" type="noConversion"/>
  </si>
  <si>
    <r>
      <t>20</t>
    </r>
    <r>
      <rPr>
        <sz val="11"/>
        <color theme="1"/>
        <rFont val="宋体"/>
        <family val="3"/>
        <charset val="134"/>
        <scheme val="minor"/>
      </rPr>
      <t>#</t>
    </r>
    <phoneticPr fontId="143" type="noConversion"/>
  </si>
  <si>
    <t>总计（无26、27#楼）</t>
    <phoneticPr fontId="143" type="noConversion"/>
  </si>
  <si>
    <r>
      <t>23</t>
    </r>
    <r>
      <rPr>
        <sz val="11"/>
        <color theme="1"/>
        <rFont val="宋体"/>
        <family val="3"/>
        <charset val="134"/>
        <scheme val="minor"/>
      </rPr>
      <t>#</t>
    </r>
    <phoneticPr fontId="143" type="noConversion"/>
  </si>
  <si>
    <t>23#楼</t>
    <phoneticPr fontId="143" type="noConversion"/>
  </si>
  <si>
    <t>预测</t>
    <phoneticPr fontId="143" type="noConversion"/>
  </si>
  <si>
    <t>商业1#</t>
    <phoneticPr fontId="143" type="noConversion"/>
  </si>
  <si>
    <t>商业4#</t>
    <phoneticPr fontId="143" type="noConversion"/>
  </si>
  <si>
    <t>1~16层</t>
    <phoneticPr fontId="143" type="noConversion"/>
  </si>
  <si>
    <t>19#</t>
    <phoneticPr fontId="143" type="noConversion"/>
  </si>
  <si>
    <r>
      <t>规证2</t>
    </r>
    <r>
      <rPr>
        <sz val="11"/>
        <color theme="1"/>
        <rFont val="宋体"/>
        <family val="3"/>
        <charset val="134"/>
        <scheme val="minor"/>
      </rPr>
      <t>895号</t>
    </r>
    <phoneticPr fontId="143" type="noConversion"/>
  </si>
  <si>
    <r>
      <t>6</t>
    </r>
    <r>
      <rPr>
        <sz val="11"/>
        <color theme="1"/>
        <rFont val="宋体"/>
        <family val="3"/>
        <charset val="134"/>
        <scheme val="minor"/>
      </rPr>
      <t>#楼</t>
    </r>
    <phoneticPr fontId="143" type="noConversion"/>
  </si>
  <si>
    <t>﹣1~24层</t>
    <phoneticPr fontId="143" type="noConversion"/>
  </si>
  <si>
    <t>商铺</t>
    <phoneticPr fontId="143" type="noConversion"/>
  </si>
  <si>
    <r>
      <t>7</t>
    </r>
    <r>
      <rPr>
        <sz val="11"/>
        <color theme="1"/>
        <rFont val="宋体"/>
        <family val="3"/>
        <charset val="134"/>
        <scheme val="minor"/>
      </rPr>
      <t>#</t>
    </r>
    <r>
      <rPr>
        <sz val="11"/>
        <color theme="1"/>
        <rFont val="宋体"/>
        <family val="3"/>
        <charset val="134"/>
        <scheme val="minor"/>
      </rPr>
      <t>楼</t>
    </r>
    <phoneticPr fontId="143" type="noConversion"/>
  </si>
  <si>
    <r>
      <t>2</t>
    </r>
    <r>
      <rPr>
        <sz val="11"/>
        <color theme="1"/>
        <rFont val="宋体"/>
        <family val="3"/>
        <charset val="134"/>
        <scheme val="minor"/>
      </rPr>
      <t>2#</t>
    </r>
    <phoneticPr fontId="143" type="noConversion"/>
  </si>
  <si>
    <r>
      <t>10</t>
    </r>
    <r>
      <rPr>
        <sz val="11"/>
        <color theme="1"/>
        <rFont val="宋体"/>
        <family val="3"/>
        <charset val="134"/>
        <scheme val="minor"/>
      </rPr>
      <t>#</t>
    </r>
    <r>
      <rPr>
        <sz val="11"/>
        <color theme="1"/>
        <rFont val="宋体"/>
        <family val="3"/>
        <charset val="134"/>
        <scheme val="minor"/>
      </rPr>
      <t>楼</t>
    </r>
    <phoneticPr fontId="143" type="noConversion"/>
  </si>
  <si>
    <r>
      <t>﹣1~2</t>
    </r>
    <r>
      <rPr>
        <sz val="11"/>
        <color theme="1"/>
        <rFont val="宋体"/>
        <family val="3"/>
        <charset val="134"/>
        <scheme val="minor"/>
      </rPr>
      <t>9</t>
    </r>
    <r>
      <rPr>
        <sz val="11"/>
        <color theme="1"/>
        <rFont val="宋体"/>
        <family val="3"/>
        <charset val="134"/>
        <scheme val="minor"/>
      </rPr>
      <t>层</t>
    </r>
    <phoneticPr fontId="143" type="noConversion"/>
  </si>
  <si>
    <r>
      <t>13</t>
    </r>
    <r>
      <rPr>
        <sz val="11"/>
        <color theme="1"/>
        <rFont val="宋体"/>
        <family val="3"/>
        <charset val="134"/>
        <scheme val="minor"/>
      </rPr>
      <t>#</t>
    </r>
    <r>
      <rPr>
        <sz val="11"/>
        <color theme="1"/>
        <rFont val="宋体"/>
        <family val="3"/>
        <charset val="134"/>
        <scheme val="minor"/>
      </rPr>
      <t>楼</t>
    </r>
    <phoneticPr fontId="143" type="noConversion"/>
  </si>
  <si>
    <r>
      <t>14</t>
    </r>
    <r>
      <rPr>
        <sz val="11"/>
        <color theme="1"/>
        <rFont val="宋体"/>
        <family val="3"/>
        <charset val="134"/>
        <scheme val="minor"/>
      </rPr>
      <t>#</t>
    </r>
    <r>
      <rPr>
        <sz val="11"/>
        <color theme="1"/>
        <rFont val="宋体"/>
        <family val="3"/>
        <charset val="134"/>
        <scheme val="minor"/>
      </rPr>
      <t>楼</t>
    </r>
    <phoneticPr fontId="143" type="noConversion"/>
  </si>
  <si>
    <t>配电室</t>
    <phoneticPr fontId="143" type="noConversion"/>
  </si>
  <si>
    <t>28#楼</t>
    <phoneticPr fontId="143" type="noConversion"/>
  </si>
  <si>
    <r>
      <t>8</t>
    </r>
    <r>
      <rPr>
        <sz val="11"/>
        <color theme="1"/>
        <rFont val="宋体"/>
        <family val="3"/>
        <charset val="134"/>
        <scheme val="minor"/>
      </rPr>
      <t>#</t>
    </r>
    <phoneticPr fontId="143" type="noConversion"/>
  </si>
  <si>
    <t>29#楼</t>
    <phoneticPr fontId="143" type="noConversion"/>
  </si>
  <si>
    <r>
      <t>1</t>
    </r>
    <r>
      <rPr>
        <sz val="11"/>
        <color theme="1"/>
        <rFont val="宋体"/>
        <family val="3"/>
        <charset val="134"/>
        <scheme val="minor"/>
      </rPr>
      <t>1#</t>
    </r>
    <phoneticPr fontId="143" type="noConversion"/>
  </si>
  <si>
    <t>﹣1</t>
    <phoneticPr fontId="143" type="noConversion"/>
  </si>
  <si>
    <r>
      <t>1</t>
    </r>
    <r>
      <rPr>
        <sz val="11"/>
        <color theme="1"/>
        <rFont val="宋体"/>
        <family val="3"/>
        <charset val="134"/>
        <scheme val="minor"/>
      </rPr>
      <t>5#</t>
    </r>
    <phoneticPr fontId="143" type="noConversion"/>
  </si>
  <si>
    <r>
      <t>2</t>
    </r>
    <r>
      <rPr>
        <sz val="11"/>
        <color theme="1"/>
        <rFont val="宋体"/>
        <family val="3"/>
        <charset val="134"/>
        <scheme val="minor"/>
      </rPr>
      <t>8#</t>
    </r>
    <phoneticPr fontId="143" type="noConversion"/>
  </si>
  <si>
    <r>
      <t>2</t>
    </r>
    <r>
      <rPr>
        <sz val="11"/>
        <color theme="1"/>
        <rFont val="宋体"/>
        <family val="3"/>
        <charset val="134"/>
        <scheme val="minor"/>
      </rPr>
      <t>9#</t>
    </r>
    <phoneticPr fontId="143" type="noConversion"/>
  </si>
  <si>
    <t>抵押物商业</t>
  </si>
  <si>
    <t>抵押物商业</t>
    <phoneticPr fontId="3" type="noConversion"/>
  </si>
  <si>
    <t>其余面积</t>
    <phoneticPr fontId="3" type="noConversion"/>
  </si>
  <si>
    <t>否</t>
  </si>
  <si>
    <t>地上面积汇总</t>
    <phoneticPr fontId="143" type="noConversion"/>
  </si>
  <si>
    <t>地下面积汇总</t>
    <phoneticPr fontId="143" type="noConversion"/>
  </si>
  <si>
    <t>规证容积率</t>
    <phoneticPr fontId="143" type="noConversion"/>
  </si>
  <si>
    <t>石家河镇李咀村</t>
  </si>
  <si>
    <t>省直辖县级行政单位</t>
  </si>
  <si>
    <t>≤0.8</t>
  </si>
  <si>
    <t>2019-02-15</t>
  </si>
  <si>
    <t>傅筠皓</t>
  </si>
  <si>
    <t>石河镇杨岭村</t>
  </si>
  <si>
    <t>≤0.5</t>
  </si>
  <si>
    <t>2019-01-14</t>
  </si>
  <si>
    <t>汪少军</t>
  </si>
  <si>
    <t>佛子山镇佛山大道</t>
  </si>
  <si>
    <t>＞1,≤1.7</t>
  </si>
  <si>
    <t>2018-08-13</t>
  </si>
  <si>
    <t>李新华</t>
  </si>
  <si>
    <t>竟陵办事处环北大道交学院路西南角</t>
  </si>
  <si>
    <t>＞1,≤3</t>
  </si>
  <si>
    <t>2018-07-03</t>
  </si>
  <si>
    <t>天门市城市建设投资有限公司</t>
  </si>
  <si>
    <t>竟陵街道东环路交钟惺大道西南角</t>
  </si>
  <si>
    <t>＞1,≤1.2</t>
  </si>
  <si>
    <t>2018-05-30</t>
  </si>
  <si>
    <t>天门鑫龙置业有限公司</t>
  </si>
  <si>
    <t>彭市镇新场村</t>
  </si>
  <si>
    <t>2018-05-28</t>
  </si>
  <si>
    <t>王浩</t>
  </si>
  <si>
    <t>杨林街道办事处赵湾村</t>
  </si>
  <si>
    <t>≤1</t>
  </si>
  <si>
    <t>付习海</t>
  </si>
  <si>
    <t>九真镇利涉村</t>
  </si>
  <si>
    <t>＞1,≤2</t>
  </si>
  <si>
    <t>2018-03-15</t>
  </si>
  <si>
    <t>小板镇艾台村</t>
  </si>
  <si>
    <t>2018-03-07</t>
  </si>
  <si>
    <t>聂治</t>
  </si>
  <si>
    <t>岳口镇粮仓巷村</t>
  </si>
  <si>
    <t>＞1,≤2.05</t>
  </si>
  <si>
    <t>天门欣泰农贸有限公司</t>
  </si>
  <si>
    <t>天门工业园滨江大道</t>
  </si>
  <si>
    <t>≤1.2</t>
  </si>
  <si>
    <t>2017-11-02</t>
  </si>
  <si>
    <t>湖北天下鸿图置业有限公司</t>
  </si>
  <si>
    <t>天门多祥镇东号字村</t>
  </si>
  <si>
    <t>2017-10-12</t>
  </si>
  <si>
    <t>杨弦</t>
  </si>
  <si>
    <t>小板镇金科村</t>
  </si>
  <si>
    <t>≥1,≤1.2</t>
  </si>
  <si>
    <t>2017-05-23</t>
  </si>
  <si>
    <t>刘红秀</t>
  </si>
  <si>
    <t>天门城区东环路东侧</t>
  </si>
  <si>
    <t>≥1,≤2.01</t>
  </si>
  <si>
    <t>官国威</t>
  </si>
  <si>
    <t>天门工业园8号路交2号路东南角</t>
  </si>
  <si>
    <t>等于0.3</t>
  </si>
  <si>
    <t>2017-04-18</t>
  </si>
  <si>
    <t>黄海林</t>
  </si>
  <si>
    <t>汪场镇罗阳村</t>
  </si>
  <si>
    <t>等于0.06</t>
  </si>
  <si>
    <t>2016-12-07</t>
  </si>
  <si>
    <t>天门华然天然气有限责任公司</t>
  </si>
  <si>
    <t>麻洋镇边湖村</t>
  </si>
  <si>
    <t>≥1且≤1.46</t>
  </si>
  <si>
    <t>2016-11-24</t>
  </si>
  <si>
    <t>潘路瑶</t>
  </si>
  <si>
    <t>石河镇姚岭村</t>
  </si>
  <si>
    <t>2016-10-12</t>
  </si>
  <si>
    <t>谭博文</t>
  </si>
  <si>
    <t>拖市镇夏场村</t>
  </si>
  <si>
    <t>≤0.3</t>
  </si>
  <si>
    <t>2016-03-28</t>
  </si>
  <si>
    <t>陈国武</t>
  </si>
  <si>
    <t>较差</t>
  </si>
  <si>
    <t>百里太子湾</t>
    <phoneticPr fontId="143" type="noConversion"/>
  </si>
  <si>
    <t>住宅售价：</t>
    <phoneticPr fontId="143" type="noConversion"/>
  </si>
  <si>
    <t>商铺售价：</t>
    <phoneticPr fontId="143" type="noConversion"/>
  </si>
  <si>
    <t>无天然气，46平，6米层高，租金64平一年36000，1.5元·平方米</t>
    <phoneticPr fontId="143" type="noConversion"/>
  </si>
  <si>
    <t>凯旋门</t>
    <phoneticPr fontId="143" type="noConversion"/>
  </si>
  <si>
    <t>住宅5500~6000，租金2000一个月，车位5万一个</t>
    <phoneticPr fontId="143" type="noConversion"/>
  </si>
  <si>
    <t>商铺一层16000,6米层高，2年交房</t>
    <phoneticPr fontId="143" type="noConversion"/>
  </si>
  <si>
    <t>壹号院子</t>
    <phoneticPr fontId="143" type="noConversion"/>
  </si>
  <si>
    <t>华西新城</t>
    <phoneticPr fontId="143" type="noConversion"/>
  </si>
  <si>
    <t>商铺售价</t>
    <phoneticPr fontId="143" type="noConversion"/>
  </si>
  <si>
    <t>住宅售价</t>
    <phoneticPr fontId="143" type="noConversion"/>
  </si>
  <si>
    <t>4500~5000</t>
    <phoneticPr fontId="143" type="noConversion"/>
  </si>
  <si>
    <t>一层15000现房，期房13000</t>
    <phoneticPr fontId="143" type="noConversion"/>
  </si>
  <si>
    <t>70年产权公寓6800,6米层高</t>
    <phoneticPr fontId="143" type="noConversion"/>
  </si>
  <si>
    <t>住宅售价4500~5000，洋房6200毛坯，暂无商铺出售</t>
    <phoneticPr fontId="143" type="noConversion"/>
  </si>
  <si>
    <t>51平11000~12000,4米5层高，只1层，租金1.5~2块</t>
    <phoneticPr fontId="143" type="noConversion"/>
  </si>
  <si>
    <t>1层</t>
    <phoneticPr fontId="143" type="noConversion"/>
  </si>
  <si>
    <t>2层</t>
    <phoneticPr fontId="143" type="noConversion"/>
  </si>
  <si>
    <t>面积</t>
    <phoneticPr fontId="143" type="noConversion"/>
  </si>
  <si>
    <t>位置</t>
    <phoneticPr fontId="143" type="noConversion"/>
  </si>
  <si>
    <t>单价</t>
    <phoneticPr fontId="143" type="noConversion"/>
  </si>
  <si>
    <t>押二</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</si>
</sst>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 numFmtId="198" formatCode="0.00_ ;\-0.00"/>
    <numFmt numFmtId="199" formatCode="_ &quot;￥&quot;* #,##0.00_ ;_ &quot;￥&quot;* \-#,##0.00_ ;_ &quot;￥&quot;* &quot;-&quot;??_ ;_ @_ "/>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
      <sz val="11"/>
      <color indexed="53"/>
      <name val="楷体_GB2312"/>
      <family val="3"/>
      <charset val="134"/>
    </font>
    <font>
      <sz val="11"/>
      <color rgb="FF000000"/>
      <name val="宋体"/>
      <family val="2"/>
      <scheme val="minor"/>
    </font>
    <font>
      <sz val="11"/>
      <color theme="9" tint="-0.249977111117893"/>
      <name val="宋体"/>
      <family val="3"/>
      <charset val="134"/>
      <scheme val="minor"/>
    </font>
    <font>
      <b/>
      <sz val="20"/>
      <name val="宋体"/>
      <family val="3"/>
      <charset val="134"/>
      <scheme val="major"/>
    </font>
    <font>
      <b/>
      <sz val="12"/>
      <name val="宋体"/>
      <family val="3"/>
      <charset val="134"/>
      <scheme val="major"/>
    </font>
    <font>
      <sz val="12"/>
      <name val="宋体"/>
      <family val="3"/>
      <charset val="134"/>
      <scheme val="major"/>
    </font>
    <font>
      <sz val="12"/>
      <color rgb="FFFF0000"/>
      <name val="宋体"/>
      <family val="3"/>
      <charset val="134"/>
      <scheme val="major"/>
    </font>
    <font>
      <sz val="11"/>
      <name val="宋体"/>
      <family val="3"/>
      <charset val="134"/>
      <scheme val="major"/>
    </font>
    <font>
      <sz val="11"/>
      <color rgb="FFFF0000"/>
      <name val="宋体"/>
      <family val="3"/>
      <charset val="134"/>
      <scheme val="major"/>
    </font>
    <font>
      <sz val="11"/>
      <color indexed="9"/>
      <name val="宋体"/>
      <family val="3"/>
      <charset val="134"/>
    </font>
    <font>
      <b/>
      <sz val="15"/>
      <color indexed="56"/>
      <name val="宋体"/>
      <family val="3"/>
      <charset val="134"/>
    </font>
    <font>
      <b/>
      <sz val="18"/>
      <color indexed="56"/>
      <name val="宋体"/>
      <family val="3"/>
      <charset val="134"/>
    </font>
    <font>
      <b/>
      <sz val="13"/>
      <color indexed="56"/>
      <name val="宋体"/>
      <family val="3"/>
      <charset val="134"/>
    </font>
    <font>
      <b/>
      <sz val="11"/>
      <color indexed="56"/>
      <name val="宋体"/>
      <family val="3"/>
      <charset val="134"/>
    </font>
    <font>
      <sz val="11"/>
      <color indexed="20"/>
      <name val="宋体"/>
      <family val="3"/>
      <charset val="134"/>
    </font>
    <font>
      <sz val="11"/>
      <color indexed="17"/>
      <name val="宋体"/>
      <family val="3"/>
      <charset val="134"/>
    </font>
    <font>
      <b/>
      <sz val="11"/>
      <color indexed="52"/>
      <name val="宋体"/>
      <family val="3"/>
      <charset val="134"/>
    </font>
    <font>
      <b/>
      <sz val="11"/>
      <color rgb="FFFA7D00"/>
      <name val="宋体"/>
      <family val="3"/>
      <charset val="134"/>
      <scheme val="minor"/>
    </font>
    <font>
      <b/>
      <sz val="11"/>
      <color indexed="9"/>
      <name val="宋体"/>
      <family val="3"/>
      <charset val="134"/>
    </font>
    <font>
      <i/>
      <sz val="11"/>
      <color indexed="23"/>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sz val="11"/>
      <color indexed="62"/>
      <name val="宋体"/>
      <family val="3"/>
      <charset val="134"/>
    </font>
    <font>
      <sz val="11"/>
      <color rgb="FF00B0F0"/>
      <name val="宋体"/>
      <family val="3"/>
      <charset val="134"/>
      <scheme val="minor"/>
    </font>
    <font>
      <sz val="11"/>
      <color rgb="FF0070C0"/>
      <name val="宋体"/>
      <family val="3"/>
      <charset val="134"/>
      <scheme val="minor"/>
    </font>
  </fonts>
  <fills count="4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20"/>
        <bgColor indexed="64"/>
      </patternFill>
    </fill>
    <fill>
      <patternFill patternType="solid">
        <fgColor indexed="49"/>
        <bgColor indexed="64"/>
      </patternFill>
    </fill>
    <fill>
      <patternFill patternType="solid">
        <fgColor indexed="52"/>
        <bgColor indexed="64"/>
      </patternFill>
    </fill>
    <fill>
      <patternFill patternType="solid">
        <fgColor indexed="22"/>
        <bgColor indexed="64"/>
      </patternFill>
    </fill>
    <fill>
      <patternFill patternType="solid">
        <fgColor rgb="FFF2F2F2"/>
        <bgColor indexed="64"/>
      </patternFill>
    </fill>
    <fill>
      <patternFill patternType="solid">
        <fgColor indexed="55"/>
        <bgColor indexed="64"/>
      </patternFill>
    </fill>
    <fill>
      <patternFill patternType="solid">
        <fgColor indexed="62"/>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26"/>
        <bgColor indexed="64"/>
      </patternFill>
    </fill>
  </fills>
  <borders count="16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thin">
        <color rgb="FF7F7F7F"/>
      </left>
      <right style="thin">
        <color rgb="FF7F7F7F"/>
      </right>
      <top style="thin">
        <color rgb="FF7F7F7F"/>
      </top>
      <bottom style="thin">
        <color rgb="FF7F7F7F"/>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s>
  <cellStyleXfs count="20111">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xf numFmtId="176" fontId="99" fillId="0" borderId="0" applyFont="0" applyFill="0" applyBorder="0" applyAlignment="0" applyProtection="0">
      <alignment vertical="center"/>
    </xf>
    <xf numFmtId="9" fontId="99" fillId="0" borderId="0" applyFont="0" applyFill="0" applyBorder="0" applyAlignment="0" applyProtection="0">
      <alignment vertical="center"/>
    </xf>
    <xf numFmtId="0" fontId="256" fillId="0" borderId="0"/>
    <xf numFmtId="0" fontId="256" fillId="0" borderId="0"/>
    <xf numFmtId="0" fontId="99" fillId="0" borderId="0">
      <alignment vertical="center"/>
    </xf>
    <xf numFmtId="0" fontId="37" fillId="0" borderId="0" applyProtection="0">
      <alignment vertical="center"/>
    </xf>
    <xf numFmtId="0" fontId="37" fillId="0" borderId="0">
      <alignment vertical="center"/>
    </xf>
    <xf numFmtId="0" fontId="9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8"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protection locked="0"/>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protection locked="0"/>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19"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0"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2"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3"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5"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6"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1"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4"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137" fillId="27"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8"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5"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6"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protection locked="0"/>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4" fillId="31" borderId="0"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5" fillId="0" borderId="157"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7" fillId="0" borderId="158"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159"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8"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6" fillId="0"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269" fillId="19"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99" fillId="0" borderId="0">
      <alignment vertical="center"/>
    </xf>
    <xf numFmtId="0" fontId="99" fillId="0" borderId="0"/>
    <xf numFmtId="0" fontId="19" fillId="0" borderId="0"/>
    <xf numFmtId="0" fontId="99" fillId="0" borderId="0">
      <alignment vertical="center"/>
    </xf>
    <xf numFmtId="0" fontId="99" fillId="0" borderId="0">
      <alignment vertical="center"/>
    </xf>
    <xf numFmtId="0" fontId="37" fillId="0" borderId="0">
      <alignment vertical="center"/>
    </xf>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xf numFmtId="0" fontId="37" fillId="0" borderId="0"/>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99" fillId="0" borderId="0">
      <alignment vertical="center"/>
    </xf>
    <xf numFmtId="0" fontId="99"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99" fillId="0" borderId="0">
      <alignment vertical="center"/>
    </xf>
    <xf numFmtId="0" fontId="99"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1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37" fillId="0" borderId="0">
      <alignment vertical="center"/>
    </xf>
    <xf numFmtId="0" fontId="37" fillId="0" borderId="0">
      <alignment vertical="center"/>
    </xf>
    <xf numFmtId="0" fontId="37" fillId="0" borderId="0">
      <alignment vertical="center"/>
    </xf>
    <xf numFmtId="0" fontId="1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137" fillId="0" borderId="0" applyProtection="0">
      <alignment vertical="center"/>
    </xf>
    <xf numFmtId="0" fontId="137" fillId="0" borderId="0" applyProtection="0">
      <alignment vertical="center"/>
    </xf>
    <xf numFmtId="0" fontId="137" fillId="0" borderId="0" applyProtection="0">
      <alignment vertical="center"/>
    </xf>
    <xf numFmtId="0" fontId="137" fillId="0" borderId="0" applyProtection="0">
      <alignment vertical="center"/>
    </xf>
    <xf numFmtId="0" fontId="37" fillId="0" borderId="0">
      <alignment vertical="center"/>
    </xf>
    <xf numFmtId="0" fontId="137" fillId="0" borderId="0" applyProtection="0">
      <alignment vertical="center"/>
    </xf>
    <xf numFmtId="0" fontId="137" fillId="0" borderId="0" applyProtection="0">
      <alignment vertical="center"/>
    </xf>
    <xf numFmtId="0" fontId="137" fillId="0" borderId="0" applyProtection="0">
      <alignment vertical="center"/>
    </xf>
    <xf numFmtId="0" fontId="37" fillId="0" borderId="0">
      <alignment vertical="center"/>
    </xf>
    <xf numFmtId="0" fontId="137" fillId="0" borderId="0" applyProtection="0">
      <alignment vertical="center"/>
    </xf>
    <xf numFmtId="0" fontId="137" fillId="0" borderId="0" applyProtection="0">
      <alignment vertical="center"/>
    </xf>
    <xf numFmtId="0" fontId="137" fillId="0" borderId="0" applyProtection="0">
      <alignment vertical="center"/>
    </xf>
    <xf numFmtId="0" fontId="37" fillId="0" borderId="0">
      <alignment vertical="center"/>
    </xf>
    <xf numFmtId="0" fontId="137" fillId="0" borderId="0" applyProtection="0">
      <alignment vertical="center"/>
    </xf>
    <xf numFmtId="0" fontId="137" fillId="0" borderId="0" applyProtection="0">
      <alignment vertical="center"/>
    </xf>
    <xf numFmtId="0" fontId="1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19" fillId="0" borderId="0"/>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19" fillId="0" borderId="0"/>
    <xf numFmtId="0" fontId="19" fillId="0" borderId="0"/>
    <xf numFmtId="0" fontId="19" fillId="0" borderId="0"/>
    <xf numFmtId="0" fontId="19" fillId="0" borderId="0"/>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19" fillId="0" borderId="0"/>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137" fillId="0" borderId="0" applyProtection="0">
      <alignment vertical="center"/>
    </xf>
    <xf numFmtId="0" fontId="137" fillId="0" borderId="0" applyProtection="0">
      <alignment vertical="center"/>
    </xf>
    <xf numFmtId="0" fontId="137" fillId="0" borderId="0" applyProtection="0">
      <alignment vertical="center"/>
    </xf>
    <xf numFmtId="0" fontId="137" fillId="0" borderId="0" applyProtection="0">
      <alignment vertical="center"/>
    </xf>
    <xf numFmtId="0" fontId="37" fillId="0" borderId="0">
      <alignment vertical="center"/>
    </xf>
    <xf numFmtId="0" fontId="137" fillId="0" borderId="0" applyProtection="0">
      <alignment vertical="center"/>
    </xf>
    <xf numFmtId="0" fontId="137" fillId="0" borderId="0" applyProtection="0">
      <alignment vertical="center"/>
    </xf>
    <xf numFmtId="0" fontId="137" fillId="0" borderId="0" applyProtection="0">
      <alignment vertical="center"/>
    </xf>
    <xf numFmtId="0" fontId="37" fillId="0" borderId="0">
      <alignment vertical="center"/>
    </xf>
    <xf numFmtId="0" fontId="137" fillId="0" borderId="0" applyProtection="0">
      <alignment vertical="center"/>
    </xf>
    <xf numFmtId="0" fontId="137" fillId="0" borderId="0" applyProtection="0">
      <alignment vertical="center"/>
    </xf>
    <xf numFmtId="0" fontId="137" fillId="0" borderId="0" applyProtection="0">
      <alignment vertical="center"/>
    </xf>
    <xf numFmtId="0" fontId="137" fillId="0" borderId="0" applyProtection="0">
      <alignment vertical="center"/>
    </xf>
    <xf numFmtId="0" fontId="37" fillId="0" borderId="0">
      <alignment vertical="center"/>
    </xf>
    <xf numFmtId="0" fontId="137" fillId="0" borderId="0" applyProtection="0">
      <alignment vertical="center"/>
    </xf>
    <xf numFmtId="0" fontId="137" fillId="0" borderId="0" applyProtection="0">
      <alignment vertical="center"/>
    </xf>
    <xf numFmtId="0" fontId="137" fillId="0" borderId="0" applyProtection="0">
      <alignment vertical="center"/>
    </xf>
    <xf numFmtId="0" fontId="37" fillId="0" borderId="0">
      <alignment vertical="center"/>
    </xf>
    <xf numFmtId="0" fontId="137" fillId="0" borderId="0" applyProtection="0">
      <alignment vertical="center"/>
    </xf>
    <xf numFmtId="0" fontId="137" fillId="0" borderId="0" applyProtection="0">
      <alignment vertical="center"/>
    </xf>
    <xf numFmtId="0" fontId="137" fillId="0" borderId="0" applyProtection="0">
      <alignment vertical="center"/>
    </xf>
    <xf numFmtId="0" fontId="137" fillId="0" borderId="0" applyProtection="0">
      <alignment vertical="center"/>
    </xf>
    <xf numFmtId="0" fontId="37" fillId="0" borderId="0">
      <alignment vertical="center"/>
    </xf>
    <xf numFmtId="0" fontId="137" fillId="0" borderId="0" applyProtection="0">
      <alignment vertical="center"/>
    </xf>
    <xf numFmtId="0" fontId="137" fillId="0" borderId="0" applyProtection="0">
      <alignment vertical="center"/>
    </xf>
    <xf numFmtId="0" fontId="137" fillId="0" borderId="0" applyProtection="0">
      <alignment vertical="center"/>
    </xf>
    <xf numFmtId="0" fontId="37" fillId="0" borderId="0">
      <alignment vertical="center"/>
    </xf>
    <xf numFmtId="0" fontId="137" fillId="0" borderId="0" applyProtection="0">
      <alignment vertical="center"/>
    </xf>
    <xf numFmtId="0" fontId="137" fillId="0" borderId="0" applyProtection="0">
      <alignment vertical="center"/>
    </xf>
    <xf numFmtId="0" fontId="137" fillId="0" borderId="0" applyProtection="0">
      <alignment vertical="center"/>
    </xf>
    <xf numFmtId="0" fontId="137" fillId="0" borderId="0" applyProtection="0">
      <alignment vertical="center"/>
    </xf>
    <xf numFmtId="0" fontId="37" fillId="0" borderId="0">
      <alignment vertical="center"/>
    </xf>
    <xf numFmtId="0" fontId="137" fillId="0" borderId="0" applyProtection="0">
      <alignment vertical="center"/>
    </xf>
    <xf numFmtId="0" fontId="137" fillId="0" borderId="0" applyProtection="0">
      <alignment vertical="center"/>
    </xf>
    <xf numFmtId="0" fontId="137" fillId="0" borderId="0" applyProtection="0">
      <alignment vertical="center"/>
    </xf>
    <xf numFmtId="0" fontId="37" fillId="0" borderId="0">
      <alignment vertical="center"/>
    </xf>
    <xf numFmtId="0" fontId="137" fillId="0" borderId="0" applyProtection="0">
      <alignment vertical="center"/>
    </xf>
    <xf numFmtId="0" fontId="137" fillId="0" borderId="0" applyProtection="0">
      <alignment vertical="center"/>
    </xf>
    <xf numFmtId="0" fontId="137" fillId="0" borderId="0" applyProtection="0">
      <alignment vertical="center"/>
    </xf>
    <xf numFmtId="0" fontId="137" fillId="0" borderId="0" applyProtection="0">
      <alignment vertical="center"/>
    </xf>
    <xf numFmtId="0" fontId="37" fillId="0" borderId="0">
      <alignment vertical="center"/>
    </xf>
    <xf numFmtId="0" fontId="137" fillId="0" borderId="0" applyProtection="0">
      <alignment vertical="center"/>
    </xf>
    <xf numFmtId="0" fontId="137" fillId="0" borderId="0" applyProtection="0">
      <alignment vertical="center"/>
    </xf>
    <xf numFmtId="0" fontId="1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19" fillId="0" borderId="0"/>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19" fillId="0" borderId="0"/>
    <xf numFmtId="0" fontId="19" fillId="0" borderId="0"/>
    <xf numFmtId="0" fontId="19" fillId="0" borderId="0"/>
    <xf numFmtId="0" fontId="19" fillId="0" borderId="0"/>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19" fillId="0" borderId="0"/>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99" fillId="0" borderId="0">
      <alignment vertical="center"/>
    </xf>
    <xf numFmtId="0" fontId="99" fillId="0" borderId="0">
      <alignment vertical="center"/>
    </xf>
    <xf numFmtId="0" fontId="99" fillId="0" borderId="0">
      <alignment vertical="center"/>
    </xf>
    <xf numFmtId="0" fontId="99"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137" fillId="0" borderId="0" applyProtection="0">
      <alignment vertical="center"/>
    </xf>
    <xf numFmtId="0" fontId="137" fillId="0" borderId="0" applyProtection="0">
      <alignment vertical="center"/>
    </xf>
    <xf numFmtId="0" fontId="137" fillId="0" borderId="0" applyProtection="0">
      <alignment vertical="center"/>
    </xf>
    <xf numFmtId="0" fontId="137" fillId="0" borderId="0" applyProtection="0">
      <alignment vertical="center"/>
    </xf>
    <xf numFmtId="0" fontId="37" fillId="0" borderId="0">
      <alignment vertical="center"/>
    </xf>
    <xf numFmtId="0" fontId="137" fillId="0" borderId="0" applyProtection="0">
      <alignment vertical="center"/>
    </xf>
    <xf numFmtId="0" fontId="137" fillId="0" borderId="0" applyProtection="0">
      <alignment vertical="center"/>
    </xf>
    <xf numFmtId="0" fontId="137" fillId="0" borderId="0" applyProtection="0">
      <alignment vertical="center"/>
    </xf>
    <xf numFmtId="0" fontId="37" fillId="0" borderId="0">
      <alignment vertical="center"/>
    </xf>
    <xf numFmtId="0" fontId="99" fillId="0" borderId="0">
      <alignment vertical="center"/>
    </xf>
    <xf numFmtId="0" fontId="99" fillId="0" borderId="0">
      <alignment vertical="center"/>
    </xf>
    <xf numFmtId="0" fontId="99" fillId="0" borderId="0">
      <alignment vertical="center"/>
    </xf>
    <xf numFmtId="0" fontId="99" fillId="0" borderId="0">
      <alignment vertical="center"/>
    </xf>
    <xf numFmtId="0" fontId="37" fillId="0" borderId="0">
      <alignment vertical="center"/>
    </xf>
    <xf numFmtId="0" fontId="99" fillId="0" borderId="0">
      <alignment vertical="center"/>
    </xf>
    <xf numFmtId="0" fontId="99" fillId="0" borderId="0">
      <alignment vertical="center"/>
    </xf>
    <xf numFmtId="0" fontId="99" fillId="0" borderId="0">
      <alignment vertical="center"/>
    </xf>
    <xf numFmtId="0" fontId="99" fillId="0" borderId="0">
      <alignment vertical="center"/>
    </xf>
    <xf numFmtId="0" fontId="99" fillId="0" borderId="0">
      <alignment vertical="center"/>
    </xf>
    <xf numFmtId="0" fontId="99" fillId="0" borderId="0">
      <alignment vertical="center"/>
    </xf>
    <xf numFmtId="0" fontId="37" fillId="0" borderId="0">
      <alignment vertical="center"/>
    </xf>
    <xf numFmtId="0" fontId="99" fillId="0" borderId="0">
      <alignment vertical="center"/>
    </xf>
    <xf numFmtId="0" fontId="137" fillId="0" borderId="0" applyProtection="0">
      <alignment vertical="center"/>
    </xf>
    <xf numFmtId="0" fontId="137" fillId="0" borderId="0" applyProtection="0">
      <alignment vertical="center"/>
    </xf>
    <xf numFmtId="0" fontId="137" fillId="0" borderId="0" applyProtection="0">
      <alignment vertical="center"/>
    </xf>
    <xf numFmtId="0" fontId="137" fillId="0" borderId="0" applyProtection="0">
      <alignment vertical="center"/>
    </xf>
    <xf numFmtId="0" fontId="37" fillId="0" borderId="0">
      <alignment vertical="center"/>
    </xf>
    <xf numFmtId="0" fontId="137" fillId="0" borderId="0" applyProtection="0">
      <alignment vertical="center"/>
    </xf>
    <xf numFmtId="0" fontId="137" fillId="0" borderId="0" applyProtection="0">
      <alignment vertical="center"/>
    </xf>
    <xf numFmtId="0" fontId="137" fillId="0" borderId="0" applyProtection="0">
      <alignment vertical="center"/>
    </xf>
    <xf numFmtId="0" fontId="37" fillId="0" borderId="0">
      <alignment vertical="center"/>
    </xf>
    <xf numFmtId="0" fontId="137" fillId="0" borderId="0" applyProtection="0">
      <alignment vertical="center"/>
    </xf>
    <xf numFmtId="0" fontId="137" fillId="0" borderId="0" applyProtection="0">
      <alignment vertical="center"/>
    </xf>
    <xf numFmtId="0" fontId="137" fillId="0" borderId="0" applyProtection="0">
      <alignment vertical="center"/>
    </xf>
    <xf numFmtId="0" fontId="137" fillId="0" borderId="0" applyProtection="0">
      <alignment vertical="center"/>
    </xf>
    <xf numFmtId="0" fontId="37" fillId="0" borderId="0">
      <alignment vertical="center"/>
    </xf>
    <xf numFmtId="0" fontId="137" fillId="0" borderId="0" applyProtection="0">
      <alignment vertical="center"/>
    </xf>
    <xf numFmtId="0" fontId="137" fillId="0" borderId="0" applyProtection="0">
      <alignment vertical="center"/>
    </xf>
    <xf numFmtId="0" fontId="137" fillId="0" borderId="0" applyProtection="0">
      <alignment vertical="center"/>
    </xf>
    <xf numFmtId="0" fontId="37" fillId="0" borderId="0">
      <alignment vertical="center"/>
    </xf>
    <xf numFmtId="0" fontId="99" fillId="0" borderId="0">
      <alignment vertical="center"/>
    </xf>
    <xf numFmtId="0" fontId="99" fillId="0" borderId="0">
      <alignment vertical="center"/>
    </xf>
    <xf numFmtId="0" fontId="99" fillId="0" borderId="0">
      <alignment vertical="center"/>
    </xf>
    <xf numFmtId="0" fontId="99" fillId="0" borderId="0">
      <alignment vertical="center"/>
    </xf>
    <xf numFmtId="0" fontId="37" fillId="0" borderId="0">
      <alignment vertical="center"/>
    </xf>
    <xf numFmtId="0" fontId="99" fillId="0" borderId="0">
      <alignment vertical="center"/>
    </xf>
    <xf numFmtId="0" fontId="99" fillId="0" borderId="0">
      <alignment vertical="center"/>
    </xf>
    <xf numFmtId="0" fontId="99" fillId="0" borderId="0">
      <alignment vertical="center"/>
    </xf>
    <xf numFmtId="0" fontId="99" fillId="0" borderId="0">
      <alignment vertical="center"/>
    </xf>
    <xf numFmtId="0" fontId="99" fillId="0" borderId="0">
      <alignment vertical="center"/>
    </xf>
    <xf numFmtId="0" fontId="37" fillId="0" borderId="0">
      <alignment vertical="center"/>
    </xf>
    <xf numFmtId="0" fontId="99" fillId="0" borderId="0">
      <alignment vertical="center"/>
    </xf>
    <xf numFmtId="0" fontId="99" fillId="0" borderId="0">
      <alignment vertical="center"/>
    </xf>
    <xf numFmtId="0" fontId="99" fillId="0" borderId="0">
      <alignment vertical="center"/>
    </xf>
    <xf numFmtId="0" fontId="99" fillId="0" borderId="0">
      <alignment vertical="center"/>
    </xf>
    <xf numFmtId="0" fontId="99" fillId="0" borderId="0">
      <alignment vertical="center"/>
    </xf>
    <xf numFmtId="0" fontId="99" fillId="0" borderId="0">
      <alignment vertical="center"/>
    </xf>
    <xf numFmtId="0" fontId="99" fillId="0" borderId="0">
      <alignment vertical="center"/>
    </xf>
    <xf numFmtId="0" fontId="37" fillId="0" borderId="0">
      <alignment vertical="center"/>
    </xf>
    <xf numFmtId="0" fontId="99" fillId="0" borderId="0">
      <alignment vertical="center"/>
    </xf>
    <xf numFmtId="0" fontId="99" fillId="0" borderId="0">
      <alignment vertical="center"/>
    </xf>
    <xf numFmtId="0" fontId="99" fillId="0" borderId="0">
      <alignment vertical="center"/>
    </xf>
    <xf numFmtId="0" fontId="99" fillId="0" borderId="0">
      <alignment vertical="center"/>
    </xf>
    <xf numFmtId="0" fontId="99" fillId="0" borderId="0">
      <alignment vertical="center"/>
    </xf>
    <xf numFmtId="0" fontId="99" fillId="0" borderId="0">
      <alignment vertical="center"/>
    </xf>
    <xf numFmtId="0" fontId="99" fillId="0" borderId="0">
      <alignment vertical="center"/>
    </xf>
    <xf numFmtId="0" fontId="37" fillId="0" borderId="0">
      <alignment vertical="center"/>
    </xf>
    <xf numFmtId="0" fontId="99" fillId="0" borderId="0">
      <alignment vertical="center"/>
    </xf>
    <xf numFmtId="0" fontId="19" fillId="0" borderId="0"/>
    <xf numFmtId="0" fontId="99" fillId="0" borderId="0">
      <alignment vertical="center"/>
    </xf>
    <xf numFmtId="0" fontId="99" fillId="0" borderId="0">
      <alignment vertical="center"/>
    </xf>
    <xf numFmtId="0" fontId="99" fillId="0" borderId="0">
      <alignment vertical="center"/>
    </xf>
    <xf numFmtId="0" fontId="99" fillId="0" borderId="0">
      <alignment vertical="center"/>
    </xf>
    <xf numFmtId="0" fontId="99" fillId="0" borderId="0">
      <alignment vertical="center"/>
    </xf>
    <xf numFmtId="0" fontId="99" fillId="0" borderId="0">
      <alignment vertical="center"/>
    </xf>
    <xf numFmtId="0" fontId="37" fillId="0" borderId="0">
      <alignment vertical="center"/>
    </xf>
    <xf numFmtId="0" fontId="99" fillId="0" borderId="0">
      <alignment vertical="center"/>
    </xf>
    <xf numFmtId="0" fontId="19" fillId="0" borderId="0"/>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99" fillId="0" borderId="0">
      <alignment vertical="center"/>
    </xf>
    <xf numFmtId="0" fontId="99" fillId="0" borderId="0">
      <alignment vertical="center"/>
    </xf>
    <xf numFmtId="0" fontId="99" fillId="0" borderId="0">
      <alignment vertical="center"/>
    </xf>
    <xf numFmtId="0" fontId="99" fillId="0" borderId="0">
      <alignment vertical="center"/>
    </xf>
    <xf numFmtId="0" fontId="99" fillId="0" borderId="0">
      <alignment vertical="center"/>
    </xf>
    <xf numFmtId="0" fontId="99" fillId="0" borderId="0">
      <alignment vertical="center"/>
    </xf>
    <xf numFmtId="0" fontId="37" fillId="0" borderId="0">
      <alignment vertical="center"/>
    </xf>
    <xf numFmtId="0" fontId="99" fillId="0" borderId="0">
      <alignment vertical="center"/>
    </xf>
    <xf numFmtId="0" fontId="99" fillId="0" borderId="0">
      <alignment vertical="center"/>
    </xf>
    <xf numFmtId="0" fontId="99" fillId="0" borderId="0">
      <alignment vertical="center"/>
    </xf>
    <xf numFmtId="0" fontId="99" fillId="0" borderId="0">
      <alignment vertical="center"/>
    </xf>
    <xf numFmtId="0" fontId="99" fillId="0" borderId="0">
      <alignment vertical="center"/>
    </xf>
    <xf numFmtId="0" fontId="99" fillId="0" borderId="0">
      <alignment vertical="center"/>
    </xf>
    <xf numFmtId="0" fontId="99" fillId="0" borderId="0">
      <alignment vertical="center"/>
    </xf>
    <xf numFmtId="0" fontId="37" fillId="0" borderId="0">
      <alignment vertical="center"/>
    </xf>
    <xf numFmtId="0" fontId="99" fillId="0" borderId="0">
      <alignment vertical="center"/>
    </xf>
    <xf numFmtId="0" fontId="99" fillId="0" borderId="0">
      <alignment vertical="center"/>
    </xf>
    <xf numFmtId="0" fontId="99" fillId="0" borderId="0">
      <alignment vertical="center"/>
    </xf>
    <xf numFmtId="0" fontId="99" fillId="0" borderId="0">
      <alignment vertical="center"/>
    </xf>
    <xf numFmtId="0" fontId="99" fillId="0" borderId="0">
      <alignment vertical="center"/>
    </xf>
    <xf numFmtId="0" fontId="99" fillId="0" borderId="0">
      <alignment vertical="center"/>
    </xf>
    <xf numFmtId="0" fontId="99" fillId="0" borderId="0">
      <alignment vertical="center"/>
    </xf>
    <xf numFmtId="0" fontId="37" fillId="0" borderId="0">
      <alignment vertical="center"/>
    </xf>
    <xf numFmtId="0" fontId="99" fillId="0" borderId="0">
      <alignment vertical="center"/>
    </xf>
    <xf numFmtId="0" fontId="19" fillId="0" borderId="0"/>
    <xf numFmtId="0" fontId="99" fillId="0" borderId="0">
      <alignment vertical="center"/>
    </xf>
    <xf numFmtId="0" fontId="99" fillId="0" borderId="0">
      <alignment vertical="center"/>
    </xf>
    <xf numFmtId="0" fontId="99" fillId="0" borderId="0">
      <alignment vertical="center"/>
    </xf>
    <xf numFmtId="0" fontId="99" fillId="0" borderId="0">
      <alignment vertical="center"/>
    </xf>
    <xf numFmtId="0" fontId="99" fillId="0" borderId="0">
      <alignment vertical="center"/>
    </xf>
    <xf numFmtId="0" fontId="99" fillId="0" borderId="0">
      <alignment vertical="center"/>
    </xf>
    <xf numFmtId="0" fontId="37" fillId="0" borderId="0">
      <alignment vertical="center"/>
    </xf>
    <xf numFmtId="0" fontId="99" fillId="0" borderId="0">
      <alignment vertical="center"/>
    </xf>
    <xf numFmtId="0" fontId="19" fillId="0" borderId="0"/>
    <xf numFmtId="0" fontId="99" fillId="0" borderId="0">
      <alignment vertical="center"/>
    </xf>
    <xf numFmtId="0" fontId="99" fillId="0" borderId="0">
      <alignment vertical="center"/>
    </xf>
    <xf numFmtId="0" fontId="99" fillId="0" borderId="0">
      <alignment vertical="center"/>
    </xf>
    <xf numFmtId="0" fontId="99" fillId="0" borderId="0">
      <alignment vertical="center"/>
    </xf>
    <xf numFmtId="0" fontId="99" fillId="0" borderId="0">
      <alignment vertical="center"/>
    </xf>
    <xf numFmtId="0" fontId="99" fillId="0" borderId="0">
      <alignment vertical="center"/>
    </xf>
    <xf numFmtId="0" fontId="37" fillId="0" borderId="0">
      <alignment vertical="center"/>
    </xf>
    <xf numFmtId="0" fontId="99" fillId="0" borderId="0">
      <alignment vertical="center"/>
    </xf>
    <xf numFmtId="0" fontId="99" fillId="0" borderId="0">
      <alignment vertical="center"/>
    </xf>
    <xf numFmtId="0" fontId="99" fillId="0" borderId="0">
      <alignment vertical="center"/>
    </xf>
    <xf numFmtId="0" fontId="99" fillId="0" borderId="0">
      <alignment vertical="center"/>
    </xf>
    <xf numFmtId="0" fontId="99" fillId="0" borderId="0">
      <alignment vertical="center"/>
    </xf>
    <xf numFmtId="0" fontId="99" fillId="0" borderId="0">
      <alignment vertical="center"/>
    </xf>
    <xf numFmtId="0" fontId="37" fillId="0" borderId="0">
      <alignment vertical="center"/>
    </xf>
    <xf numFmtId="0" fontId="99" fillId="0" borderId="0">
      <alignment vertical="center"/>
    </xf>
    <xf numFmtId="0" fontId="99" fillId="0" borderId="0">
      <alignment vertical="center"/>
    </xf>
    <xf numFmtId="0" fontId="37" fillId="0" borderId="0">
      <alignment vertical="center"/>
    </xf>
    <xf numFmtId="0" fontId="99" fillId="0" borderId="0">
      <alignment vertical="center"/>
    </xf>
    <xf numFmtId="0" fontId="99" fillId="0" borderId="0">
      <alignment vertical="center"/>
    </xf>
    <xf numFmtId="0" fontId="99" fillId="0" borderId="0">
      <alignment vertical="center"/>
    </xf>
    <xf numFmtId="0" fontId="99" fillId="0" borderId="0">
      <alignment vertical="center"/>
    </xf>
    <xf numFmtId="0" fontId="99" fillId="0" borderId="0"/>
    <xf numFmtId="0" fontId="99" fillId="0" borderId="0"/>
    <xf numFmtId="0" fontId="99" fillId="0" borderId="0"/>
    <xf numFmtId="0" fontId="99" fillId="0" borderId="0">
      <alignment vertical="center"/>
    </xf>
    <xf numFmtId="0" fontId="99" fillId="0" borderId="0"/>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99" fillId="0" borderId="0">
      <alignment vertical="center"/>
    </xf>
    <xf numFmtId="0" fontId="99" fillId="0" borderId="0">
      <alignment vertical="center"/>
    </xf>
    <xf numFmtId="0" fontId="99" fillId="0" borderId="0">
      <alignment vertical="center"/>
    </xf>
    <xf numFmtId="0" fontId="99" fillId="0" borderId="0">
      <alignment vertical="center"/>
    </xf>
    <xf numFmtId="0" fontId="99" fillId="0" borderId="0">
      <alignment vertical="center"/>
    </xf>
    <xf numFmtId="0" fontId="99" fillId="0" borderId="0">
      <alignment vertical="center"/>
    </xf>
    <xf numFmtId="0" fontId="99" fillId="0" borderId="0">
      <alignment vertical="center"/>
    </xf>
    <xf numFmtId="0" fontId="99" fillId="0" borderId="0">
      <alignment vertical="center"/>
    </xf>
    <xf numFmtId="0" fontId="99" fillId="0" borderId="0">
      <alignment vertical="center"/>
    </xf>
    <xf numFmtId="0" fontId="99"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99" fillId="0" borderId="0">
      <alignment vertical="center"/>
    </xf>
    <xf numFmtId="0" fontId="99" fillId="0" borderId="0">
      <alignment vertical="center"/>
    </xf>
    <xf numFmtId="0" fontId="99" fillId="0" borderId="0">
      <alignment vertical="center"/>
    </xf>
    <xf numFmtId="0" fontId="99" fillId="0" borderId="0">
      <alignment vertical="center"/>
    </xf>
    <xf numFmtId="0" fontId="99" fillId="0" borderId="0">
      <alignment vertical="center"/>
    </xf>
    <xf numFmtId="0" fontId="99" fillId="0" borderId="0">
      <alignment vertical="center"/>
    </xf>
    <xf numFmtId="0" fontId="99" fillId="0" borderId="0">
      <alignment vertical="center"/>
    </xf>
    <xf numFmtId="0" fontId="99" fillId="0" borderId="0">
      <alignment vertical="center"/>
    </xf>
    <xf numFmtId="0" fontId="99" fillId="0" borderId="0">
      <alignment vertical="center"/>
    </xf>
    <xf numFmtId="0" fontId="99" fillId="0" borderId="0">
      <alignment vertical="center"/>
    </xf>
    <xf numFmtId="0" fontId="270" fillId="20" borderId="0" applyProtection="0">
      <alignment vertical="center"/>
    </xf>
    <xf numFmtId="0" fontId="270" fillId="20" borderId="0" applyProtection="0">
      <alignment vertical="center"/>
    </xf>
    <xf numFmtId="0" fontId="270" fillId="20" borderId="0" applyProtection="0">
      <alignment vertical="center"/>
    </xf>
    <xf numFmtId="0" fontId="270" fillId="20" borderId="0" applyProtection="0">
      <alignment vertical="center"/>
    </xf>
    <xf numFmtId="0" fontId="37" fillId="0" borderId="0">
      <alignment vertical="center"/>
    </xf>
    <xf numFmtId="0" fontId="270" fillId="20" borderId="0" applyProtection="0">
      <alignment vertical="center"/>
    </xf>
    <xf numFmtId="0" fontId="270" fillId="20" borderId="0" applyProtection="0">
      <alignment vertical="center"/>
    </xf>
    <xf numFmtId="0" fontId="270" fillId="20" borderId="0" applyProtection="0">
      <alignment vertical="center"/>
    </xf>
    <xf numFmtId="0" fontId="37" fillId="0" borderId="0">
      <alignment vertical="center"/>
    </xf>
    <xf numFmtId="0" fontId="270" fillId="20" borderId="0" applyProtection="0">
      <alignment vertical="center"/>
    </xf>
    <xf numFmtId="0" fontId="270" fillId="20" borderId="0" applyProtection="0">
      <alignment vertical="center"/>
    </xf>
    <xf numFmtId="0" fontId="270" fillId="20" borderId="0" applyProtection="0">
      <alignment vertical="center"/>
    </xf>
    <xf numFmtId="0" fontId="270" fillId="20" borderId="0" applyProtection="0">
      <alignment vertical="center"/>
    </xf>
    <xf numFmtId="0" fontId="37" fillId="0" borderId="0">
      <alignment vertical="center"/>
    </xf>
    <xf numFmtId="0" fontId="270" fillId="20" borderId="0" applyProtection="0">
      <alignment vertical="center"/>
    </xf>
    <xf numFmtId="0" fontId="270" fillId="20" borderId="0" applyProtection="0">
      <alignment vertical="center"/>
    </xf>
    <xf numFmtId="0" fontId="270" fillId="20" borderId="0" applyProtection="0">
      <alignment vertical="center"/>
    </xf>
    <xf numFmtId="0" fontId="37" fillId="0" borderId="0">
      <alignment vertical="center"/>
    </xf>
    <xf numFmtId="0" fontId="270" fillId="20" borderId="0" applyProtection="0">
      <alignment vertical="center"/>
    </xf>
    <xf numFmtId="0" fontId="270" fillId="20" borderId="0" applyProtection="0">
      <alignment vertical="center"/>
    </xf>
    <xf numFmtId="0" fontId="270" fillId="20" borderId="0" applyProtection="0">
      <alignment vertical="center"/>
    </xf>
    <xf numFmtId="0" fontId="270" fillId="20" borderId="0" applyProtection="0">
      <alignment vertical="center"/>
    </xf>
    <xf numFmtId="0" fontId="37" fillId="0" borderId="0">
      <alignment vertical="center"/>
    </xf>
    <xf numFmtId="0" fontId="270" fillId="20" borderId="0" applyProtection="0">
      <alignment vertical="center"/>
    </xf>
    <xf numFmtId="0" fontId="270" fillId="20" borderId="0" applyProtection="0">
      <alignment vertical="center"/>
    </xf>
    <xf numFmtId="0" fontId="270" fillId="20" borderId="0" applyProtection="0">
      <alignment vertical="center"/>
    </xf>
    <xf numFmtId="0" fontId="37" fillId="0" borderId="0">
      <alignment vertical="center"/>
    </xf>
    <xf numFmtId="0" fontId="270" fillId="20" borderId="0" applyProtection="0">
      <alignment vertical="center"/>
    </xf>
    <xf numFmtId="0" fontId="270" fillId="20" borderId="0" applyProtection="0">
      <alignment vertical="center"/>
    </xf>
    <xf numFmtId="0" fontId="270" fillId="20" borderId="0" applyProtection="0">
      <alignment vertical="center"/>
    </xf>
    <xf numFmtId="0" fontId="270" fillId="20" borderId="0" applyProtection="0">
      <alignment vertical="center"/>
    </xf>
    <xf numFmtId="0" fontId="37" fillId="0" borderId="0">
      <alignment vertical="center"/>
    </xf>
    <xf numFmtId="0" fontId="270" fillId="20" borderId="0" applyProtection="0">
      <alignment vertical="center"/>
    </xf>
    <xf numFmtId="0" fontId="270" fillId="20" borderId="0" applyProtection="0">
      <alignment vertical="center"/>
    </xf>
    <xf numFmtId="0" fontId="270" fillId="20" borderId="0" applyProtection="0">
      <alignment vertical="center"/>
    </xf>
    <xf numFmtId="0" fontId="37" fillId="0" borderId="0">
      <alignment vertical="center"/>
    </xf>
    <xf numFmtId="0" fontId="270" fillId="20" borderId="0" applyProtection="0">
      <alignment vertical="center"/>
    </xf>
    <xf numFmtId="0" fontId="270" fillId="20" borderId="0" applyProtection="0">
      <alignment vertical="center"/>
    </xf>
    <xf numFmtId="0" fontId="270" fillId="20" borderId="0" applyProtection="0">
      <alignment vertical="center"/>
    </xf>
    <xf numFmtId="0" fontId="270" fillId="20" borderId="0" applyProtection="0">
      <alignment vertical="center"/>
    </xf>
    <xf numFmtId="0" fontId="37" fillId="0" borderId="0">
      <alignment vertical="center"/>
    </xf>
    <xf numFmtId="0" fontId="270" fillId="20" borderId="0" applyProtection="0">
      <alignment vertical="center"/>
    </xf>
    <xf numFmtId="0" fontId="270" fillId="20" borderId="0" applyProtection="0">
      <alignment vertical="center"/>
    </xf>
    <xf numFmtId="0" fontId="270" fillId="20" borderId="0" applyProtection="0">
      <alignment vertical="center"/>
    </xf>
    <xf numFmtId="0" fontId="37" fillId="0" borderId="0">
      <alignment vertical="center"/>
    </xf>
    <xf numFmtId="0" fontId="270" fillId="20" borderId="0" applyProtection="0">
      <alignment vertical="center"/>
    </xf>
    <xf numFmtId="0" fontId="270" fillId="20" borderId="0" applyProtection="0">
      <alignment vertical="center"/>
    </xf>
    <xf numFmtId="0" fontId="270" fillId="20" borderId="0" applyProtection="0">
      <alignment vertical="center"/>
    </xf>
    <xf numFmtId="0" fontId="270" fillId="20" borderId="0" applyProtection="0">
      <alignment vertical="center"/>
    </xf>
    <xf numFmtId="0" fontId="37" fillId="0" borderId="0">
      <alignment vertical="center"/>
    </xf>
    <xf numFmtId="0" fontId="270" fillId="20" borderId="0" applyProtection="0">
      <alignment vertical="center"/>
    </xf>
    <xf numFmtId="0" fontId="270" fillId="20" borderId="0" applyProtection="0">
      <alignment vertical="center"/>
    </xf>
    <xf numFmtId="0" fontId="270" fillId="20" borderId="0" applyProtection="0">
      <alignment vertical="center"/>
    </xf>
    <xf numFmtId="0" fontId="37" fillId="0" borderId="0">
      <alignment vertical="center"/>
    </xf>
    <xf numFmtId="0" fontId="270" fillId="20" borderId="0" applyProtection="0">
      <alignment vertical="center"/>
    </xf>
    <xf numFmtId="0" fontId="270" fillId="20" borderId="0" applyProtection="0">
      <alignment vertical="center"/>
    </xf>
    <xf numFmtId="0" fontId="270" fillId="20" borderId="0" applyProtection="0">
      <alignment vertical="center"/>
    </xf>
    <xf numFmtId="0" fontId="270" fillId="20" borderId="0" applyProtection="0">
      <alignment vertical="center"/>
    </xf>
    <xf numFmtId="0" fontId="37" fillId="0" borderId="0">
      <alignment vertical="center"/>
    </xf>
    <xf numFmtId="0" fontId="270" fillId="20" borderId="0" applyProtection="0">
      <alignment vertical="center"/>
    </xf>
    <xf numFmtId="0" fontId="270" fillId="20" borderId="0" applyProtection="0">
      <alignment vertical="center"/>
    </xf>
    <xf numFmtId="0" fontId="270" fillId="20" borderId="0" applyProtection="0">
      <alignment vertical="center"/>
    </xf>
    <xf numFmtId="0" fontId="37" fillId="0" borderId="0">
      <alignment vertical="center"/>
    </xf>
    <xf numFmtId="0" fontId="270" fillId="20" borderId="0" applyProtection="0">
      <alignment vertical="center"/>
    </xf>
    <xf numFmtId="0" fontId="270" fillId="20" borderId="0" applyProtection="0">
      <alignment vertical="center"/>
    </xf>
    <xf numFmtId="0" fontId="270" fillId="20" borderId="0" applyProtection="0">
      <alignment vertical="center"/>
    </xf>
    <xf numFmtId="0" fontId="270" fillId="20" borderId="0" applyProtection="0">
      <alignment vertical="center"/>
    </xf>
    <xf numFmtId="0" fontId="37" fillId="0" borderId="0">
      <alignment vertical="center"/>
    </xf>
    <xf numFmtId="0" fontId="270" fillId="20" borderId="0" applyProtection="0">
      <alignment vertical="center"/>
    </xf>
    <xf numFmtId="0" fontId="270" fillId="20" borderId="0" applyProtection="0">
      <alignment vertical="center"/>
    </xf>
    <xf numFmtId="0" fontId="270" fillId="20" borderId="0" applyProtection="0">
      <alignment vertical="center"/>
    </xf>
    <xf numFmtId="0" fontId="37" fillId="0" borderId="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37" fillId="0" borderId="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37" fillId="0" borderId="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37" fillId="0" borderId="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37" fillId="0" borderId="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37" fillId="0" borderId="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37" fillId="0" borderId="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37" fillId="0" borderId="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37" fillId="0" borderId="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37" fillId="0" borderId="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37" fillId="0" borderId="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37" fillId="0" borderId="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37" fillId="0" borderId="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0" fontId="155" fillId="0" borderId="160" applyProtection="0">
      <alignment vertical="center"/>
    </xf>
    <xf numFmtId="199" fontId="37" fillId="0" borderId="0" applyFont="0" applyFill="0" applyBorder="0" applyAlignment="0"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37" fillId="0" borderId="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37" fillId="0" borderId="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37" fillId="0" borderId="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37" fillId="0" borderId="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37" fillId="0" borderId="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37" fillId="0" borderId="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37" fillId="0" borderId="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37" fillId="0" borderId="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37" fillId="0" borderId="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37" fillId="0" borderId="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37" fillId="0" borderId="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37" fillId="0" borderId="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1" fillId="32" borderId="161" applyProtection="0">
      <alignment vertical="center"/>
    </xf>
    <xf numFmtId="0" fontId="272" fillId="33" borderId="156" applyNumberFormat="0" applyAlignment="0" applyProtection="0">
      <alignment vertical="center"/>
    </xf>
    <xf numFmtId="0" fontId="272" fillId="33" borderId="156" applyNumberFormat="0" applyAlignment="0" applyProtection="0">
      <alignment vertical="center"/>
    </xf>
    <xf numFmtId="0" fontId="273" fillId="34" borderId="162" applyProtection="0">
      <alignment vertical="center"/>
    </xf>
    <xf numFmtId="0" fontId="273" fillId="34" borderId="162" applyProtection="0">
      <alignment vertical="center"/>
    </xf>
    <xf numFmtId="0" fontId="273" fillId="34" borderId="162" applyProtection="0">
      <alignment vertical="center"/>
    </xf>
    <xf numFmtId="0" fontId="273" fillId="34" borderId="162" applyProtection="0">
      <alignment vertical="center"/>
    </xf>
    <xf numFmtId="0" fontId="37" fillId="0" borderId="0">
      <alignment vertical="center"/>
    </xf>
    <xf numFmtId="0" fontId="273" fillId="34" borderId="162" applyProtection="0">
      <alignment vertical="center"/>
    </xf>
    <xf numFmtId="0" fontId="273" fillId="34" borderId="162" applyProtection="0">
      <alignment vertical="center"/>
    </xf>
    <xf numFmtId="0" fontId="273" fillId="34" borderId="162" applyProtection="0">
      <alignment vertical="center"/>
    </xf>
    <xf numFmtId="0" fontId="37" fillId="0" borderId="0">
      <alignment vertical="center"/>
    </xf>
    <xf numFmtId="0" fontId="273" fillId="34" borderId="162" applyProtection="0">
      <alignment vertical="center"/>
    </xf>
    <xf numFmtId="0" fontId="273" fillId="34" borderId="162" applyProtection="0">
      <alignment vertical="center"/>
    </xf>
    <xf numFmtId="0" fontId="273" fillId="34" borderId="162" applyProtection="0">
      <alignment vertical="center"/>
    </xf>
    <xf numFmtId="0" fontId="273" fillId="34" borderId="162" applyProtection="0">
      <alignment vertical="center"/>
    </xf>
    <xf numFmtId="0" fontId="37" fillId="0" borderId="0">
      <alignment vertical="center"/>
    </xf>
    <xf numFmtId="0" fontId="273" fillId="34" borderId="162" applyProtection="0">
      <alignment vertical="center"/>
    </xf>
    <xf numFmtId="0" fontId="273" fillId="34" borderId="162" applyProtection="0">
      <alignment vertical="center"/>
    </xf>
    <xf numFmtId="0" fontId="273" fillId="34" borderId="162" applyProtection="0">
      <alignment vertical="center"/>
    </xf>
    <xf numFmtId="0" fontId="37" fillId="0" borderId="0">
      <alignment vertical="center"/>
    </xf>
    <xf numFmtId="0" fontId="273" fillId="34" borderId="162" applyProtection="0">
      <alignment vertical="center"/>
    </xf>
    <xf numFmtId="0" fontId="273" fillId="34" borderId="162" applyProtection="0">
      <alignment vertical="center"/>
    </xf>
    <xf numFmtId="0" fontId="273" fillId="34" borderId="162" applyProtection="0">
      <alignment vertical="center"/>
    </xf>
    <xf numFmtId="0" fontId="273" fillId="34" borderId="162" applyProtection="0">
      <alignment vertical="center"/>
    </xf>
    <xf numFmtId="0" fontId="37" fillId="0" borderId="0">
      <alignment vertical="center"/>
    </xf>
    <xf numFmtId="0" fontId="273" fillId="34" borderId="162" applyProtection="0">
      <alignment vertical="center"/>
    </xf>
    <xf numFmtId="0" fontId="273" fillId="34" borderId="162" applyProtection="0">
      <alignment vertical="center"/>
    </xf>
    <xf numFmtId="0" fontId="273" fillId="34" borderId="162" applyProtection="0">
      <alignment vertical="center"/>
    </xf>
    <xf numFmtId="0" fontId="37" fillId="0" borderId="0">
      <alignment vertical="center"/>
    </xf>
    <xf numFmtId="0" fontId="273" fillId="34" borderId="162" applyProtection="0">
      <alignment vertical="center"/>
    </xf>
    <xf numFmtId="0" fontId="273" fillId="34" borderId="162" applyProtection="0">
      <alignment vertical="center"/>
    </xf>
    <xf numFmtId="0" fontId="273" fillId="34" borderId="162" applyProtection="0">
      <alignment vertical="center"/>
    </xf>
    <xf numFmtId="0" fontId="273" fillId="34" borderId="162" applyProtection="0">
      <alignment vertical="center"/>
    </xf>
    <xf numFmtId="0" fontId="37" fillId="0" borderId="0">
      <alignment vertical="center"/>
    </xf>
    <xf numFmtId="0" fontId="273" fillId="34" borderId="162" applyProtection="0">
      <alignment vertical="center"/>
    </xf>
    <xf numFmtId="0" fontId="273" fillId="34" borderId="162" applyProtection="0">
      <alignment vertical="center"/>
    </xf>
    <xf numFmtId="0" fontId="273" fillId="34" borderId="162" applyProtection="0">
      <alignment vertical="center"/>
    </xf>
    <xf numFmtId="0" fontId="37" fillId="0" borderId="0">
      <alignment vertical="center"/>
    </xf>
    <xf numFmtId="0" fontId="273" fillId="34" borderId="162" applyProtection="0">
      <alignment vertical="center"/>
    </xf>
    <xf numFmtId="0" fontId="273" fillId="34" borderId="162" applyProtection="0">
      <alignment vertical="center"/>
    </xf>
    <xf numFmtId="0" fontId="273" fillId="34" borderId="162" applyProtection="0">
      <alignment vertical="center"/>
    </xf>
    <xf numFmtId="0" fontId="273" fillId="34" borderId="162" applyProtection="0">
      <alignment vertical="center"/>
    </xf>
    <xf numFmtId="0" fontId="37" fillId="0" borderId="0">
      <alignment vertical="center"/>
    </xf>
    <xf numFmtId="0" fontId="273" fillId="34" borderId="162" applyProtection="0">
      <alignment vertical="center"/>
    </xf>
    <xf numFmtId="0" fontId="273" fillId="34" borderId="162" applyProtection="0">
      <alignment vertical="center"/>
    </xf>
    <xf numFmtId="0" fontId="273" fillId="34" borderId="162" applyProtection="0">
      <alignment vertical="center"/>
    </xf>
    <xf numFmtId="0" fontId="37" fillId="0" borderId="0">
      <alignment vertical="center"/>
    </xf>
    <xf numFmtId="0" fontId="273" fillId="34" borderId="162" applyProtection="0">
      <alignment vertical="center"/>
    </xf>
    <xf numFmtId="0" fontId="273" fillId="34" borderId="162" applyProtection="0">
      <alignment vertical="center"/>
    </xf>
    <xf numFmtId="0" fontId="273" fillId="34" borderId="162" applyProtection="0">
      <alignment vertical="center"/>
    </xf>
    <xf numFmtId="0" fontId="273" fillId="34" borderId="162" applyProtection="0">
      <alignment vertical="center"/>
    </xf>
    <xf numFmtId="0" fontId="37" fillId="0" borderId="0">
      <alignment vertical="center"/>
    </xf>
    <xf numFmtId="0" fontId="273" fillId="34" borderId="162" applyProtection="0">
      <alignment vertical="center"/>
    </xf>
    <xf numFmtId="0" fontId="273" fillId="34" borderId="162" applyProtection="0">
      <alignment vertical="center"/>
    </xf>
    <xf numFmtId="0" fontId="273" fillId="34" borderId="162" applyProtection="0">
      <alignment vertical="center"/>
    </xf>
    <xf numFmtId="0" fontId="37" fillId="0" borderId="0">
      <alignment vertical="center"/>
    </xf>
    <xf numFmtId="0" fontId="274" fillId="0" borderId="0" applyProtection="0">
      <alignment vertical="center"/>
    </xf>
    <xf numFmtId="0" fontId="274" fillId="0" borderId="0" applyProtection="0">
      <alignment vertical="center"/>
    </xf>
    <xf numFmtId="0" fontId="274" fillId="0" borderId="0" applyProtection="0">
      <alignment vertical="center"/>
    </xf>
    <xf numFmtId="0" fontId="274" fillId="0" borderId="0" applyProtection="0">
      <alignment vertical="center"/>
    </xf>
    <xf numFmtId="0" fontId="37" fillId="0" borderId="0">
      <alignment vertical="center"/>
    </xf>
    <xf numFmtId="0" fontId="274" fillId="0" borderId="0" applyProtection="0">
      <alignment vertical="center"/>
    </xf>
    <xf numFmtId="0" fontId="274" fillId="0" borderId="0" applyProtection="0">
      <alignment vertical="center"/>
    </xf>
    <xf numFmtId="0" fontId="274" fillId="0" borderId="0" applyProtection="0">
      <alignment vertical="center"/>
    </xf>
    <xf numFmtId="0" fontId="37" fillId="0" borderId="0">
      <alignment vertical="center"/>
    </xf>
    <xf numFmtId="0" fontId="274" fillId="0" borderId="0" applyProtection="0">
      <alignment vertical="center"/>
    </xf>
    <xf numFmtId="0" fontId="274" fillId="0" borderId="0" applyProtection="0">
      <alignment vertical="center"/>
    </xf>
    <xf numFmtId="0" fontId="274" fillId="0" borderId="0" applyProtection="0">
      <alignment vertical="center"/>
    </xf>
    <xf numFmtId="0" fontId="274" fillId="0" borderId="0" applyProtection="0">
      <alignment vertical="center"/>
    </xf>
    <xf numFmtId="0" fontId="37" fillId="0" borderId="0">
      <alignment vertical="center"/>
    </xf>
    <xf numFmtId="0" fontId="274" fillId="0" borderId="0" applyProtection="0">
      <alignment vertical="center"/>
    </xf>
    <xf numFmtId="0" fontId="274" fillId="0" borderId="0" applyProtection="0">
      <alignment vertical="center"/>
    </xf>
    <xf numFmtId="0" fontId="274" fillId="0" borderId="0" applyProtection="0">
      <alignment vertical="center"/>
    </xf>
    <xf numFmtId="0" fontId="37" fillId="0" borderId="0">
      <alignment vertical="center"/>
    </xf>
    <xf numFmtId="0" fontId="274" fillId="0" borderId="0" applyProtection="0">
      <alignment vertical="center"/>
    </xf>
    <xf numFmtId="0" fontId="274" fillId="0" borderId="0" applyProtection="0">
      <alignment vertical="center"/>
    </xf>
    <xf numFmtId="0" fontId="274" fillId="0" borderId="0" applyProtection="0">
      <alignment vertical="center"/>
    </xf>
    <xf numFmtId="0" fontId="274" fillId="0" borderId="0" applyProtection="0">
      <alignment vertical="center"/>
    </xf>
    <xf numFmtId="0" fontId="37" fillId="0" borderId="0">
      <alignment vertical="center"/>
    </xf>
    <xf numFmtId="0" fontId="274" fillId="0" borderId="0" applyProtection="0">
      <alignment vertical="center"/>
    </xf>
    <xf numFmtId="0" fontId="274" fillId="0" borderId="0" applyProtection="0">
      <alignment vertical="center"/>
    </xf>
    <xf numFmtId="0" fontId="274" fillId="0" borderId="0" applyProtection="0">
      <alignment vertical="center"/>
    </xf>
    <xf numFmtId="0" fontId="37" fillId="0" borderId="0">
      <alignment vertical="center"/>
    </xf>
    <xf numFmtId="0" fontId="274" fillId="0" borderId="0" applyProtection="0">
      <alignment vertical="center"/>
    </xf>
    <xf numFmtId="0" fontId="274" fillId="0" borderId="0" applyProtection="0">
      <alignment vertical="center"/>
    </xf>
    <xf numFmtId="0" fontId="274" fillId="0" borderId="0" applyProtection="0">
      <alignment vertical="center"/>
    </xf>
    <xf numFmtId="0" fontId="274" fillId="0" borderId="0" applyProtection="0">
      <alignment vertical="center"/>
    </xf>
    <xf numFmtId="0" fontId="37" fillId="0" borderId="0">
      <alignment vertical="center"/>
    </xf>
    <xf numFmtId="0" fontId="274" fillId="0" borderId="0" applyProtection="0">
      <alignment vertical="center"/>
    </xf>
    <xf numFmtId="0" fontId="274" fillId="0" borderId="0" applyProtection="0">
      <alignment vertical="center"/>
    </xf>
    <xf numFmtId="0" fontId="274" fillId="0" borderId="0" applyProtection="0">
      <alignment vertical="center"/>
    </xf>
    <xf numFmtId="0" fontId="37" fillId="0" borderId="0">
      <alignment vertical="center"/>
    </xf>
    <xf numFmtId="0" fontId="274" fillId="0" borderId="0" applyProtection="0">
      <alignment vertical="center"/>
    </xf>
    <xf numFmtId="0" fontId="274" fillId="0" borderId="0" applyProtection="0">
      <alignment vertical="center"/>
    </xf>
    <xf numFmtId="0" fontId="274" fillId="0" borderId="0" applyProtection="0">
      <alignment vertical="center"/>
    </xf>
    <xf numFmtId="0" fontId="274" fillId="0" borderId="0" applyProtection="0">
      <alignment vertical="center"/>
    </xf>
    <xf numFmtId="0" fontId="37" fillId="0" borderId="0">
      <alignment vertical="center"/>
    </xf>
    <xf numFmtId="0" fontId="274" fillId="0" borderId="0" applyProtection="0">
      <alignment vertical="center"/>
    </xf>
    <xf numFmtId="0" fontId="274" fillId="0" borderId="0" applyProtection="0">
      <alignment vertical="center"/>
    </xf>
    <xf numFmtId="0" fontId="274" fillId="0" borderId="0" applyProtection="0">
      <alignment vertical="center"/>
    </xf>
    <xf numFmtId="0" fontId="37" fillId="0" borderId="0">
      <alignment vertical="center"/>
    </xf>
    <xf numFmtId="0" fontId="274" fillId="0" borderId="0" applyProtection="0">
      <alignment vertical="center"/>
    </xf>
    <xf numFmtId="0" fontId="274" fillId="0" borderId="0" applyProtection="0">
      <alignment vertical="center"/>
    </xf>
    <xf numFmtId="0" fontId="274" fillId="0" borderId="0" applyProtection="0">
      <alignment vertical="center"/>
    </xf>
    <xf numFmtId="0" fontId="274" fillId="0" borderId="0" applyProtection="0">
      <alignment vertical="center"/>
    </xf>
    <xf numFmtId="0" fontId="37" fillId="0" borderId="0">
      <alignment vertical="center"/>
    </xf>
    <xf numFmtId="0" fontId="274" fillId="0" borderId="0" applyProtection="0">
      <alignment vertical="center"/>
    </xf>
    <xf numFmtId="0" fontId="274" fillId="0" borderId="0" applyProtection="0">
      <alignment vertical="center"/>
    </xf>
    <xf numFmtId="0" fontId="274" fillId="0" borderId="0" applyProtection="0">
      <alignment vertical="center"/>
    </xf>
    <xf numFmtId="0" fontId="37" fillId="0" borderId="0">
      <alignment vertical="center"/>
    </xf>
    <xf numFmtId="0" fontId="243" fillId="0" borderId="0" applyProtection="0">
      <alignment vertical="center"/>
    </xf>
    <xf numFmtId="0" fontId="243" fillId="0" borderId="0" applyProtection="0">
      <alignment vertical="center"/>
    </xf>
    <xf numFmtId="0" fontId="243" fillId="0" borderId="0" applyProtection="0">
      <alignment vertical="center"/>
    </xf>
    <xf numFmtId="0" fontId="243" fillId="0" borderId="0" applyProtection="0">
      <alignment vertical="center"/>
    </xf>
    <xf numFmtId="0" fontId="37" fillId="0" borderId="0">
      <alignment vertical="center"/>
    </xf>
    <xf numFmtId="0" fontId="243" fillId="0" borderId="0" applyProtection="0">
      <alignment vertical="center"/>
    </xf>
    <xf numFmtId="0" fontId="243" fillId="0" borderId="0" applyProtection="0">
      <alignment vertical="center"/>
    </xf>
    <xf numFmtId="0" fontId="243" fillId="0" borderId="0" applyProtection="0">
      <alignment vertical="center"/>
    </xf>
    <xf numFmtId="0" fontId="37" fillId="0" borderId="0">
      <alignment vertical="center"/>
    </xf>
    <xf numFmtId="0" fontId="243" fillId="0" borderId="0" applyProtection="0">
      <alignment vertical="center"/>
    </xf>
    <xf numFmtId="0" fontId="243" fillId="0" borderId="0" applyProtection="0">
      <alignment vertical="center"/>
    </xf>
    <xf numFmtId="0" fontId="243" fillId="0" borderId="0" applyProtection="0">
      <alignment vertical="center"/>
    </xf>
    <xf numFmtId="0" fontId="243" fillId="0" borderId="0" applyProtection="0">
      <alignment vertical="center"/>
    </xf>
    <xf numFmtId="0" fontId="37" fillId="0" borderId="0">
      <alignment vertical="center"/>
    </xf>
    <xf numFmtId="0" fontId="243" fillId="0" borderId="0" applyProtection="0">
      <alignment vertical="center"/>
    </xf>
    <xf numFmtId="0" fontId="243" fillId="0" borderId="0" applyProtection="0">
      <alignment vertical="center"/>
    </xf>
    <xf numFmtId="0" fontId="243" fillId="0" borderId="0" applyProtection="0">
      <alignment vertical="center"/>
    </xf>
    <xf numFmtId="0" fontId="37" fillId="0" borderId="0">
      <alignment vertical="center"/>
    </xf>
    <xf numFmtId="0" fontId="243" fillId="0" borderId="0" applyProtection="0">
      <alignment vertical="center"/>
    </xf>
    <xf numFmtId="0" fontId="243" fillId="0" borderId="0" applyProtection="0">
      <alignment vertical="center"/>
    </xf>
    <xf numFmtId="0" fontId="243" fillId="0" borderId="0" applyProtection="0">
      <alignment vertical="center"/>
    </xf>
    <xf numFmtId="0" fontId="243" fillId="0" borderId="0" applyProtection="0">
      <alignment vertical="center"/>
    </xf>
    <xf numFmtId="0" fontId="37" fillId="0" borderId="0">
      <alignment vertical="center"/>
    </xf>
    <xf numFmtId="0" fontId="243" fillId="0" borderId="0" applyProtection="0">
      <alignment vertical="center"/>
    </xf>
    <xf numFmtId="0" fontId="243" fillId="0" borderId="0" applyProtection="0">
      <alignment vertical="center"/>
    </xf>
    <xf numFmtId="0" fontId="243" fillId="0" borderId="0" applyProtection="0">
      <alignment vertical="center"/>
    </xf>
    <xf numFmtId="0" fontId="37" fillId="0" borderId="0">
      <alignment vertical="center"/>
    </xf>
    <xf numFmtId="0" fontId="243" fillId="0" borderId="0" applyProtection="0">
      <alignment vertical="center"/>
    </xf>
    <xf numFmtId="0" fontId="243" fillId="0" borderId="0" applyProtection="0">
      <alignment vertical="center"/>
    </xf>
    <xf numFmtId="0" fontId="243" fillId="0" borderId="0" applyProtection="0">
      <alignment vertical="center"/>
    </xf>
    <xf numFmtId="0" fontId="243" fillId="0" borderId="0" applyProtection="0">
      <alignment vertical="center"/>
    </xf>
    <xf numFmtId="0" fontId="37" fillId="0" borderId="0">
      <alignment vertical="center"/>
    </xf>
    <xf numFmtId="0" fontId="243" fillId="0" borderId="0" applyProtection="0">
      <alignment vertical="center"/>
    </xf>
    <xf numFmtId="0" fontId="243" fillId="0" borderId="0" applyProtection="0">
      <alignment vertical="center"/>
    </xf>
    <xf numFmtId="0" fontId="243" fillId="0" borderId="0" applyProtection="0">
      <alignment vertical="center"/>
    </xf>
    <xf numFmtId="0" fontId="37" fillId="0" borderId="0">
      <alignment vertical="center"/>
    </xf>
    <xf numFmtId="0" fontId="243" fillId="0" borderId="0" applyProtection="0">
      <alignment vertical="center"/>
    </xf>
    <xf numFmtId="0" fontId="243" fillId="0" borderId="0" applyProtection="0">
      <alignment vertical="center"/>
    </xf>
    <xf numFmtId="0" fontId="243" fillId="0" borderId="0" applyProtection="0">
      <alignment vertical="center"/>
    </xf>
    <xf numFmtId="0" fontId="243" fillId="0" borderId="0" applyProtection="0">
      <alignment vertical="center"/>
    </xf>
    <xf numFmtId="0" fontId="37" fillId="0" borderId="0">
      <alignment vertical="center"/>
    </xf>
    <xf numFmtId="0" fontId="243" fillId="0" borderId="0" applyProtection="0">
      <alignment vertical="center"/>
    </xf>
    <xf numFmtId="0" fontId="243" fillId="0" borderId="0" applyProtection="0">
      <alignment vertical="center"/>
    </xf>
    <xf numFmtId="0" fontId="243" fillId="0" borderId="0" applyProtection="0">
      <alignment vertical="center"/>
    </xf>
    <xf numFmtId="0" fontId="37" fillId="0" borderId="0">
      <alignment vertical="center"/>
    </xf>
    <xf numFmtId="0" fontId="243" fillId="0" borderId="0" applyProtection="0">
      <alignment vertical="center"/>
    </xf>
    <xf numFmtId="0" fontId="243" fillId="0" borderId="0" applyProtection="0">
      <alignment vertical="center"/>
    </xf>
    <xf numFmtId="0" fontId="243" fillId="0" borderId="0" applyProtection="0">
      <alignment vertical="center"/>
    </xf>
    <xf numFmtId="0" fontId="243" fillId="0" borderId="0" applyProtection="0">
      <alignment vertical="center"/>
    </xf>
    <xf numFmtId="0" fontId="37" fillId="0" borderId="0">
      <alignment vertical="center"/>
    </xf>
    <xf numFmtId="0" fontId="243" fillId="0" borderId="0" applyProtection="0">
      <alignment vertical="center"/>
    </xf>
    <xf numFmtId="0" fontId="243" fillId="0" borderId="0" applyProtection="0">
      <alignment vertical="center"/>
    </xf>
    <xf numFmtId="0" fontId="243" fillId="0" borderId="0" applyProtection="0">
      <alignment vertical="center"/>
    </xf>
    <xf numFmtId="0" fontId="37" fillId="0" borderId="0">
      <alignment vertical="center"/>
    </xf>
    <xf numFmtId="0" fontId="275" fillId="0" borderId="163" applyProtection="0">
      <alignment vertical="center"/>
    </xf>
    <xf numFmtId="0" fontId="275" fillId="0" borderId="163" applyProtection="0">
      <alignment vertical="center"/>
    </xf>
    <xf numFmtId="0" fontId="275" fillId="0" borderId="163" applyProtection="0">
      <alignment vertical="center"/>
    </xf>
    <xf numFmtId="0" fontId="275" fillId="0" borderId="163" applyProtection="0">
      <alignment vertical="center"/>
    </xf>
    <xf numFmtId="0" fontId="37" fillId="0" borderId="0">
      <alignment vertical="center"/>
    </xf>
    <xf numFmtId="0" fontId="275" fillId="0" borderId="163" applyProtection="0">
      <alignment vertical="center"/>
    </xf>
    <xf numFmtId="0" fontId="275" fillId="0" borderId="163" applyProtection="0">
      <alignment vertical="center"/>
    </xf>
    <xf numFmtId="0" fontId="275" fillId="0" borderId="163" applyProtection="0">
      <alignment vertical="center"/>
    </xf>
    <xf numFmtId="0" fontId="37" fillId="0" borderId="0">
      <alignment vertical="center"/>
    </xf>
    <xf numFmtId="0" fontId="275" fillId="0" borderId="163" applyProtection="0">
      <alignment vertical="center"/>
    </xf>
    <xf numFmtId="0" fontId="275" fillId="0" borderId="163" applyProtection="0">
      <alignment vertical="center"/>
    </xf>
    <xf numFmtId="0" fontId="275" fillId="0" borderId="163" applyProtection="0">
      <alignment vertical="center"/>
    </xf>
    <xf numFmtId="0" fontId="275" fillId="0" borderId="163" applyProtection="0">
      <alignment vertical="center"/>
    </xf>
    <xf numFmtId="0" fontId="37" fillId="0" borderId="0">
      <alignment vertical="center"/>
    </xf>
    <xf numFmtId="0" fontId="275" fillId="0" borderId="163" applyProtection="0">
      <alignment vertical="center"/>
    </xf>
    <xf numFmtId="0" fontId="275" fillId="0" borderId="163" applyProtection="0">
      <alignment vertical="center"/>
    </xf>
    <xf numFmtId="0" fontId="275" fillId="0" borderId="163" applyProtection="0">
      <alignment vertical="center"/>
    </xf>
    <xf numFmtId="0" fontId="37" fillId="0" borderId="0">
      <alignment vertical="center"/>
    </xf>
    <xf numFmtId="0" fontId="275" fillId="0" borderId="163" applyProtection="0">
      <alignment vertical="center"/>
    </xf>
    <xf numFmtId="0" fontId="275" fillId="0" borderId="163" applyProtection="0">
      <alignment vertical="center"/>
    </xf>
    <xf numFmtId="0" fontId="275" fillId="0" borderId="163" applyProtection="0">
      <alignment vertical="center"/>
    </xf>
    <xf numFmtId="0" fontId="275" fillId="0" borderId="163" applyProtection="0">
      <alignment vertical="center"/>
    </xf>
    <xf numFmtId="0" fontId="37" fillId="0" borderId="0">
      <alignment vertical="center"/>
    </xf>
    <xf numFmtId="0" fontId="275" fillId="0" borderId="163" applyProtection="0">
      <alignment vertical="center"/>
    </xf>
    <xf numFmtId="0" fontId="275" fillId="0" borderId="163" applyProtection="0">
      <alignment vertical="center"/>
    </xf>
    <xf numFmtId="0" fontId="275" fillId="0" borderId="163" applyProtection="0">
      <alignment vertical="center"/>
    </xf>
    <xf numFmtId="0" fontId="37" fillId="0" borderId="0">
      <alignment vertical="center"/>
    </xf>
    <xf numFmtId="0" fontId="275" fillId="0" borderId="163" applyProtection="0">
      <alignment vertical="center"/>
    </xf>
    <xf numFmtId="0" fontId="275" fillId="0" borderId="163" applyProtection="0">
      <alignment vertical="center"/>
    </xf>
    <xf numFmtId="0" fontId="275" fillId="0" borderId="163" applyProtection="0">
      <alignment vertical="center"/>
    </xf>
    <xf numFmtId="0" fontId="275" fillId="0" borderId="163" applyProtection="0">
      <alignment vertical="center"/>
    </xf>
    <xf numFmtId="0" fontId="37" fillId="0" borderId="0">
      <alignment vertical="center"/>
    </xf>
    <xf numFmtId="0" fontId="275" fillId="0" borderId="163" applyProtection="0">
      <alignment vertical="center"/>
    </xf>
    <xf numFmtId="0" fontId="275" fillId="0" borderId="163" applyProtection="0">
      <alignment vertical="center"/>
    </xf>
    <xf numFmtId="0" fontId="275" fillId="0" borderId="163" applyProtection="0">
      <alignment vertical="center"/>
    </xf>
    <xf numFmtId="0" fontId="37" fillId="0" borderId="0">
      <alignment vertical="center"/>
    </xf>
    <xf numFmtId="0" fontId="275" fillId="0" borderId="163" applyProtection="0">
      <alignment vertical="center"/>
    </xf>
    <xf numFmtId="0" fontId="275" fillId="0" borderId="163" applyProtection="0">
      <alignment vertical="center"/>
    </xf>
    <xf numFmtId="0" fontId="275" fillId="0" borderId="163" applyProtection="0">
      <alignment vertical="center"/>
    </xf>
    <xf numFmtId="0" fontId="275" fillId="0" borderId="163" applyProtection="0">
      <alignment vertical="center"/>
    </xf>
    <xf numFmtId="0" fontId="37" fillId="0" borderId="0">
      <alignment vertical="center"/>
    </xf>
    <xf numFmtId="0" fontId="275" fillId="0" borderId="163" applyProtection="0">
      <alignment vertical="center"/>
    </xf>
    <xf numFmtId="0" fontId="275" fillId="0" borderId="163" applyProtection="0">
      <alignment vertical="center"/>
    </xf>
    <xf numFmtId="0" fontId="275" fillId="0" borderId="163" applyProtection="0">
      <alignment vertical="center"/>
    </xf>
    <xf numFmtId="0" fontId="37" fillId="0" borderId="0">
      <alignment vertical="center"/>
    </xf>
    <xf numFmtId="0" fontId="275" fillId="0" borderId="163" applyProtection="0">
      <alignment vertical="center"/>
    </xf>
    <xf numFmtId="0" fontId="275" fillId="0" borderId="163" applyProtection="0">
      <alignment vertical="center"/>
    </xf>
    <xf numFmtId="0" fontId="275" fillId="0" borderId="163" applyProtection="0">
      <alignment vertical="center"/>
    </xf>
    <xf numFmtId="0" fontId="275" fillId="0" borderId="163" applyProtection="0">
      <alignment vertical="center"/>
    </xf>
    <xf numFmtId="0" fontId="37" fillId="0" borderId="0">
      <alignment vertical="center"/>
    </xf>
    <xf numFmtId="0" fontId="275" fillId="0" borderId="163" applyProtection="0">
      <alignment vertical="center"/>
    </xf>
    <xf numFmtId="0" fontId="275" fillId="0" borderId="163" applyProtection="0">
      <alignment vertical="center"/>
    </xf>
    <xf numFmtId="0" fontId="275" fillId="0" borderId="163" applyProtection="0">
      <alignment vertical="center"/>
    </xf>
    <xf numFmtId="0" fontId="37" fillId="0" borderId="0">
      <alignment vertical="center"/>
    </xf>
    <xf numFmtId="0" fontId="264" fillId="35" borderId="0" applyProtection="0">
      <alignment vertical="center"/>
    </xf>
    <xf numFmtId="0" fontId="264" fillId="35" borderId="0" applyProtection="0">
      <alignment vertical="center"/>
    </xf>
    <xf numFmtId="0" fontId="264" fillId="35" borderId="0" applyProtection="0">
      <alignment vertical="center"/>
    </xf>
    <xf numFmtId="0" fontId="264" fillId="35" borderId="0" applyProtection="0">
      <alignment vertical="center"/>
    </xf>
    <xf numFmtId="0" fontId="37" fillId="0" borderId="0">
      <alignment vertical="center"/>
    </xf>
    <xf numFmtId="0" fontId="264" fillId="35" borderId="0" applyProtection="0">
      <alignment vertical="center"/>
    </xf>
    <xf numFmtId="0" fontId="264" fillId="35" borderId="0" applyProtection="0">
      <alignment vertical="center"/>
    </xf>
    <xf numFmtId="0" fontId="264" fillId="35" borderId="0" applyProtection="0">
      <alignment vertical="center"/>
    </xf>
    <xf numFmtId="0" fontId="37" fillId="0" borderId="0">
      <alignment vertical="center"/>
    </xf>
    <xf numFmtId="0" fontId="264" fillId="35" borderId="0" applyProtection="0">
      <alignment vertical="center"/>
    </xf>
    <xf numFmtId="0" fontId="264" fillId="35" borderId="0" applyProtection="0">
      <alignment vertical="center"/>
    </xf>
    <xf numFmtId="0" fontId="264" fillId="35" borderId="0" applyProtection="0">
      <alignment vertical="center"/>
    </xf>
    <xf numFmtId="0" fontId="264" fillId="35" borderId="0" applyProtection="0">
      <alignment vertical="center"/>
    </xf>
    <xf numFmtId="0" fontId="37" fillId="0" borderId="0">
      <alignment vertical="center"/>
    </xf>
    <xf numFmtId="0" fontId="264" fillId="35" borderId="0" applyProtection="0">
      <alignment vertical="center"/>
    </xf>
    <xf numFmtId="0" fontId="264" fillId="35" borderId="0" applyProtection="0">
      <alignment vertical="center"/>
    </xf>
    <xf numFmtId="0" fontId="264" fillId="35" borderId="0" applyProtection="0">
      <alignment vertical="center"/>
    </xf>
    <xf numFmtId="0" fontId="37" fillId="0" borderId="0">
      <alignment vertical="center"/>
    </xf>
    <xf numFmtId="0" fontId="264" fillId="35" borderId="0" applyProtection="0">
      <alignment vertical="center"/>
    </xf>
    <xf numFmtId="0" fontId="264" fillId="35" borderId="0" applyProtection="0">
      <alignment vertical="center"/>
    </xf>
    <xf numFmtId="0" fontId="264" fillId="35" borderId="0" applyProtection="0">
      <alignment vertical="center"/>
    </xf>
    <xf numFmtId="0" fontId="264" fillId="35" borderId="0" applyProtection="0">
      <alignment vertical="center"/>
    </xf>
    <xf numFmtId="0" fontId="37" fillId="0" borderId="0">
      <alignment vertical="center"/>
    </xf>
    <xf numFmtId="0" fontId="264" fillId="35" borderId="0" applyProtection="0">
      <alignment vertical="center"/>
    </xf>
    <xf numFmtId="0" fontId="264" fillId="35" borderId="0" applyProtection="0">
      <alignment vertical="center"/>
    </xf>
    <xf numFmtId="0" fontId="264" fillId="35" borderId="0" applyProtection="0">
      <alignment vertical="center"/>
    </xf>
    <xf numFmtId="0" fontId="37" fillId="0" borderId="0">
      <alignment vertical="center"/>
    </xf>
    <xf numFmtId="0" fontId="264" fillId="35" borderId="0" applyProtection="0">
      <alignment vertical="center"/>
    </xf>
    <xf numFmtId="0" fontId="264" fillId="35" borderId="0" applyProtection="0">
      <alignment vertical="center"/>
    </xf>
    <xf numFmtId="0" fontId="264" fillId="35" borderId="0" applyProtection="0">
      <alignment vertical="center"/>
    </xf>
    <xf numFmtId="0" fontId="264" fillId="35" borderId="0" applyProtection="0">
      <alignment vertical="center"/>
    </xf>
    <xf numFmtId="0" fontId="37" fillId="0" borderId="0">
      <alignment vertical="center"/>
    </xf>
    <xf numFmtId="0" fontId="264" fillId="35" borderId="0" applyProtection="0">
      <alignment vertical="center"/>
    </xf>
    <xf numFmtId="0" fontId="264" fillId="35" borderId="0" applyProtection="0">
      <alignment vertical="center"/>
    </xf>
    <xf numFmtId="0" fontId="264" fillId="35" borderId="0" applyProtection="0">
      <alignment vertical="center"/>
    </xf>
    <xf numFmtId="0" fontId="37" fillId="0" borderId="0">
      <alignment vertical="center"/>
    </xf>
    <xf numFmtId="0" fontId="264" fillId="35" borderId="0" applyProtection="0">
      <alignment vertical="center"/>
    </xf>
    <xf numFmtId="0" fontId="264" fillId="35" borderId="0" applyProtection="0">
      <alignment vertical="center"/>
    </xf>
    <xf numFmtId="0" fontId="264" fillId="35" borderId="0" applyProtection="0">
      <alignment vertical="center"/>
    </xf>
    <xf numFmtId="0" fontId="264" fillId="35" borderId="0" applyProtection="0">
      <alignment vertical="center"/>
    </xf>
    <xf numFmtId="0" fontId="37" fillId="0" borderId="0">
      <alignment vertical="center"/>
    </xf>
    <xf numFmtId="0" fontId="264" fillId="35" borderId="0" applyProtection="0">
      <alignment vertical="center"/>
    </xf>
    <xf numFmtId="0" fontId="264" fillId="35" borderId="0" applyProtection="0">
      <alignment vertical="center"/>
    </xf>
    <xf numFmtId="0" fontId="264" fillId="35" borderId="0" applyProtection="0">
      <alignment vertical="center"/>
    </xf>
    <xf numFmtId="0" fontId="37" fillId="0" borderId="0">
      <alignment vertical="center"/>
    </xf>
    <xf numFmtId="0" fontId="264" fillId="35" borderId="0" applyProtection="0">
      <alignment vertical="center"/>
    </xf>
    <xf numFmtId="0" fontId="264" fillId="35" borderId="0" applyProtection="0">
      <alignment vertical="center"/>
    </xf>
    <xf numFmtId="0" fontId="264" fillId="35" borderId="0" applyProtection="0">
      <alignment vertical="center"/>
    </xf>
    <xf numFmtId="0" fontId="264" fillId="35" borderId="0" applyProtection="0">
      <alignment vertical="center"/>
    </xf>
    <xf numFmtId="0" fontId="37" fillId="0" borderId="0">
      <alignment vertical="center"/>
    </xf>
    <xf numFmtId="0" fontId="264" fillId="35" borderId="0" applyProtection="0">
      <alignment vertical="center"/>
    </xf>
    <xf numFmtId="0" fontId="264" fillId="35" borderId="0" applyProtection="0">
      <alignment vertical="center"/>
    </xf>
    <xf numFmtId="0" fontId="264" fillId="35" borderId="0" applyProtection="0">
      <alignment vertical="center"/>
    </xf>
    <xf numFmtId="0" fontId="37" fillId="0" borderId="0">
      <alignment vertical="center"/>
    </xf>
    <xf numFmtId="0" fontId="264" fillId="4" borderId="0" applyProtection="0">
      <alignment vertical="center"/>
    </xf>
    <xf numFmtId="0" fontId="264" fillId="4" borderId="0" applyProtection="0">
      <alignment vertical="center"/>
    </xf>
    <xf numFmtId="0" fontId="264" fillId="4" borderId="0" applyProtection="0">
      <alignment vertical="center"/>
    </xf>
    <xf numFmtId="0" fontId="264" fillId="4" borderId="0" applyProtection="0">
      <alignment vertical="center"/>
    </xf>
    <xf numFmtId="0" fontId="37" fillId="0" borderId="0">
      <alignment vertical="center"/>
    </xf>
    <xf numFmtId="0" fontId="264" fillId="4" borderId="0" applyProtection="0">
      <alignment vertical="center"/>
    </xf>
    <xf numFmtId="0" fontId="264" fillId="4" borderId="0" applyProtection="0">
      <alignment vertical="center"/>
    </xf>
    <xf numFmtId="0" fontId="264" fillId="4" borderId="0" applyProtection="0">
      <alignment vertical="center"/>
    </xf>
    <xf numFmtId="0" fontId="37" fillId="0" borderId="0">
      <alignment vertical="center"/>
    </xf>
    <xf numFmtId="0" fontId="264" fillId="4" borderId="0" applyProtection="0">
      <alignment vertical="center"/>
    </xf>
    <xf numFmtId="0" fontId="264" fillId="4" borderId="0" applyProtection="0">
      <alignment vertical="center"/>
    </xf>
    <xf numFmtId="0" fontId="264" fillId="4" borderId="0" applyProtection="0">
      <alignment vertical="center"/>
    </xf>
    <xf numFmtId="0" fontId="264" fillId="4" borderId="0" applyProtection="0">
      <alignment vertical="center"/>
    </xf>
    <xf numFmtId="0" fontId="37" fillId="0" borderId="0">
      <alignment vertical="center"/>
    </xf>
    <xf numFmtId="0" fontId="264" fillId="4" borderId="0" applyProtection="0">
      <alignment vertical="center"/>
    </xf>
    <xf numFmtId="0" fontId="264" fillId="4" borderId="0" applyProtection="0">
      <alignment vertical="center"/>
    </xf>
    <xf numFmtId="0" fontId="264" fillId="4" borderId="0" applyProtection="0">
      <alignment vertical="center"/>
    </xf>
    <xf numFmtId="0" fontId="37" fillId="0" borderId="0">
      <alignment vertical="center"/>
    </xf>
    <xf numFmtId="0" fontId="264" fillId="4" borderId="0" applyProtection="0">
      <alignment vertical="center"/>
    </xf>
    <xf numFmtId="0" fontId="264" fillId="4" borderId="0" applyProtection="0">
      <alignment vertical="center"/>
    </xf>
    <xf numFmtId="0" fontId="264" fillId="4" borderId="0" applyProtection="0">
      <alignment vertical="center"/>
    </xf>
    <xf numFmtId="0" fontId="264" fillId="4" borderId="0" applyProtection="0">
      <alignment vertical="center"/>
    </xf>
    <xf numFmtId="0" fontId="37" fillId="0" borderId="0">
      <alignment vertical="center"/>
    </xf>
    <xf numFmtId="0" fontId="264" fillId="4" borderId="0" applyProtection="0">
      <alignment vertical="center"/>
    </xf>
    <xf numFmtId="0" fontId="264" fillId="4" borderId="0" applyProtection="0">
      <alignment vertical="center"/>
    </xf>
    <xf numFmtId="0" fontId="264" fillId="4" borderId="0" applyProtection="0">
      <alignment vertical="center"/>
    </xf>
    <xf numFmtId="0" fontId="37" fillId="0" borderId="0">
      <alignment vertical="center"/>
    </xf>
    <xf numFmtId="0" fontId="264" fillId="4" borderId="0" applyProtection="0">
      <alignment vertical="center"/>
    </xf>
    <xf numFmtId="0" fontId="264" fillId="4" borderId="0" applyProtection="0">
      <alignment vertical="center"/>
    </xf>
    <xf numFmtId="0" fontId="264" fillId="4" borderId="0" applyProtection="0">
      <alignment vertical="center"/>
    </xf>
    <xf numFmtId="0" fontId="264" fillId="4" borderId="0" applyProtection="0">
      <alignment vertical="center"/>
    </xf>
    <xf numFmtId="0" fontId="37" fillId="0" borderId="0">
      <alignment vertical="center"/>
    </xf>
    <xf numFmtId="0" fontId="264" fillId="4" borderId="0" applyProtection="0">
      <alignment vertical="center"/>
    </xf>
    <xf numFmtId="0" fontId="264" fillId="4" borderId="0" applyProtection="0">
      <alignment vertical="center"/>
    </xf>
    <xf numFmtId="0" fontId="264" fillId="4" borderId="0" applyProtection="0">
      <alignment vertical="center"/>
    </xf>
    <xf numFmtId="0" fontId="37" fillId="0" borderId="0">
      <alignment vertical="center"/>
    </xf>
    <xf numFmtId="0" fontId="264" fillId="4" borderId="0" applyProtection="0">
      <alignment vertical="center"/>
    </xf>
    <xf numFmtId="0" fontId="264" fillId="4" borderId="0" applyProtection="0">
      <alignment vertical="center"/>
    </xf>
    <xf numFmtId="0" fontId="264" fillId="4" borderId="0" applyProtection="0">
      <alignment vertical="center"/>
    </xf>
    <xf numFmtId="0" fontId="264" fillId="4" borderId="0" applyProtection="0">
      <alignment vertical="center"/>
    </xf>
    <xf numFmtId="0" fontId="37" fillId="0" borderId="0">
      <alignment vertical="center"/>
    </xf>
    <xf numFmtId="0" fontId="264" fillId="4" borderId="0" applyProtection="0">
      <alignment vertical="center"/>
    </xf>
    <xf numFmtId="0" fontId="264" fillId="4" borderId="0" applyProtection="0">
      <alignment vertical="center"/>
    </xf>
    <xf numFmtId="0" fontId="264" fillId="4" borderId="0" applyProtection="0">
      <alignment vertical="center"/>
    </xf>
    <xf numFmtId="0" fontId="37" fillId="0" borderId="0">
      <alignment vertical="center"/>
    </xf>
    <xf numFmtId="0" fontId="264" fillId="4" borderId="0" applyProtection="0">
      <alignment vertical="center"/>
    </xf>
    <xf numFmtId="0" fontId="264" fillId="4" borderId="0" applyProtection="0">
      <alignment vertical="center"/>
    </xf>
    <xf numFmtId="0" fontId="264" fillId="4" borderId="0" applyProtection="0">
      <alignment vertical="center"/>
    </xf>
    <xf numFmtId="0" fontId="264" fillId="4" borderId="0" applyProtection="0">
      <alignment vertical="center"/>
    </xf>
    <xf numFmtId="0" fontId="37" fillId="0" borderId="0">
      <alignment vertical="center"/>
    </xf>
    <xf numFmtId="0" fontId="264" fillId="4" borderId="0" applyProtection="0">
      <alignment vertical="center"/>
    </xf>
    <xf numFmtId="0" fontId="264" fillId="4" borderId="0" applyProtection="0">
      <alignment vertical="center"/>
    </xf>
    <xf numFmtId="0" fontId="264" fillId="4" borderId="0" applyProtection="0">
      <alignment vertical="center"/>
    </xf>
    <xf numFmtId="0" fontId="37" fillId="0" borderId="0">
      <alignment vertical="center"/>
    </xf>
    <xf numFmtId="0" fontId="264" fillId="36" borderId="0" applyProtection="0">
      <alignment vertical="center"/>
    </xf>
    <xf numFmtId="0" fontId="264" fillId="36" borderId="0" applyProtection="0">
      <alignment vertical="center"/>
    </xf>
    <xf numFmtId="0" fontId="264" fillId="36" borderId="0" applyProtection="0">
      <alignment vertical="center"/>
    </xf>
    <xf numFmtId="0" fontId="264" fillId="36" borderId="0" applyProtection="0">
      <alignment vertical="center"/>
    </xf>
    <xf numFmtId="0" fontId="37" fillId="0" borderId="0">
      <alignment vertical="center"/>
    </xf>
    <xf numFmtId="0" fontId="264" fillId="36" borderId="0" applyProtection="0">
      <alignment vertical="center"/>
    </xf>
    <xf numFmtId="0" fontId="264" fillId="36" borderId="0" applyProtection="0">
      <alignment vertical="center"/>
    </xf>
    <xf numFmtId="0" fontId="264" fillId="36" borderId="0" applyProtection="0">
      <alignment vertical="center"/>
    </xf>
    <xf numFmtId="0" fontId="37" fillId="0" borderId="0">
      <alignment vertical="center"/>
    </xf>
    <xf numFmtId="0" fontId="264" fillId="36" borderId="0" applyProtection="0">
      <alignment vertical="center"/>
    </xf>
    <xf numFmtId="0" fontId="264" fillId="36" borderId="0" applyProtection="0">
      <alignment vertical="center"/>
    </xf>
    <xf numFmtId="0" fontId="264" fillId="36" borderId="0" applyProtection="0">
      <alignment vertical="center"/>
    </xf>
    <xf numFmtId="0" fontId="264" fillId="36" borderId="0" applyProtection="0">
      <alignment vertical="center"/>
    </xf>
    <xf numFmtId="0" fontId="37" fillId="0" borderId="0">
      <alignment vertical="center"/>
    </xf>
    <xf numFmtId="0" fontId="264" fillId="36" borderId="0" applyProtection="0">
      <alignment vertical="center"/>
    </xf>
    <xf numFmtId="0" fontId="264" fillId="36" borderId="0" applyProtection="0">
      <alignment vertical="center"/>
    </xf>
    <xf numFmtId="0" fontId="264" fillId="36" borderId="0" applyProtection="0">
      <alignment vertical="center"/>
    </xf>
    <xf numFmtId="0" fontId="37" fillId="0" borderId="0">
      <alignment vertical="center"/>
    </xf>
    <xf numFmtId="0" fontId="264" fillId="36" borderId="0" applyProtection="0">
      <alignment vertical="center"/>
    </xf>
    <xf numFmtId="0" fontId="264" fillId="36" borderId="0" applyProtection="0">
      <alignment vertical="center"/>
    </xf>
    <xf numFmtId="0" fontId="264" fillId="36" borderId="0" applyProtection="0">
      <alignment vertical="center"/>
    </xf>
    <xf numFmtId="0" fontId="264" fillId="36" borderId="0" applyProtection="0">
      <alignment vertical="center"/>
    </xf>
    <xf numFmtId="0" fontId="37" fillId="0" borderId="0">
      <alignment vertical="center"/>
    </xf>
    <xf numFmtId="0" fontId="264" fillId="36" borderId="0" applyProtection="0">
      <alignment vertical="center"/>
    </xf>
    <xf numFmtId="0" fontId="264" fillId="36" borderId="0" applyProtection="0">
      <alignment vertical="center"/>
    </xf>
    <xf numFmtId="0" fontId="264" fillId="36" borderId="0" applyProtection="0">
      <alignment vertical="center"/>
    </xf>
    <xf numFmtId="0" fontId="37" fillId="0" borderId="0">
      <alignment vertical="center"/>
    </xf>
    <xf numFmtId="0" fontId="264" fillId="36" borderId="0" applyProtection="0">
      <alignment vertical="center"/>
    </xf>
    <xf numFmtId="0" fontId="264" fillId="36" borderId="0" applyProtection="0">
      <alignment vertical="center"/>
    </xf>
    <xf numFmtId="0" fontId="264" fillId="36" borderId="0" applyProtection="0">
      <alignment vertical="center"/>
    </xf>
    <xf numFmtId="0" fontId="264" fillId="36" borderId="0" applyProtection="0">
      <alignment vertical="center"/>
    </xf>
    <xf numFmtId="0" fontId="37" fillId="0" borderId="0">
      <alignment vertical="center"/>
    </xf>
    <xf numFmtId="0" fontId="264" fillId="36" borderId="0" applyProtection="0">
      <alignment vertical="center"/>
    </xf>
    <xf numFmtId="0" fontId="264" fillId="36" borderId="0" applyProtection="0">
      <alignment vertical="center"/>
    </xf>
    <xf numFmtId="0" fontId="264" fillId="36" borderId="0" applyProtection="0">
      <alignment vertical="center"/>
    </xf>
    <xf numFmtId="0" fontId="37" fillId="0" borderId="0">
      <alignment vertical="center"/>
    </xf>
    <xf numFmtId="0" fontId="264" fillId="36" borderId="0" applyProtection="0">
      <alignment vertical="center"/>
    </xf>
    <xf numFmtId="0" fontId="264" fillId="36" borderId="0" applyProtection="0">
      <alignment vertical="center"/>
    </xf>
    <xf numFmtId="0" fontId="264" fillId="36" borderId="0" applyProtection="0">
      <alignment vertical="center"/>
    </xf>
    <xf numFmtId="0" fontId="264" fillId="36" borderId="0" applyProtection="0">
      <alignment vertical="center"/>
    </xf>
    <xf numFmtId="0" fontId="37" fillId="0" borderId="0">
      <alignment vertical="center"/>
    </xf>
    <xf numFmtId="0" fontId="264" fillId="36" borderId="0" applyProtection="0">
      <alignment vertical="center"/>
    </xf>
    <xf numFmtId="0" fontId="264" fillId="36" borderId="0" applyProtection="0">
      <alignment vertical="center"/>
    </xf>
    <xf numFmtId="0" fontId="264" fillId="36" borderId="0" applyProtection="0">
      <alignment vertical="center"/>
    </xf>
    <xf numFmtId="0" fontId="37" fillId="0" borderId="0">
      <alignment vertical="center"/>
    </xf>
    <xf numFmtId="0" fontId="264" fillId="36" borderId="0" applyProtection="0">
      <alignment vertical="center"/>
    </xf>
    <xf numFmtId="0" fontId="264" fillId="36" borderId="0" applyProtection="0">
      <alignment vertical="center"/>
    </xf>
    <xf numFmtId="0" fontId="264" fillId="36" borderId="0" applyProtection="0">
      <alignment vertical="center"/>
    </xf>
    <xf numFmtId="0" fontId="264" fillId="36" borderId="0" applyProtection="0">
      <alignment vertical="center"/>
    </xf>
    <xf numFmtId="0" fontId="37" fillId="0" borderId="0">
      <alignment vertical="center"/>
    </xf>
    <xf numFmtId="0" fontId="264" fillId="36" borderId="0" applyProtection="0">
      <alignment vertical="center"/>
    </xf>
    <xf numFmtId="0" fontId="264" fillId="36" borderId="0" applyProtection="0">
      <alignment vertical="center"/>
    </xf>
    <xf numFmtId="0" fontId="264" fillId="36" borderId="0" applyProtection="0">
      <alignment vertical="center"/>
    </xf>
    <xf numFmtId="0" fontId="37" fillId="0" borderId="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37" fillId="0" borderId="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37" fillId="0" borderId="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37" fillId="0" borderId="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37" fillId="0" borderId="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37" fillId="0" borderId="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37" fillId="0" borderId="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37" fillId="0" borderId="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37" fillId="0" borderId="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37" fillId="0" borderId="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37" fillId="0" borderId="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37" fillId="0" borderId="0">
      <alignment vertical="center"/>
    </xf>
    <xf numFmtId="0" fontId="264" fillId="29" borderId="0" applyProtection="0">
      <alignment vertical="center"/>
    </xf>
    <xf numFmtId="0" fontId="264" fillId="29" borderId="0" applyProtection="0">
      <alignment vertical="center"/>
    </xf>
    <xf numFmtId="0" fontId="264" fillId="29" borderId="0" applyProtection="0">
      <alignment vertical="center"/>
    </xf>
    <xf numFmtId="0" fontId="37" fillId="0" borderId="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37" fillId="0" borderId="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37" fillId="0" borderId="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37" fillId="0" borderId="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37" fillId="0" borderId="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37" fillId="0" borderId="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37" fillId="0" borderId="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37" fillId="0" borderId="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37" fillId="0" borderId="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37" fillId="0" borderId="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37" fillId="0" borderId="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37" fillId="0" borderId="0">
      <alignment vertical="center"/>
    </xf>
    <xf numFmtId="0" fontId="264" fillId="30" borderId="0" applyProtection="0">
      <alignment vertical="center"/>
    </xf>
    <xf numFmtId="0" fontId="264" fillId="30" borderId="0" applyProtection="0">
      <alignment vertical="center"/>
    </xf>
    <xf numFmtId="0" fontId="264" fillId="30" borderId="0" applyProtection="0">
      <alignment vertical="center"/>
    </xf>
    <xf numFmtId="0" fontId="37" fillId="0" borderId="0">
      <alignment vertical="center"/>
    </xf>
    <xf numFmtId="0" fontId="264" fillId="37" borderId="0" applyProtection="0">
      <alignment vertical="center"/>
    </xf>
    <xf numFmtId="0" fontId="264" fillId="37" borderId="0" applyProtection="0">
      <alignment vertical="center"/>
    </xf>
    <xf numFmtId="0" fontId="264" fillId="37" borderId="0" applyProtection="0">
      <alignment vertical="center"/>
    </xf>
    <xf numFmtId="0" fontId="264" fillId="37" borderId="0" applyProtection="0">
      <alignment vertical="center"/>
    </xf>
    <xf numFmtId="0" fontId="37" fillId="0" borderId="0">
      <alignment vertical="center"/>
    </xf>
    <xf numFmtId="0" fontId="264" fillId="37" borderId="0" applyProtection="0">
      <alignment vertical="center"/>
    </xf>
    <xf numFmtId="0" fontId="264" fillId="37" borderId="0" applyProtection="0">
      <alignment vertical="center"/>
    </xf>
    <xf numFmtId="0" fontId="264" fillId="37" borderId="0" applyProtection="0">
      <alignment vertical="center"/>
    </xf>
    <xf numFmtId="0" fontId="37" fillId="0" borderId="0">
      <alignment vertical="center"/>
    </xf>
    <xf numFmtId="0" fontId="264" fillId="37" borderId="0" applyProtection="0">
      <alignment vertical="center"/>
    </xf>
    <xf numFmtId="0" fontId="264" fillId="37" borderId="0" applyProtection="0">
      <alignment vertical="center"/>
    </xf>
    <xf numFmtId="0" fontId="264" fillId="37" borderId="0" applyProtection="0">
      <alignment vertical="center"/>
    </xf>
    <xf numFmtId="0" fontId="264" fillId="37" borderId="0" applyProtection="0">
      <alignment vertical="center"/>
    </xf>
    <xf numFmtId="0" fontId="37" fillId="0" borderId="0">
      <alignment vertical="center"/>
    </xf>
    <xf numFmtId="0" fontId="264" fillId="37" borderId="0" applyProtection="0">
      <alignment vertical="center"/>
    </xf>
    <xf numFmtId="0" fontId="264" fillId="37" borderId="0" applyProtection="0">
      <alignment vertical="center"/>
    </xf>
    <xf numFmtId="0" fontId="264" fillId="37" borderId="0" applyProtection="0">
      <alignment vertical="center"/>
    </xf>
    <xf numFmtId="0" fontId="37" fillId="0" borderId="0">
      <alignment vertical="center"/>
    </xf>
    <xf numFmtId="0" fontId="264" fillId="37" borderId="0" applyProtection="0">
      <alignment vertical="center"/>
    </xf>
    <xf numFmtId="0" fontId="264" fillId="37" borderId="0" applyProtection="0">
      <alignment vertical="center"/>
    </xf>
    <xf numFmtId="0" fontId="264" fillId="37" borderId="0" applyProtection="0">
      <alignment vertical="center"/>
    </xf>
    <xf numFmtId="0" fontId="264" fillId="37" borderId="0" applyProtection="0">
      <alignment vertical="center"/>
    </xf>
    <xf numFmtId="0" fontId="37" fillId="0" borderId="0">
      <alignment vertical="center"/>
    </xf>
    <xf numFmtId="0" fontId="264" fillId="37" borderId="0" applyProtection="0">
      <alignment vertical="center"/>
    </xf>
    <xf numFmtId="0" fontId="264" fillId="37" borderId="0" applyProtection="0">
      <alignment vertical="center"/>
    </xf>
    <xf numFmtId="0" fontId="264" fillId="37" borderId="0" applyProtection="0">
      <alignment vertical="center"/>
    </xf>
    <xf numFmtId="0" fontId="37" fillId="0" borderId="0">
      <alignment vertical="center"/>
    </xf>
    <xf numFmtId="0" fontId="264" fillId="37" borderId="0" applyProtection="0">
      <alignment vertical="center"/>
    </xf>
    <xf numFmtId="0" fontId="264" fillId="37" borderId="0" applyProtection="0">
      <alignment vertical="center"/>
    </xf>
    <xf numFmtId="0" fontId="264" fillId="37" borderId="0" applyProtection="0">
      <alignment vertical="center"/>
    </xf>
    <xf numFmtId="0" fontId="264" fillId="37" borderId="0" applyProtection="0">
      <alignment vertical="center"/>
    </xf>
    <xf numFmtId="0" fontId="37" fillId="0" borderId="0">
      <alignment vertical="center"/>
    </xf>
    <xf numFmtId="0" fontId="264" fillId="37" borderId="0" applyProtection="0">
      <alignment vertical="center"/>
    </xf>
    <xf numFmtId="0" fontId="264" fillId="37" borderId="0" applyProtection="0">
      <alignment vertical="center"/>
    </xf>
    <xf numFmtId="0" fontId="264" fillId="37" borderId="0" applyProtection="0">
      <alignment vertical="center"/>
    </xf>
    <xf numFmtId="0" fontId="37" fillId="0" borderId="0">
      <alignment vertical="center"/>
    </xf>
    <xf numFmtId="0" fontId="264" fillId="37" borderId="0" applyProtection="0">
      <alignment vertical="center"/>
    </xf>
    <xf numFmtId="0" fontId="264" fillId="37" borderId="0" applyProtection="0">
      <alignment vertical="center"/>
    </xf>
    <xf numFmtId="0" fontId="264" fillId="37" borderId="0" applyProtection="0">
      <alignment vertical="center"/>
    </xf>
    <xf numFmtId="0" fontId="264" fillId="37" borderId="0" applyProtection="0">
      <alignment vertical="center"/>
    </xf>
    <xf numFmtId="0" fontId="37" fillId="0" borderId="0">
      <alignment vertical="center"/>
    </xf>
    <xf numFmtId="0" fontId="264" fillId="37" borderId="0" applyProtection="0">
      <alignment vertical="center"/>
    </xf>
    <xf numFmtId="0" fontId="264" fillId="37" borderId="0" applyProtection="0">
      <alignment vertical="center"/>
    </xf>
    <xf numFmtId="0" fontId="264" fillId="37" borderId="0" applyProtection="0">
      <alignment vertical="center"/>
    </xf>
    <xf numFmtId="0" fontId="37" fillId="0" borderId="0">
      <alignment vertical="center"/>
    </xf>
    <xf numFmtId="0" fontId="264" fillId="37" borderId="0" applyProtection="0">
      <alignment vertical="center"/>
    </xf>
    <xf numFmtId="0" fontId="264" fillId="37" borderId="0" applyProtection="0">
      <alignment vertical="center"/>
    </xf>
    <xf numFmtId="0" fontId="264" fillId="37" borderId="0" applyProtection="0">
      <alignment vertical="center"/>
    </xf>
    <xf numFmtId="0" fontId="264" fillId="37" borderId="0" applyProtection="0">
      <alignment vertical="center"/>
    </xf>
    <xf numFmtId="0" fontId="37" fillId="0" borderId="0">
      <alignment vertical="center"/>
    </xf>
    <xf numFmtId="0" fontId="264" fillId="37" borderId="0" applyProtection="0">
      <alignment vertical="center"/>
    </xf>
    <xf numFmtId="0" fontId="264" fillId="37" borderId="0" applyProtection="0">
      <alignment vertical="center"/>
    </xf>
    <xf numFmtId="0" fontId="264" fillId="37" borderId="0" applyProtection="0">
      <alignment vertical="center"/>
    </xf>
    <xf numFmtId="0" fontId="37" fillId="0" borderId="0">
      <alignment vertical="center"/>
    </xf>
    <xf numFmtId="0" fontId="276" fillId="38" borderId="0" applyProtection="0">
      <alignment vertical="center"/>
    </xf>
    <xf numFmtId="0" fontId="276" fillId="38" borderId="0" applyProtection="0">
      <alignment vertical="center"/>
    </xf>
    <xf numFmtId="0" fontId="276" fillId="38" borderId="0" applyProtection="0">
      <alignment vertical="center"/>
    </xf>
    <xf numFmtId="0" fontId="276" fillId="38" borderId="0" applyProtection="0">
      <alignment vertical="center"/>
    </xf>
    <xf numFmtId="0" fontId="37" fillId="0" borderId="0">
      <alignment vertical="center"/>
    </xf>
    <xf numFmtId="0" fontId="276" fillId="38" borderId="0" applyProtection="0">
      <alignment vertical="center"/>
    </xf>
    <xf numFmtId="0" fontId="276" fillId="38" borderId="0" applyProtection="0">
      <alignment vertical="center"/>
    </xf>
    <xf numFmtId="0" fontId="276" fillId="38" borderId="0" applyProtection="0">
      <alignment vertical="center"/>
    </xf>
    <xf numFmtId="0" fontId="37" fillId="0" borderId="0">
      <alignment vertical="center"/>
    </xf>
    <xf numFmtId="0" fontId="276" fillId="38" borderId="0" applyProtection="0">
      <alignment vertical="center"/>
    </xf>
    <xf numFmtId="0" fontId="276" fillId="38" borderId="0" applyProtection="0">
      <alignment vertical="center"/>
    </xf>
    <xf numFmtId="0" fontId="276" fillId="38" borderId="0" applyProtection="0">
      <alignment vertical="center"/>
    </xf>
    <xf numFmtId="0" fontId="276" fillId="38" borderId="0" applyProtection="0">
      <alignment vertical="center"/>
    </xf>
    <xf numFmtId="0" fontId="37" fillId="0" borderId="0">
      <alignment vertical="center"/>
    </xf>
    <xf numFmtId="0" fontId="276" fillId="38" borderId="0" applyProtection="0">
      <alignment vertical="center"/>
    </xf>
    <xf numFmtId="0" fontId="276" fillId="38" borderId="0" applyProtection="0">
      <alignment vertical="center"/>
    </xf>
    <xf numFmtId="0" fontId="276" fillId="38" borderId="0" applyProtection="0">
      <alignment vertical="center"/>
    </xf>
    <xf numFmtId="0" fontId="37" fillId="0" borderId="0">
      <alignment vertical="center"/>
    </xf>
    <xf numFmtId="0" fontId="276" fillId="38" borderId="0" applyProtection="0">
      <alignment vertical="center"/>
    </xf>
    <xf numFmtId="0" fontId="276" fillId="38" borderId="0" applyProtection="0">
      <alignment vertical="center"/>
    </xf>
    <xf numFmtId="0" fontId="276" fillId="38" borderId="0" applyProtection="0">
      <alignment vertical="center"/>
    </xf>
    <xf numFmtId="0" fontId="276" fillId="38" borderId="0" applyProtection="0">
      <alignment vertical="center"/>
    </xf>
    <xf numFmtId="0" fontId="37" fillId="0" borderId="0">
      <alignment vertical="center"/>
    </xf>
    <xf numFmtId="0" fontId="276" fillId="38" borderId="0" applyProtection="0">
      <alignment vertical="center"/>
    </xf>
    <xf numFmtId="0" fontId="276" fillId="38" borderId="0" applyProtection="0">
      <alignment vertical="center"/>
    </xf>
    <xf numFmtId="0" fontId="276" fillId="38" borderId="0" applyProtection="0">
      <alignment vertical="center"/>
    </xf>
    <xf numFmtId="0" fontId="37" fillId="0" borderId="0">
      <alignment vertical="center"/>
    </xf>
    <xf numFmtId="0" fontId="276" fillId="38" borderId="0" applyProtection="0">
      <alignment vertical="center"/>
    </xf>
    <xf numFmtId="0" fontId="276" fillId="38" borderId="0" applyProtection="0">
      <alignment vertical="center"/>
    </xf>
    <xf numFmtId="0" fontId="276" fillId="38" borderId="0" applyProtection="0">
      <alignment vertical="center"/>
    </xf>
    <xf numFmtId="0" fontId="276" fillId="38" borderId="0" applyProtection="0">
      <alignment vertical="center"/>
    </xf>
    <xf numFmtId="0" fontId="37" fillId="0" borderId="0">
      <alignment vertical="center"/>
    </xf>
    <xf numFmtId="0" fontId="276" fillId="38" borderId="0" applyProtection="0">
      <alignment vertical="center"/>
    </xf>
    <xf numFmtId="0" fontId="276" fillId="38" borderId="0" applyProtection="0">
      <alignment vertical="center"/>
    </xf>
    <xf numFmtId="0" fontId="276" fillId="38" borderId="0" applyProtection="0">
      <alignment vertical="center"/>
    </xf>
    <xf numFmtId="0" fontId="37" fillId="0" borderId="0">
      <alignment vertical="center"/>
    </xf>
    <xf numFmtId="0" fontId="276" fillId="38" borderId="0" applyProtection="0">
      <alignment vertical="center"/>
    </xf>
    <xf numFmtId="0" fontId="276" fillId="38" borderId="0" applyProtection="0">
      <alignment vertical="center"/>
    </xf>
    <xf numFmtId="0" fontId="276" fillId="38" borderId="0" applyProtection="0">
      <alignment vertical="center"/>
    </xf>
    <xf numFmtId="0" fontId="276" fillId="38" borderId="0" applyProtection="0">
      <alignment vertical="center"/>
    </xf>
    <xf numFmtId="0" fontId="37" fillId="0" borderId="0">
      <alignment vertical="center"/>
    </xf>
    <xf numFmtId="0" fontId="276" fillId="38" borderId="0" applyProtection="0">
      <alignment vertical="center"/>
    </xf>
    <xf numFmtId="0" fontId="276" fillId="38" borderId="0" applyProtection="0">
      <alignment vertical="center"/>
    </xf>
    <xf numFmtId="0" fontId="276" fillId="38" borderId="0" applyProtection="0">
      <alignment vertical="center"/>
    </xf>
    <xf numFmtId="0" fontId="37" fillId="0" borderId="0">
      <alignment vertical="center"/>
    </xf>
    <xf numFmtId="0" fontId="276" fillId="38" borderId="0" applyProtection="0">
      <alignment vertical="center"/>
    </xf>
    <xf numFmtId="0" fontId="276" fillId="38" borderId="0" applyProtection="0">
      <alignment vertical="center"/>
    </xf>
    <xf numFmtId="0" fontId="276" fillId="38" borderId="0" applyProtection="0">
      <alignment vertical="center"/>
    </xf>
    <xf numFmtId="0" fontId="276" fillId="38" borderId="0" applyProtection="0">
      <alignment vertical="center"/>
    </xf>
    <xf numFmtId="0" fontId="37" fillId="0" borderId="0">
      <alignment vertical="center"/>
    </xf>
    <xf numFmtId="0" fontId="276" fillId="38" borderId="0" applyProtection="0">
      <alignment vertical="center"/>
    </xf>
    <xf numFmtId="0" fontId="276" fillId="38" borderId="0" applyProtection="0">
      <alignment vertical="center"/>
    </xf>
    <xf numFmtId="0" fontId="276" fillId="38" borderId="0" applyProtection="0">
      <alignment vertical="center"/>
    </xf>
    <xf numFmtId="0" fontId="37" fillId="0" borderId="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37" fillId="0" borderId="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37" fillId="0" borderId="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37" fillId="0" borderId="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37" fillId="0" borderId="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37" fillId="0" borderId="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37" fillId="0" borderId="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37" fillId="0" borderId="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37" fillId="0" borderId="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37" fillId="0" borderId="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37" fillId="0" borderId="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37" fillId="0" borderId="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37" fillId="0" borderId="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7" fillId="32" borderId="164"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37" fillId="0" borderId="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37" fillId="0" borderId="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37" fillId="0" borderId="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37" fillId="0" borderId="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37" fillId="0" borderId="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37" fillId="0" borderId="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37" fillId="0" borderId="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37" fillId="0" borderId="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37" fillId="0" borderId="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37" fillId="0" borderId="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37" fillId="0" borderId="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37" fillId="0" borderId="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278" fillId="23" borderId="161"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0" borderId="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0" borderId="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0" borderId="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0" borderId="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0" borderId="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0" borderId="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0" borderId="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0" borderId="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0" borderId="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0" borderId="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0" borderId="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0" borderId="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0" borderId="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0" borderId="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0" borderId="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0" borderId="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0" borderId="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0" borderId="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0" borderId="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0" borderId="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0" borderId="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0" borderId="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0" borderId="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0" borderId="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xf numFmtId="0" fontId="37" fillId="39" borderId="165" applyProtection="0">
      <alignment vertical="center"/>
    </xf>
  </cellStyleXfs>
  <cellXfs count="340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80" fontId="50" fillId="0" borderId="1" xfId="0" applyNumberFormat="1" applyFont="1" applyBorder="1" applyAlignment="1" applyProtection="1">
      <alignment horizontal="center" vertical="center" wrapText="1"/>
      <protection locked="0"/>
    </xf>
    <xf numFmtId="180"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7"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7" fontId="50" fillId="6" borderId="9" xfId="0" applyNumberFormat="1" applyFont="1" applyFill="1" applyBorder="1" applyAlignment="1" applyProtection="1">
      <alignment horizontal="center" vertical="center" wrapText="1"/>
    </xf>
    <xf numFmtId="177" fontId="50" fillId="6" borderId="10"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6" borderId="23" xfId="0" applyNumberFormat="1"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7" fontId="47" fillId="6" borderId="1" xfId="0" applyNumberFormat="1"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177"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7"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61" xfId="0" applyFont="1" applyFill="1" applyBorder="1" applyAlignment="1" applyProtection="1">
      <alignment vertical="center"/>
    </xf>
    <xf numFmtId="180"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7"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8"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8"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0" fontId="54" fillId="6" borderId="1" xfId="1" applyNumberFormat="1" applyFont="1" applyFill="1" applyBorder="1" applyAlignment="1" applyProtection="1">
      <alignment horizontal="center" vertical="center"/>
    </xf>
    <xf numFmtId="181" fontId="54" fillId="6" borderId="1" xfId="1" applyNumberFormat="1" applyFont="1" applyFill="1" applyBorder="1" applyAlignment="1" applyProtection="1">
      <alignment horizontal="center" vertical="center"/>
    </xf>
    <xf numFmtId="182"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80"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2" fontId="47" fillId="0" borderId="1" xfId="0" applyNumberFormat="1" applyFont="1" applyBorder="1" applyAlignment="1" applyProtection="1">
      <alignment vertical="center"/>
      <protection locked="0"/>
    </xf>
    <xf numFmtId="182"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2"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4" fontId="47" fillId="0" borderId="1" xfId="0" applyNumberFormat="1" applyFont="1" applyBorder="1" applyAlignment="1" applyProtection="1">
      <alignment horizontal="center" vertical="center"/>
      <protection locked="0"/>
    </xf>
    <xf numFmtId="182" fontId="47" fillId="0" borderId="24" xfId="0" applyNumberFormat="1" applyFont="1" applyBorder="1" applyAlignment="1" applyProtection="1">
      <alignment horizontal="center" vertical="center"/>
      <protection locked="0"/>
    </xf>
    <xf numFmtId="178"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2"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7"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7" fontId="54" fillId="0" borderId="10" xfId="1" applyNumberFormat="1" applyFont="1" applyFill="1" applyBorder="1" applyAlignment="1" applyProtection="1">
      <alignment horizontal="center" vertical="center"/>
      <protection locked="0"/>
    </xf>
    <xf numFmtId="177" fontId="54" fillId="6" borderId="24" xfId="1" applyNumberFormat="1" applyFont="1" applyFill="1" applyBorder="1" applyAlignment="1" applyProtection="1">
      <alignment horizontal="center" vertical="center"/>
    </xf>
    <xf numFmtId="177"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2" fontId="50" fillId="0" borderId="24" xfId="0" applyNumberFormat="1" applyFont="1" applyFill="1" applyBorder="1" applyAlignment="1" applyProtection="1">
      <alignment horizontal="center" vertical="center"/>
      <protection locked="0"/>
    </xf>
    <xf numFmtId="182" fontId="50" fillId="0" borderId="49" xfId="0" applyNumberFormat="1" applyFont="1" applyFill="1" applyBorder="1" applyAlignment="1" applyProtection="1">
      <alignment horizontal="center" vertical="center"/>
      <protection locked="0"/>
    </xf>
    <xf numFmtId="182"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4" fontId="47" fillId="6" borderId="61" xfId="0" applyNumberFormat="1" applyFont="1" applyFill="1" applyBorder="1" applyAlignment="1" applyProtection="1">
      <alignment horizontal="center" vertical="center"/>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9"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80"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8"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8"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8"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8"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8"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8"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2"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2"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2"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8"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8"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8" fontId="56" fillId="0" borderId="1" xfId="1" applyNumberFormat="1" applyFont="1" applyFill="1" applyBorder="1" applyAlignment="1" applyProtection="1">
      <alignment horizontal="center"/>
      <protection locked="0"/>
    </xf>
    <xf numFmtId="180"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8"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8"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8"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80"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80"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8"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8"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8" fontId="57" fillId="6" borderId="1" xfId="0" applyNumberFormat="1" applyFont="1" applyFill="1" applyBorder="1" applyAlignment="1" applyProtection="1">
      <alignment horizontal="center" vertical="center"/>
    </xf>
    <xf numFmtId="182"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6"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8"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2" fontId="56" fillId="6" borderId="1" xfId="0" applyNumberFormat="1" applyFont="1" applyFill="1" applyBorder="1" applyAlignment="1" applyProtection="1">
      <alignment horizontal="center"/>
    </xf>
    <xf numFmtId="182"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7" fontId="105" fillId="6" borderId="1" xfId="0" applyNumberFormat="1" applyFont="1" applyFill="1" applyBorder="1" applyAlignment="1" applyProtection="1">
      <alignment horizontal="center" vertical="center"/>
    </xf>
    <xf numFmtId="177" fontId="105" fillId="6" borderId="24" xfId="0" applyNumberFormat="1" applyFont="1" applyFill="1" applyBorder="1" applyAlignment="1" applyProtection="1">
      <alignment horizontal="center" vertical="center"/>
    </xf>
    <xf numFmtId="178"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8" fontId="49" fillId="6" borderId="1" xfId="1" applyNumberFormat="1" applyFont="1" applyFill="1" applyBorder="1" applyAlignment="1" applyProtection="1">
      <alignment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8" fontId="50" fillId="6" borderId="1" xfId="0" applyNumberFormat="1" applyFont="1" applyFill="1" applyBorder="1" applyAlignment="1" applyProtection="1">
      <alignment horizontal="center"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8"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2"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2"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80"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2" fontId="50" fillId="6" borderId="8"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82"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4"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80"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80"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7"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2"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5"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5"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7"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7"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7" fontId="53" fillId="6" borderId="47" xfId="0" applyNumberFormat="1" applyFont="1" applyFill="1" applyBorder="1" applyAlignment="1" applyProtection="1">
      <alignment vertical="center" wrapText="1"/>
    </xf>
    <xf numFmtId="190"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2" fontId="54" fillId="6" borderId="5" xfId="0" applyNumberFormat="1" applyFont="1" applyFill="1" applyBorder="1" applyAlignment="1" applyProtection="1">
      <alignment horizontal="center" vertical="center"/>
    </xf>
    <xf numFmtId="182"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7" fontId="60" fillId="6" borderId="13" xfId="0" applyNumberFormat="1" applyFont="1" applyFill="1" applyBorder="1" applyAlignment="1" applyProtection="1">
      <alignment horizontal="right" vertical="center"/>
    </xf>
    <xf numFmtId="190"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90" fontId="54" fillId="3" borderId="3" xfId="0" applyNumberFormat="1" applyFont="1" applyFill="1" applyBorder="1" applyAlignment="1" applyProtection="1">
      <alignment horizontal="center" vertical="center"/>
      <protection locked="0"/>
    </xf>
    <xf numFmtId="190" fontId="54" fillId="3" borderId="3" xfId="0" applyNumberFormat="1" applyFont="1" applyFill="1" applyBorder="1" applyAlignment="1" applyProtection="1">
      <alignment horizontal="center" vertical="center" wrapText="1"/>
      <protection locked="0"/>
    </xf>
    <xf numFmtId="190"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8"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7"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7"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8"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80"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8"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2"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80" fontId="49" fillId="6" borderId="66" xfId="0" applyNumberFormat="1" applyFont="1" applyFill="1" applyBorder="1" applyAlignment="1" applyProtection="1">
      <alignment vertical="center"/>
    </xf>
    <xf numFmtId="180" fontId="49" fillId="6" borderId="32" xfId="0" applyNumberFormat="1" applyFont="1" applyFill="1" applyBorder="1" applyAlignment="1" applyProtection="1">
      <alignment vertical="center"/>
    </xf>
    <xf numFmtId="180"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80"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90" fontId="65" fillId="6" borderId="36" xfId="0" applyNumberFormat="1" applyFont="1" applyFill="1" applyBorder="1" applyAlignment="1" applyProtection="1">
      <alignment horizontal="center" vertical="center"/>
    </xf>
    <xf numFmtId="182"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7"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90" fontId="54" fillId="6" borderId="0" xfId="0" applyNumberFormat="1" applyFont="1" applyFill="1" applyBorder="1" applyAlignment="1" applyProtection="1">
      <alignment horizontal="center"/>
    </xf>
    <xf numFmtId="182"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9"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9"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9"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90" fontId="54" fillId="6" borderId="3" xfId="0" applyNumberFormat="1" applyFont="1" applyFill="1" applyBorder="1" applyAlignment="1" applyProtection="1">
      <alignment horizontal="center" vertical="center"/>
    </xf>
    <xf numFmtId="190" fontId="54" fillId="6" borderId="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2" fontId="111" fillId="6" borderId="65" xfId="0" applyNumberFormat="1" applyFont="1" applyFill="1" applyBorder="1" applyAlignment="1" applyProtection="1">
      <alignment horizontal="center" vertical="center"/>
    </xf>
    <xf numFmtId="180"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82" fontId="105" fillId="0" borderId="1"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182"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2"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0"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8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80" fontId="8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8"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8"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2"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8"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7" fontId="50" fillId="0" borderId="1" xfId="0" applyNumberFormat="1" applyFont="1" applyFill="1" applyBorder="1" applyAlignment="1" applyProtection="1">
      <alignment horizontal="center" vertical="center"/>
      <protection locked="0"/>
    </xf>
    <xf numFmtId="187"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7"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80" fontId="50" fillId="6" borderId="1" xfId="1" applyNumberFormat="1" applyFont="1" applyFill="1" applyBorder="1" applyAlignment="1" applyProtection="1">
      <alignment horizontal="center" vertical="center"/>
    </xf>
    <xf numFmtId="182"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8"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8"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7" fontId="50" fillId="3" borderId="0" xfId="0" applyNumberFormat="1" applyFont="1" applyFill="1" applyAlignment="1" applyProtection="1">
      <alignment horizontal="center" vertical="center"/>
      <protection locked="0"/>
    </xf>
    <xf numFmtId="187" fontId="49" fillId="6" borderId="28" xfId="0" applyNumberFormat="1" applyFont="1" applyFill="1" applyBorder="1" applyAlignment="1" applyProtection="1">
      <alignment horizontal="center" vertical="center"/>
    </xf>
    <xf numFmtId="187" fontId="105" fillId="0" borderId="13" xfId="0" applyNumberFormat="1" applyFont="1" applyFill="1" applyBorder="1" applyAlignment="1" applyProtection="1">
      <alignment horizontal="center" vertical="center"/>
      <protection locked="0"/>
    </xf>
    <xf numFmtId="187"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7"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8"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8"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8" fontId="49" fillId="6" borderId="33" xfId="0" applyNumberFormat="1" applyFont="1" applyFill="1" applyBorder="1" applyAlignment="1" applyProtection="1">
      <alignment vertical="center"/>
    </xf>
    <xf numFmtId="178" fontId="49" fillId="6" borderId="52" xfId="0" applyNumberFormat="1" applyFont="1" applyFill="1" applyBorder="1" applyAlignment="1" applyProtection="1">
      <alignment vertical="center"/>
    </xf>
    <xf numFmtId="178"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5"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5"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shrinkToFit="1"/>
      <protection locked="0"/>
    </xf>
    <xf numFmtId="185" fontId="50" fillId="6" borderId="1" xfId="0" applyNumberFormat="1" applyFont="1" applyFill="1" applyBorder="1" applyAlignment="1" applyProtection="1">
      <alignment horizontal="center" vertical="center"/>
    </xf>
    <xf numFmtId="180" fontId="64" fillId="6" borderId="1" xfId="0" applyNumberFormat="1" applyFont="1" applyFill="1" applyBorder="1" applyAlignment="1" applyProtection="1">
      <alignment horizontal="center" vertical="center" wrapText="1"/>
    </xf>
    <xf numFmtId="178" fontId="64" fillId="5" borderId="1" xfId="1" applyNumberFormat="1" applyFont="1" applyFill="1" applyBorder="1" applyAlignment="1" applyProtection="1">
      <alignment horizontal="center" vertical="center"/>
      <protection locked="0"/>
    </xf>
    <xf numFmtId="178"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2" fontId="47" fillId="6" borderId="8" xfId="0" applyNumberFormat="1" applyFont="1" applyFill="1" applyBorder="1" applyProtection="1">
      <alignment vertical="center"/>
    </xf>
    <xf numFmtId="182"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5"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8"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9" fontId="61" fillId="6" borderId="24" xfId="0" applyNumberFormat="1" applyFont="1" applyFill="1" applyBorder="1" applyAlignment="1" applyProtection="1">
      <alignment horizontal="center" vertical="center"/>
    </xf>
    <xf numFmtId="179"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9" fontId="61" fillId="6" borderId="49" xfId="0" applyNumberFormat="1" applyFont="1" applyFill="1" applyBorder="1" applyAlignment="1" applyProtection="1">
      <alignment horizontal="center" vertical="center"/>
    </xf>
    <xf numFmtId="178"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90" fontId="54" fillId="6" borderId="0" xfId="0" applyNumberFormat="1" applyFont="1" applyFill="1" applyAlignment="1" applyProtection="1">
      <alignment horizontal="center" vertical="center"/>
      <protection locked="0"/>
    </xf>
    <xf numFmtId="182"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90" fontId="65" fillId="6" borderId="0" xfId="0" applyNumberFormat="1" applyFont="1" applyFill="1" applyBorder="1" applyAlignment="1" applyProtection="1">
      <alignment horizontal="center" vertical="center"/>
      <protection locked="0"/>
    </xf>
    <xf numFmtId="182"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2"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2"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90" fontId="71" fillId="6" borderId="0" xfId="0" applyNumberFormat="1" applyFont="1" applyFill="1" applyAlignment="1" applyProtection="1">
      <alignment horizontal="center" vertical="center"/>
      <protection locked="0"/>
    </xf>
    <xf numFmtId="182" fontId="71" fillId="6" borderId="0" xfId="0" applyNumberFormat="1"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90"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90" fontId="54" fillId="6" borderId="0" xfId="0" applyNumberFormat="1" applyFont="1" applyFill="1" applyBorder="1" applyAlignment="1" applyProtection="1">
      <alignment horizontal="center"/>
      <protection locked="0"/>
    </xf>
    <xf numFmtId="182"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5"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7"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2" fontId="52" fillId="6" borderId="1" xfId="0" applyNumberFormat="1" applyFont="1" applyFill="1" applyBorder="1" applyAlignment="1" applyProtection="1">
      <alignment horizontal="center" vertical="center"/>
      <protection locked="0"/>
    </xf>
    <xf numFmtId="180" fontId="50" fillId="6" borderId="23" xfId="1" applyNumberFormat="1" applyFont="1" applyFill="1" applyBorder="1" applyAlignment="1" applyProtection="1">
      <alignment horizontal="center" vertical="center"/>
    </xf>
    <xf numFmtId="178"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0" fontId="47" fillId="6" borderId="25" xfId="1" applyNumberFormat="1" applyFont="1" applyFill="1" applyBorder="1" applyAlignment="1" applyProtection="1">
      <alignment horizontal="center" vertical="center"/>
    </xf>
    <xf numFmtId="182" fontId="47" fillId="6" borderId="1" xfId="0" applyNumberFormat="1" applyFont="1" applyFill="1" applyBorder="1" applyAlignment="1" applyProtection="1">
      <alignment vertical="center"/>
    </xf>
    <xf numFmtId="182" fontId="47" fillId="6" borderId="5" xfId="0" applyNumberFormat="1" applyFont="1" applyFill="1" applyBorder="1" applyAlignment="1" applyProtection="1">
      <alignment vertical="center"/>
    </xf>
    <xf numFmtId="182"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2" fontId="47" fillId="6" borderId="1" xfId="0" applyNumberFormat="1"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4" fontId="47" fillId="6" borderId="1" xfId="0" applyNumberFormat="1"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7" fontId="50" fillId="0" borderId="1" xfId="0" applyNumberFormat="1" applyFont="1" applyFill="1" applyBorder="1" applyAlignment="1" applyProtection="1">
      <alignment horizontal="center" vertical="center" wrapText="1"/>
      <protection locked="0"/>
    </xf>
    <xf numFmtId="180" fontId="47" fillId="6" borderId="2" xfId="0" applyNumberFormat="1" applyFont="1" applyFill="1" applyBorder="1" applyProtection="1">
      <alignment vertical="center"/>
    </xf>
    <xf numFmtId="182"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0"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8"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8"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2"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2"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2"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2"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9" fontId="57" fillId="6" borderId="1" xfId="0" applyNumberFormat="1" applyFont="1" applyFill="1" applyBorder="1" applyAlignment="1" applyProtection="1">
      <alignment horizontal="center" vertical="center"/>
    </xf>
    <xf numFmtId="179" fontId="56" fillId="6" borderId="1"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188" fontId="50" fillId="6" borderId="3"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2"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7" fontId="49" fillId="6" borderId="1" xfId="0" applyNumberFormat="1" applyFont="1" applyFill="1" applyBorder="1" applyAlignment="1" applyProtection="1">
      <alignment vertical="center"/>
    </xf>
    <xf numFmtId="177" fontId="49" fillId="6" borderId="1" xfId="0" applyNumberFormat="1" applyFont="1" applyFill="1" applyBorder="1" applyAlignment="1" applyProtection="1">
      <alignment horizontal="center" vertical="center"/>
    </xf>
    <xf numFmtId="177" fontId="49" fillId="6" borderId="24" xfId="0" applyNumberFormat="1" applyFont="1" applyFill="1" applyBorder="1" applyAlignment="1" applyProtection="1">
      <alignment vertical="center"/>
    </xf>
    <xf numFmtId="177" fontId="49" fillId="6" borderId="25" xfId="0" applyNumberFormat="1" applyFont="1" applyFill="1" applyBorder="1" applyAlignment="1" applyProtection="1">
      <alignment vertical="center"/>
    </xf>
    <xf numFmtId="177"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2"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7" fontId="108" fillId="12" borderId="124" xfId="9" applyNumberFormat="1" applyFont="1" applyFill="1" applyBorder="1" applyAlignment="1">
      <alignment horizontal="center" vertical="center" wrapText="1"/>
    </xf>
    <xf numFmtId="187"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8" fontId="105" fillId="0" borderId="0" xfId="9" applyNumberFormat="1" applyFont="1">
      <alignment vertical="center"/>
    </xf>
    <xf numFmtId="182" fontId="105" fillId="0" borderId="122" xfId="9" applyNumberFormat="1" applyFont="1" applyBorder="1">
      <alignment vertical="center"/>
    </xf>
    <xf numFmtId="182" fontId="105" fillId="0" borderId="0" xfId="9" applyNumberFormat="1" applyFont="1">
      <alignment vertical="center"/>
    </xf>
    <xf numFmtId="187"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7" fontId="108" fillId="12" borderId="127" xfId="9" applyNumberFormat="1" applyFont="1" applyFill="1" applyBorder="1" applyAlignment="1">
      <alignment horizontal="center" vertical="center" wrapText="1"/>
    </xf>
    <xf numFmtId="187"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7"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8"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7" fontId="108" fillId="12" borderId="133" xfId="9" applyNumberFormat="1" applyFont="1" applyFill="1" applyBorder="1" applyAlignment="1">
      <alignment horizontal="center" vertical="center" wrapText="1"/>
    </xf>
    <xf numFmtId="187" fontId="108" fillId="12" borderId="137" xfId="9" applyNumberFormat="1" applyFont="1" applyFill="1" applyBorder="1" applyAlignment="1">
      <alignment horizontal="center" vertical="center" wrapText="1"/>
    </xf>
    <xf numFmtId="187" fontId="105" fillId="14" borderId="0" xfId="9" applyNumberFormat="1" applyFont="1" applyFill="1" applyAlignment="1">
      <alignment horizontal="center" vertical="center"/>
    </xf>
    <xf numFmtId="187"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8"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9"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9"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1" fontId="105" fillId="0" borderId="0" xfId="9" applyNumberFormat="1" applyFont="1" applyAlignment="1">
      <alignment horizontal="center" vertical="center"/>
    </xf>
    <xf numFmtId="181" fontId="105" fillId="0" borderId="122" xfId="9" applyNumberFormat="1" applyFont="1" applyBorder="1" applyAlignment="1">
      <alignment horizontal="center" vertical="center"/>
    </xf>
    <xf numFmtId="178"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8"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1" fontId="105" fillId="5" borderId="0" xfId="9" applyNumberFormat="1" applyFont="1" applyFill="1" applyAlignment="1">
      <alignment horizontal="center" vertical="center"/>
    </xf>
    <xf numFmtId="0" fontId="105" fillId="5" borderId="122" xfId="9" applyFont="1" applyFill="1" applyBorder="1">
      <alignment vertical="center"/>
    </xf>
    <xf numFmtId="179"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1" fontId="120" fillId="0" borderId="0" xfId="9" applyNumberFormat="1" applyFont="1" applyAlignment="1">
      <alignment horizontal="center" vertical="center"/>
    </xf>
    <xf numFmtId="181"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1" fontId="47" fillId="6" borderId="30"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5"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80"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7" fontId="105" fillId="6" borderId="1" xfId="8" applyNumberFormat="1" applyFont="1" applyFill="1" applyBorder="1" applyAlignment="1" applyProtection="1">
      <alignment horizontal="center" vertical="center"/>
    </xf>
    <xf numFmtId="178" fontId="120" fillId="6" borderId="1" xfId="8" applyNumberFormat="1" applyFont="1" applyFill="1" applyBorder="1" applyAlignment="1" applyProtection="1">
      <alignment horizontal="center" vertical="center"/>
    </xf>
    <xf numFmtId="188"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90" fontId="65" fillId="6" borderId="88" xfId="0" applyNumberFormat="1" applyFont="1" applyFill="1" applyBorder="1" applyAlignment="1" applyProtection="1">
      <alignment horizontal="center" vertical="center"/>
      <protection locked="0"/>
    </xf>
    <xf numFmtId="182"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90" fontId="65" fillId="6" borderId="88" xfId="0" applyNumberFormat="1" applyFont="1" applyFill="1" applyBorder="1" applyAlignment="1" applyProtection="1">
      <alignment horizontal="center" vertical="center"/>
    </xf>
    <xf numFmtId="182"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7"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8"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2"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8"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7"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8"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8"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6"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2"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2"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6"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5"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7"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5" fontId="64" fillId="0" borderId="1" xfId="0" applyNumberFormat="1" applyFont="1" applyFill="1" applyBorder="1" applyAlignment="1" applyProtection="1">
      <alignment horizontal="center" vertical="center" shrinkToFit="1"/>
      <protection locked="0"/>
    </xf>
    <xf numFmtId="178"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5"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5"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4"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80" fontId="50" fillId="6" borderId="0" xfId="0" applyNumberFormat="1" applyFont="1" applyFill="1" applyBorder="1" applyAlignment="1" applyProtection="1">
      <alignment horizontal="center" vertical="center" wrapText="1"/>
    </xf>
    <xf numFmtId="180" fontId="51" fillId="6" borderId="0" xfId="0" applyNumberFormat="1" applyFont="1" applyFill="1" applyBorder="1" applyAlignment="1" applyProtection="1">
      <alignment horizontal="center" vertical="center" wrapText="1"/>
    </xf>
    <xf numFmtId="177"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7" fontId="50" fillId="6" borderId="54" xfId="0" applyNumberFormat="1" applyFont="1" applyFill="1" applyBorder="1" applyAlignment="1" applyProtection="1">
      <alignment horizontal="center" vertical="center" wrapText="1"/>
    </xf>
    <xf numFmtId="177" fontId="50" fillId="6" borderId="3" xfId="0" applyNumberFormat="1" applyFont="1" applyFill="1" applyBorder="1" applyAlignment="1" applyProtection="1">
      <alignment horizontal="center" vertical="center" wrapText="1"/>
    </xf>
    <xf numFmtId="177" fontId="50" fillId="6" borderId="5" xfId="0" applyNumberFormat="1" applyFont="1" applyFill="1" applyBorder="1" applyAlignment="1" applyProtection="1">
      <alignment horizontal="center" vertical="center" wrapText="1"/>
    </xf>
    <xf numFmtId="177"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80"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80" fontId="50" fillId="6" borderId="54" xfId="0" applyNumberFormat="1" applyFont="1" applyFill="1" applyBorder="1" applyAlignment="1" applyProtection="1">
      <alignment horizontal="center" vertical="center"/>
    </xf>
    <xf numFmtId="180"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80"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80"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80"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80"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80" fontId="50" fillId="6" borderId="7" xfId="0" applyNumberFormat="1" applyFont="1" applyFill="1" applyBorder="1" applyAlignment="1" applyProtection="1">
      <alignment horizontal="center" vertical="center" wrapText="1"/>
    </xf>
    <xf numFmtId="180" fontId="50" fillId="6" borderId="2" xfId="0" applyNumberFormat="1" applyFont="1" applyFill="1" applyBorder="1" applyAlignment="1" applyProtection="1">
      <alignment horizontal="center" vertical="center" wrapText="1"/>
    </xf>
    <xf numFmtId="180"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80"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7"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7"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7"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7"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7" fontId="53" fillId="6" borderId="29" xfId="1" applyNumberFormat="1" applyFont="1" applyFill="1" applyBorder="1" applyAlignment="1" applyProtection="1">
      <alignment horizontal="center" vertical="center"/>
    </xf>
    <xf numFmtId="177" fontId="53" fillId="6" borderId="20" xfId="1" applyNumberFormat="1" applyFont="1" applyFill="1" applyBorder="1" applyAlignment="1" applyProtection="1">
      <alignment horizontal="center" vertical="center"/>
    </xf>
    <xf numFmtId="177"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80"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7"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80"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7"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80"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80"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80"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1" fontId="54" fillId="6" borderId="6" xfId="1" applyNumberFormat="1" applyFont="1" applyFill="1" applyBorder="1" applyAlignment="1" applyProtection="1">
      <alignment horizontal="center" vertical="center" wrapText="1"/>
    </xf>
    <xf numFmtId="180"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8"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80"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8" fontId="50" fillId="6" borderId="23" xfId="1" applyNumberFormat="1" applyFont="1" applyFill="1" applyBorder="1" applyAlignment="1" applyProtection="1">
      <alignment horizontal="left" vertical="center"/>
    </xf>
    <xf numFmtId="178" fontId="47" fillId="6" borderId="1" xfId="1" applyNumberFormat="1" applyFont="1" applyFill="1" applyBorder="1" applyAlignment="1" applyProtection="1">
      <alignment vertical="center"/>
    </xf>
    <xf numFmtId="178"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8" fontId="47" fillId="6" borderId="23" xfId="1" applyNumberFormat="1" applyFont="1" applyFill="1" applyBorder="1" applyAlignment="1" applyProtection="1">
      <alignment horizontal="left" vertical="center" wrapText="1"/>
      <protection locked="0"/>
    </xf>
    <xf numFmtId="178"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7" fontId="54" fillId="6" borderId="6" xfId="1" applyNumberFormat="1" applyFont="1" applyFill="1" applyBorder="1" applyAlignment="1" applyProtection="1">
      <alignment vertical="center" wrapText="1"/>
    </xf>
    <xf numFmtId="177" fontId="54" fillId="6" borderId="23" xfId="1" applyNumberFormat="1" applyFont="1" applyFill="1" applyBorder="1" applyAlignment="1" applyProtection="1">
      <alignment vertical="center" wrapText="1"/>
    </xf>
    <xf numFmtId="177" fontId="47" fillId="6" borderId="23" xfId="1" applyNumberFormat="1" applyFont="1" applyFill="1" applyBorder="1" applyAlignment="1" applyProtection="1">
      <alignment vertical="center" wrapText="1"/>
    </xf>
    <xf numFmtId="177"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80"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2"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80"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80"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80" fontId="50" fillId="0" borderId="0" xfId="0" applyNumberFormat="1" applyFont="1" applyAlignment="1" applyProtection="1">
      <alignment vertical="center"/>
    </xf>
    <xf numFmtId="0" fontId="126" fillId="0" borderId="5" xfId="5" applyFont="1" applyBorder="1" applyAlignment="1">
      <alignment horizontal="right" vertical="center"/>
    </xf>
    <xf numFmtId="193"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5"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8"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7"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90" fontId="60" fillId="6" borderId="0" xfId="0" applyNumberFormat="1" applyFont="1" applyFill="1" applyBorder="1" applyAlignment="1" applyProtection="1">
      <alignment horizontal="center" vertical="center"/>
      <protection locked="0"/>
    </xf>
    <xf numFmtId="182"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90" fontId="47" fillId="6" borderId="21"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90" fontId="54" fillId="6" borderId="48" xfId="0" applyNumberFormat="1" applyFont="1" applyFill="1" applyBorder="1" applyAlignment="1" applyProtection="1">
      <alignment horizontal="center" vertical="center"/>
    </xf>
    <xf numFmtId="190" fontId="54" fillId="6" borderId="48" xfId="0" applyNumberFormat="1" applyFont="1" applyFill="1" applyBorder="1" applyAlignment="1" applyProtection="1">
      <alignment horizontal="center" vertical="center" wrapText="1"/>
    </xf>
    <xf numFmtId="190"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5"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8" fontId="56" fillId="6" borderId="15" xfId="0" applyNumberFormat="1" applyFont="1" applyFill="1" applyBorder="1" applyAlignment="1" applyProtection="1">
      <alignment horizontal="center" vertical="center" wrapText="1"/>
    </xf>
    <xf numFmtId="188"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8"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8"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88" fontId="105" fillId="6" borderId="1" xfId="0" applyNumberFormat="1" applyFont="1" applyFill="1" applyBorder="1" applyAlignment="1" applyProtection="1">
      <alignment horizontal="center" vertical="center"/>
    </xf>
    <xf numFmtId="178" fontId="120" fillId="6" borderId="1" xfId="0" applyNumberFormat="1" applyFont="1" applyFill="1" applyBorder="1" applyAlignment="1" applyProtection="1">
      <alignment horizontal="center" vertical="center"/>
    </xf>
    <xf numFmtId="188" fontId="120" fillId="6" borderId="1" xfId="0" applyNumberFormat="1" applyFont="1" applyFill="1" applyBorder="1" applyAlignment="1" applyProtection="1">
      <alignment horizontal="center" vertical="center" wrapText="1"/>
    </xf>
    <xf numFmtId="187" fontId="105" fillId="6" borderId="2" xfId="0" applyNumberFormat="1" applyFont="1" applyFill="1" applyBorder="1" applyAlignment="1" applyProtection="1">
      <alignment horizontal="center" vertical="center" wrapText="1"/>
    </xf>
    <xf numFmtId="180"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3"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78" fontId="80" fillId="0" borderId="1" xfId="1" applyNumberFormat="1" applyFont="1" applyFill="1" applyBorder="1" applyAlignment="1" applyProtection="1">
      <alignment vertical="center"/>
      <protection locked="0" hidden="1"/>
    </xf>
    <xf numFmtId="0" fontId="254" fillId="0" borderId="9"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left" vertical="center" wrapText="1"/>
      <protection locked="0"/>
    </xf>
    <xf numFmtId="0" fontId="137" fillId="0" borderId="41"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254" fillId="2" borderId="23" xfId="0" applyNumberFormat="1" applyFont="1" applyFill="1" applyBorder="1" applyAlignment="1" applyProtection="1">
      <alignment horizontal="center" vertical="center" wrapText="1"/>
      <protection locked="0"/>
    </xf>
    <xf numFmtId="9" fontId="22" fillId="2" borderId="37"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2" fillId="0" borderId="3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56" fillId="17" borderId="0" xfId="0" applyFont="1" applyFill="1" applyBorder="1" applyAlignment="1" applyProtection="1">
      <alignment horizontal="center" vertical="center"/>
      <protection locked="0"/>
    </xf>
    <xf numFmtId="0" fontId="108" fillId="17" borderId="82" xfId="0" applyFont="1" applyFill="1" applyBorder="1" applyAlignment="1" applyProtection="1">
      <alignment horizontal="center" vertical="center"/>
    </xf>
    <xf numFmtId="0" fontId="6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5" borderId="1" xfId="0" applyFont="1" applyFill="1" applyBorder="1" applyAlignment="1" applyProtection="1">
      <alignment horizontal="left" vertical="center" wrapText="1"/>
      <protection locked="0"/>
    </xf>
    <xf numFmtId="0" fontId="47" fillId="7" borderId="24" xfId="0" applyFont="1" applyFill="1" applyBorder="1" applyAlignment="1" applyProtection="1">
      <alignment vertical="center"/>
      <protection locked="0"/>
    </xf>
    <xf numFmtId="10" fontId="47" fillId="5" borderId="61" xfId="0" applyNumberFormat="1" applyFont="1" applyFill="1" applyBorder="1" applyAlignment="1" applyProtection="1">
      <alignment horizontal="center" vertical="center"/>
      <protection locked="0"/>
    </xf>
    <xf numFmtId="0" fontId="98" fillId="0" borderId="5" xfId="0" applyFont="1" applyFill="1" applyBorder="1" applyAlignment="1" applyProtection="1">
      <alignment horizontal="center" vertical="center"/>
      <protection locked="0"/>
    </xf>
    <xf numFmtId="0" fontId="98" fillId="0" borderId="23" xfId="0" applyNumberFormat="1"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50" fillId="7" borderId="2" xfId="0" applyFont="1" applyFill="1" applyBorder="1" applyAlignment="1" applyProtection="1">
      <alignment vertical="center" wrapText="1"/>
      <protection locked="0"/>
    </xf>
    <xf numFmtId="0" fontId="122" fillId="6" borderId="0" xfId="0" applyFont="1" applyFill="1" applyAlignment="1" applyProtection="1">
      <alignment horizontal="left" vertical="center"/>
      <protection locked="0"/>
    </xf>
    <xf numFmtId="177" fontId="50" fillId="7" borderId="1" xfId="0" applyNumberFormat="1" applyFont="1" applyFill="1" applyBorder="1" applyAlignment="1" applyProtection="1">
      <alignment vertical="center" wrapText="1"/>
      <protection locked="0"/>
    </xf>
    <xf numFmtId="177" fontId="47" fillId="7" borderId="1" xfId="0" applyNumberFormat="1" applyFont="1" applyFill="1" applyBorder="1" applyAlignment="1" applyProtection="1">
      <alignment vertical="center" wrapText="1"/>
      <protection locked="0"/>
    </xf>
    <xf numFmtId="177" fontId="50" fillId="7" borderId="1" xfId="0" applyNumberFormat="1" applyFont="1" applyFill="1" applyBorder="1" applyAlignment="1" applyProtection="1">
      <alignment horizontal="center" vertical="center" wrapText="1"/>
      <protection locked="0"/>
    </xf>
    <xf numFmtId="177" fontId="47" fillId="7" borderId="1" xfId="0" applyNumberFormat="1" applyFont="1" applyFill="1" applyBorder="1" applyAlignment="1" applyProtection="1">
      <alignment horizontal="center" vertical="center" wrapText="1"/>
      <protection locked="0"/>
    </xf>
    <xf numFmtId="0" fontId="99" fillId="9" borderId="0" xfId="0" applyFont="1" applyFill="1">
      <alignment vertical="center"/>
    </xf>
    <xf numFmtId="9" fontId="50" fillId="7" borderId="5" xfId="0" applyNumberFormat="1" applyFont="1" applyFill="1" applyBorder="1" applyAlignment="1" applyProtection="1">
      <alignment horizontal="center" vertical="center"/>
      <protection locked="0"/>
    </xf>
    <xf numFmtId="9" fontId="47" fillId="7" borderId="5" xfId="0" applyNumberFormat="1" applyFont="1" applyFill="1" applyBorder="1" applyAlignment="1" applyProtection="1">
      <alignment horizontal="center" vertical="center"/>
      <protection locked="0"/>
    </xf>
    <xf numFmtId="0" fontId="108" fillId="5" borderId="82" xfId="0" applyFont="1" applyFill="1" applyBorder="1" applyAlignment="1" applyProtection="1">
      <alignment horizontal="center" vertical="center"/>
    </xf>
    <xf numFmtId="0" fontId="243" fillId="7" borderId="0" xfId="0" applyFont="1" applyFill="1" applyAlignment="1" applyProtection="1">
      <alignment vertical="center"/>
      <protection locked="0"/>
    </xf>
    <xf numFmtId="0" fontId="47" fillId="17" borderId="1" xfId="0" applyNumberFormat="1" applyFont="1" applyFill="1" applyBorder="1" applyAlignment="1" applyProtection="1">
      <alignment horizontal="center" vertical="center" wrapText="1"/>
      <protection locked="0"/>
    </xf>
    <xf numFmtId="0" fontId="47" fillId="17" borderId="32" xfId="0" applyNumberFormat="1" applyFont="1" applyFill="1" applyBorder="1" applyAlignment="1" applyProtection="1">
      <alignment horizontal="center" vertical="center" wrapText="1"/>
      <protection locked="0"/>
    </xf>
    <xf numFmtId="0" fontId="54" fillId="17" borderId="32" xfId="0" applyNumberFormat="1" applyFont="1" applyFill="1" applyBorder="1" applyAlignment="1" applyProtection="1">
      <alignment horizontal="center" vertical="center" wrapText="1"/>
      <protection locked="0"/>
    </xf>
    <xf numFmtId="0" fontId="80" fillId="7" borderId="1" xfId="0" applyFont="1" applyFill="1" applyBorder="1" applyAlignment="1" applyProtection="1">
      <alignment vertical="center" wrapText="1"/>
      <protection locked="0"/>
    </xf>
    <xf numFmtId="0" fontId="80" fillId="7" borderId="2" xfId="0" applyFont="1" applyFill="1" applyBorder="1" applyAlignment="1" applyProtection="1">
      <alignment vertical="center" wrapText="1"/>
      <protection locked="0"/>
    </xf>
    <xf numFmtId="0" fontId="47" fillId="7" borderId="2" xfId="0" applyFont="1" applyFill="1" applyBorder="1" applyAlignment="1" applyProtection="1">
      <alignment horizontal="center" vertical="center" wrapText="1"/>
      <protection locked="0"/>
    </xf>
    <xf numFmtId="0" fontId="56" fillId="7" borderId="49" xfId="1" applyNumberFormat="1" applyFont="1" applyFill="1" applyBorder="1" applyAlignment="1" applyProtection="1">
      <alignment horizontal="center" vertical="center"/>
      <protection locked="0"/>
    </xf>
    <xf numFmtId="182" fontId="50" fillId="7" borderId="8" xfId="0" applyNumberFormat="1" applyFont="1" applyFill="1" applyBorder="1" applyAlignment="1" applyProtection="1">
      <alignment horizontal="center" vertical="center"/>
      <protection locked="0"/>
    </xf>
    <xf numFmtId="10" fontId="50" fillId="7" borderId="1" xfId="1" applyNumberFormat="1" applyFont="1" applyFill="1" applyBorder="1" applyAlignment="1" applyProtection="1">
      <alignment horizontal="center" vertical="center"/>
      <protection locked="0"/>
    </xf>
    <xf numFmtId="0" fontId="47" fillId="7" borderId="23" xfId="0" applyFont="1" applyFill="1" applyBorder="1" applyAlignment="1" applyProtection="1">
      <alignment vertical="center"/>
      <protection locked="0"/>
    </xf>
    <xf numFmtId="0" fontId="50" fillId="7" borderId="23" xfId="0" applyFont="1" applyFill="1" applyBorder="1" applyAlignment="1" applyProtection="1">
      <alignment vertical="center"/>
      <protection locked="0"/>
    </xf>
    <xf numFmtId="182" fontId="47" fillId="7" borderId="24" xfId="0" applyNumberFormat="1" applyFont="1" applyFill="1" applyBorder="1" applyAlignment="1" applyProtection="1">
      <alignment vertical="center"/>
      <protection locked="0"/>
    </xf>
    <xf numFmtId="0" fontId="47" fillId="7" borderId="23" xfId="0" applyNumberFormat="1" applyFont="1" applyFill="1" applyBorder="1" applyAlignment="1" applyProtection="1">
      <alignment horizontal="center" vertical="center" wrapText="1"/>
      <protection locked="0"/>
    </xf>
    <xf numFmtId="0" fontId="64" fillId="7" borderId="3" xfId="0" applyNumberFormat="1" applyFont="1" applyFill="1" applyBorder="1" applyAlignment="1" applyProtection="1">
      <alignment horizontal="center" vertical="center" wrapText="1"/>
      <protection locked="0"/>
    </xf>
    <xf numFmtId="0" fontId="258" fillId="0" borderId="0" xfId="22" applyFont="1" applyBorder="1" applyAlignment="1">
      <alignment horizontal="center" vertical="center"/>
    </xf>
    <xf numFmtId="49" fontId="259" fillId="7" borderId="1" xfId="22" applyNumberFormat="1" applyFont="1" applyFill="1" applyBorder="1" applyAlignment="1">
      <alignment horizontal="center" vertical="center" wrapText="1"/>
    </xf>
    <xf numFmtId="0" fontId="259" fillId="7" borderId="1" xfId="22" applyFont="1" applyFill="1" applyBorder="1" applyAlignment="1">
      <alignment horizontal="center" vertical="center" wrapText="1"/>
    </xf>
    <xf numFmtId="187" fontId="259" fillId="7" borderId="1" xfId="23" applyNumberFormat="1" applyFont="1" applyFill="1" applyBorder="1" applyAlignment="1">
      <alignment horizontal="center" vertical="center" wrapText="1"/>
    </xf>
    <xf numFmtId="180" fontId="259" fillId="7" borderId="1" xfId="23" applyNumberFormat="1" applyFont="1" applyFill="1" applyBorder="1" applyAlignment="1">
      <alignment horizontal="center" vertical="center" wrapText="1"/>
    </xf>
    <xf numFmtId="0" fontId="259" fillId="0" borderId="1" xfId="22" applyFont="1" applyBorder="1" applyAlignment="1">
      <alignment horizontal="center" vertical="center"/>
    </xf>
    <xf numFmtId="49" fontId="260" fillId="0" borderId="1" xfId="22" applyNumberFormat="1" applyFont="1" applyFill="1" applyBorder="1" applyAlignment="1">
      <alignment horizontal="center" vertical="center"/>
    </xf>
    <xf numFmtId="0" fontId="260" fillId="0" borderId="1" xfId="22" applyFont="1" applyFill="1" applyBorder="1" applyAlignment="1">
      <alignment horizontal="center" vertical="center"/>
    </xf>
    <xf numFmtId="0" fontId="260" fillId="0" borderId="1" xfId="24" applyNumberFormat="1" applyFont="1" applyFill="1" applyBorder="1" applyAlignment="1" applyProtection="1">
      <alignment horizontal="center" vertical="center"/>
    </xf>
    <xf numFmtId="198" fontId="260" fillId="0" borderId="5" xfId="24" applyNumberFormat="1" applyFont="1" applyFill="1" applyBorder="1" applyAlignment="1" applyProtection="1">
      <alignment horizontal="center" vertical="center"/>
    </xf>
    <xf numFmtId="0" fontId="260" fillId="0" borderId="1" xfId="22" applyFont="1" applyBorder="1" applyAlignment="1">
      <alignment horizontal="center" vertical="center"/>
    </xf>
    <xf numFmtId="0" fontId="260" fillId="0" borderId="1" xfId="25" applyNumberFormat="1" applyFont="1" applyFill="1" applyBorder="1" applyAlignment="1" applyProtection="1">
      <alignment horizontal="center" vertical="center"/>
    </xf>
    <xf numFmtId="198" fontId="260" fillId="0" borderId="5" xfId="25" applyNumberFormat="1" applyFont="1" applyFill="1" applyBorder="1" applyAlignment="1" applyProtection="1">
      <alignment horizontal="center" vertical="center"/>
    </xf>
    <xf numFmtId="0" fontId="261" fillId="0" borderId="1" xfId="22" applyFont="1" applyFill="1" applyBorder="1" applyAlignment="1">
      <alignment horizontal="center" vertical="center"/>
    </xf>
    <xf numFmtId="0" fontId="260" fillId="0" borderId="1" xfId="24" applyFont="1" applyBorder="1" applyAlignment="1">
      <alignment horizontal="center" vertical="center"/>
    </xf>
    <xf numFmtId="0" fontId="260" fillId="7" borderId="1" xfId="24" applyFont="1" applyFill="1" applyBorder="1" applyAlignment="1">
      <alignment horizontal="center" vertical="center"/>
    </xf>
    <xf numFmtId="198" fontId="260" fillId="7" borderId="5" xfId="25" applyNumberFormat="1" applyFont="1" applyFill="1" applyBorder="1" applyAlignment="1" applyProtection="1">
      <alignment horizontal="center" vertical="center"/>
    </xf>
    <xf numFmtId="198" fontId="260" fillId="0" borderId="5" xfId="26" applyNumberFormat="1" applyFont="1" applyFill="1" applyBorder="1" applyAlignment="1" applyProtection="1">
      <alignment horizontal="center" vertical="center"/>
    </xf>
    <xf numFmtId="0" fontId="262" fillId="0" borderId="1" xfId="22" applyNumberFormat="1" applyFont="1" applyFill="1" applyBorder="1" applyAlignment="1" applyProtection="1">
      <alignment horizontal="center" vertical="center"/>
    </xf>
    <xf numFmtId="198" fontId="262" fillId="0" borderId="5" xfId="22" applyNumberFormat="1" applyFont="1" applyFill="1" applyBorder="1" applyAlignment="1" applyProtection="1">
      <alignment horizontal="center" vertical="center"/>
    </xf>
    <xf numFmtId="0" fontId="261" fillId="0" borderId="1" xfId="22" applyFont="1" applyBorder="1" applyAlignment="1">
      <alignment horizontal="center" vertical="center"/>
    </xf>
    <xf numFmtId="0" fontId="262" fillId="0" borderId="1" xfId="27" applyNumberFormat="1" applyFont="1" applyFill="1" applyBorder="1" applyAlignment="1" applyProtection="1">
      <alignment horizontal="center" vertical="center"/>
    </xf>
    <xf numFmtId="198" fontId="262" fillId="0" borderId="5" xfId="28" applyNumberFormat="1" applyFont="1" applyFill="1" applyBorder="1" applyAlignment="1" applyProtection="1">
      <alignment horizontal="center" vertical="center"/>
    </xf>
    <xf numFmtId="49" fontId="261" fillId="0" borderId="1" xfId="22" applyNumberFormat="1" applyFont="1" applyFill="1" applyBorder="1" applyAlignment="1">
      <alignment horizontal="center" vertical="center"/>
    </xf>
    <xf numFmtId="0" fontId="261" fillId="0" borderId="1" xfId="24" applyFont="1" applyBorder="1" applyAlignment="1">
      <alignment horizontal="center" vertical="center"/>
    </xf>
    <xf numFmtId="0" fontId="263" fillId="0" borderId="1" xfId="27" applyNumberFormat="1" applyFont="1" applyFill="1" applyBorder="1" applyAlignment="1" applyProtection="1">
      <alignment horizontal="center" vertical="center"/>
    </xf>
    <xf numFmtId="198" fontId="263" fillId="0" borderId="5" xfId="28" applyNumberFormat="1" applyFont="1" applyFill="1" applyBorder="1" applyAlignment="1" applyProtection="1">
      <alignment horizontal="center" vertical="center"/>
    </xf>
    <xf numFmtId="0" fontId="262" fillId="0" borderId="1" xfId="29" applyNumberFormat="1" applyFont="1" applyFill="1" applyBorder="1" applyAlignment="1" applyProtection="1">
      <alignment horizontal="center" vertical="center"/>
    </xf>
    <xf numFmtId="198" fontId="262" fillId="0" borderId="5" xfId="30" applyNumberFormat="1" applyFont="1" applyFill="1" applyBorder="1" applyAlignment="1" applyProtection="1">
      <alignment horizontal="center" vertical="center"/>
    </xf>
    <xf numFmtId="198" fontId="262" fillId="7" borderId="5" xfId="22" applyNumberFormat="1" applyFont="1" applyFill="1" applyBorder="1" applyAlignment="1" applyProtection="1">
      <alignment horizontal="center" vertical="center"/>
    </xf>
    <xf numFmtId="0" fontId="262" fillId="0" borderId="1" xfId="31" applyNumberFormat="1" applyFont="1" applyFill="1" applyBorder="1" applyAlignment="1" applyProtection="1">
      <alignment horizontal="center" vertical="center"/>
    </xf>
    <xf numFmtId="198" fontId="262" fillId="0" borderId="5" xfId="32" applyNumberFormat="1" applyFont="1" applyFill="1" applyBorder="1" applyAlignment="1" applyProtection="1">
      <alignment horizontal="center" vertical="center"/>
    </xf>
    <xf numFmtId="49" fontId="260" fillId="0" borderId="1" xfId="22" applyNumberFormat="1" applyFont="1" applyBorder="1" applyAlignment="1">
      <alignment horizontal="center" vertical="center"/>
    </xf>
    <xf numFmtId="198" fontId="260" fillId="0" borderId="5" xfId="22" applyNumberFormat="1" applyFont="1" applyBorder="1" applyAlignment="1">
      <alignment horizontal="center" vertical="center"/>
    </xf>
    <xf numFmtId="0" fontId="99" fillId="0" borderId="0" xfId="22">
      <alignment vertical="center"/>
    </xf>
    <xf numFmtId="0" fontId="99" fillId="9" borderId="1" xfId="4546" applyFont="1" applyFill="1" applyBorder="1" applyAlignment="1">
      <alignment horizontal="left" vertical="center"/>
    </xf>
    <xf numFmtId="0" fontId="99" fillId="0" borderId="1" xfId="4546" applyBorder="1" applyAlignment="1">
      <alignment horizontal="left" vertical="center"/>
    </xf>
    <xf numFmtId="0" fontId="99" fillId="9" borderId="1" xfId="4546" applyFont="1" applyFill="1" applyBorder="1" applyAlignment="1">
      <alignment horizontal="left" vertical="center" wrapText="1"/>
    </xf>
    <xf numFmtId="0" fontId="99" fillId="0" borderId="0" xfId="4546">
      <alignment vertical="center"/>
    </xf>
    <xf numFmtId="0" fontId="99" fillId="0" borderId="1" xfId="4546" applyFont="1" applyBorder="1" applyAlignment="1">
      <alignment horizontal="left" vertical="center"/>
    </xf>
    <xf numFmtId="0" fontId="99" fillId="9" borderId="1" xfId="4546" applyFill="1" applyBorder="1" applyAlignment="1">
      <alignment horizontal="left" vertical="center"/>
    </xf>
    <xf numFmtId="0" fontId="99" fillId="9" borderId="1" xfId="4546" applyNumberFormat="1" applyFont="1" applyFill="1" applyBorder="1" applyAlignment="1">
      <alignment horizontal="left" vertical="center"/>
    </xf>
    <xf numFmtId="0" fontId="99" fillId="0" borderId="1" xfId="4546" applyFont="1" applyBorder="1">
      <alignment vertical="center"/>
    </xf>
    <xf numFmtId="0" fontId="99" fillId="0" borderId="1" xfId="4546" applyBorder="1">
      <alignment vertical="center"/>
    </xf>
    <xf numFmtId="0" fontId="279" fillId="0" borderId="1" xfId="4546" applyFont="1" applyBorder="1" applyAlignment="1">
      <alignment horizontal="left" vertical="center"/>
    </xf>
    <xf numFmtId="0" fontId="99" fillId="0" borderId="1" xfId="4546" applyNumberFormat="1" applyFont="1" applyFill="1" applyBorder="1" applyAlignment="1">
      <alignment horizontal="left" vertical="center"/>
    </xf>
    <xf numFmtId="0" fontId="99" fillId="0" borderId="1" xfId="4546" applyFill="1" applyBorder="1" applyAlignment="1">
      <alignment horizontal="left" vertical="center"/>
    </xf>
    <xf numFmtId="0" fontId="101" fillId="0" borderId="1" xfId="4546" applyFont="1" applyBorder="1" applyAlignment="1">
      <alignment horizontal="left" vertical="center"/>
    </xf>
    <xf numFmtId="0" fontId="279" fillId="0" borderId="1" xfId="4546" applyFont="1" applyFill="1" applyBorder="1" applyAlignment="1">
      <alignment horizontal="left" vertical="center"/>
    </xf>
    <xf numFmtId="0" fontId="99" fillId="0" borderId="1" xfId="4546" applyFont="1" applyFill="1" applyBorder="1" applyAlignment="1">
      <alignment horizontal="left" vertical="center"/>
    </xf>
    <xf numFmtId="0" fontId="101" fillId="0" borderId="1" xfId="4546" applyFont="1" applyFill="1" applyBorder="1">
      <alignment vertical="center"/>
    </xf>
    <xf numFmtId="0" fontId="101" fillId="0" borderId="1" xfId="4546" applyFont="1" applyBorder="1">
      <alignment vertical="center"/>
    </xf>
    <xf numFmtId="0" fontId="99" fillId="0" borderId="1" xfId="4546" applyFont="1" applyFill="1" applyBorder="1" applyAlignment="1">
      <alignment horizontal="left" vertical="center" wrapText="1"/>
    </xf>
    <xf numFmtId="0" fontId="101" fillId="0" borderId="1" xfId="4546" applyNumberFormat="1" applyFont="1" applyFill="1" applyBorder="1" applyAlignment="1">
      <alignment horizontal="left" vertical="center"/>
    </xf>
    <xf numFmtId="0" fontId="99" fillId="0" borderId="5" xfId="4546" applyBorder="1" applyAlignment="1">
      <alignment horizontal="left" vertical="center"/>
    </xf>
    <xf numFmtId="0" fontId="99" fillId="7" borderId="1" xfId="4546" applyFont="1" applyFill="1" applyBorder="1" applyAlignment="1">
      <alignment horizontal="left" vertical="center"/>
    </xf>
    <xf numFmtId="0" fontId="99" fillId="9" borderId="0" xfId="4546" applyFont="1" applyFill="1">
      <alignment vertical="center"/>
    </xf>
    <xf numFmtId="0" fontId="99" fillId="9" borderId="13" xfId="4546" applyFont="1" applyFill="1" applyBorder="1" applyAlignment="1">
      <alignment horizontal="left" vertical="center"/>
    </xf>
    <xf numFmtId="0" fontId="99" fillId="9" borderId="13" xfId="4546" applyFont="1" applyFill="1" applyBorder="1" applyAlignment="1">
      <alignment horizontal="left" vertical="center" wrapText="1"/>
    </xf>
    <xf numFmtId="0" fontId="99" fillId="9" borderId="1" xfId="4546" applyFont="1" applyFill="1" applyBorder="1">
      <alignment vertical="center"/>
    </xf>
    <xf numFmtId="0" fontId="257" fillId="0" borderId="1" xfId="4546" applyFont="1" applyBorder="1" applyAlignment="1">
      <alignment vertical="center" wrapText="1"/>
    </xf>
    <xf numFmtId="0" fontId="257" fillId="0" borderId="1" xfId="4546" applyFont="1" applyBorder="1">
      <alignment vertical="center"/>
    </xf>
    <xf numFmtId="0" fontId="56" fillId="0" borderId="0" xfId="17"/>
    <xf numFmtId="0" fontId="56" fillId="0" borderId="1" xfId="17" applyBorder="1" applyAlignment="1">
      <alignment horizontal="left"/>
    </xf>
    <xf numFmtId="0" fontId="56" fillId="9" borderId="1" xfId="17" applyFill="1" applyBorder="1" applyAlignment="1">
      <alignment horizontal="left"/>
    </xf>
    <xf numFmtId="0" fontId="56" fillId="7" borderId="1" xfId="17" applyFill="1" applyBorder="1" applyAlignment="1">
      <alignment horizontal="left"/>
    </xf>
    <xf numFmtId="0" fontId="99" fillId="0" borderId="0" xfId="0" applyFont="1">
      <alignment vertical="center"/>
    </xf>
    <xf numFmtId="0" fontId="99" fillId="7" borderId="0" xfId="0" applyFont="1" applyFill="1">
      <alignment vertical="center"/>
    </xf>
    <xf numFmtId="0" fontId="280" fillId="0" borderId="0" xfId="0" applyFont="1">
      <alignment vertical="center"/>
    </xf>
    <xf numFmtId="0" fontId="280" fillId="0" borderId="0" xfId="0" applyFont="1" applyAlignment="1">
      <alignment vertical="center"/>
    </xf>
    <xf numFmtId="198" fontId="170" fillId="0" borderId="0" xfId="12" applyNumberFormat="1"/>
    <xf numFmtId="181" fontId="170" fillId="0" borderId="0" xfId="12" applyNumberFormat="1"/>
    <xf numFmtId="177" fontId="47" fillId="9" borderId="24" xfId="1" applyNumberFormat="1" applyFont="1" applyFill="1" applyBorder="1" applyAlignment="1" applyProtection="1">
      <alignment horizontal="center" vertical="center"/>
      <protection locked="0"/>
    </xf>
    <xf numFmtId="0" fontId="47" fillId="9" borderId="23" xfId="0" applyFont="1" applyFill="1" applyBorder="1" applyAlignment="1" applyProtection="1">
      <alignment vertical="center"/>
      <protection locked="0"/>
    </xf>
    <xf numFmtId="178" fontId="50" fillId="9" borderId="1" xfId="1" applyNumberFormat="1" applyFont="1" applyFill="1" applyBorder="1" applyAlignment="1" applyProtection="1">
      <alignment horizontal="center" vertical="center"/>
      <protection locked="0"/>
    </xf>
    <xf numFmtId="0" fontId="54" fillId="9" borderId="41" xfId="0" applyNumberFormat="1" applyFont="1" applyFill="1" applyBorder="1" applyAlignment="1" applyProtection="1">
      <alignment horizontal="center" vertical="center" wrapText="1"/>
      <protection locked="0"/>
    </xf>
    <xf numFmtId="0" fontId="54" fillId="9" borderId="10" xfId="0" applyNumberFormat="1" applyFont="1" applyFill="1" applyBorder="1" applyAlignment="1" applyProtection="1">
      <alignment horizontal="center" vertical="center" wrapText="1"/>
    </xf>
    <xf numFmtId="10" fontId="50" fillId="9" borderId="1" xfId="1" applyNumberFormat="1" applyFont="1" applyFill="1" applyBorder="1" applyAlignment="1" applyProtection="1">
      <alignment horizontal="center" vertical="center"/>
      <protection locked="0"/>
    </xf>
    <xf numFmtId="9" fontId="50" fillId="9" borderId="5" xfId="0"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3"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3" fontId="64" fillId="0" borderId="5" xfId="0" applyNumberFormat="1" applyFont="1" applyFill="1" applyBorder="1" applyAlignment="1" applyProtection="1">
      <alignment horizontal="center" vertical="center" wrapText="1"/>
    </xf>
    <xf numFmtId="183" fontId="64" fillId="0" borderId="54" xfId="0" applyNumberFormat="1" applyFont="1" applyFill="1" applyBorder="1" applyAlignment="1" applyProtection="1">
      <alignment horizontal="center" vertical="center" wrapText="1"/>
    </xf>
    <xf numFmtId="183"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3"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5"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258" fillId="0" borderId="0" xfId="22"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24"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3"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3" fontId="47" fillId="6" borderId="5" xfId="0" applyNumberFormat="1" applyFont="1" applyFill="1" applyBorder="1" applyAlignment="1" applyProtection="1">
      <alignment horizontal="center" vertical="center" wrapText="1"/>
    </xf>
    <xf numFmtId="183" fontId="47" fillId="6" borderId="3" xfId="0" applyNumberFormat="1" applyFont="1" applyFill="1" applyBorder="1" applyAlignment="1" applyProtection="1">
      <alignment horizontal="center" vertical="center" wrapText="1"/>
    </xf>
    <xf numFmtId="183"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7"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7"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20111">
    <cellStyle name="20% - 强调文字颜色 1 2" xfId="33"/>
    <cellStyle name="20% - 强调文字颜色 1 2 10" xfId="34"/>
    <cellStyle name="20% - 强调文字颜色 1 2 11" xfId="35"/>
    <cellStyle name="20% - 强调文字颜色 1 2 12" xfId="36"/>
    <cellStyle name="20% - 强调文字颜色 1 2 13" xfId="37"/>
    <cellStyle name="20% - 强调文字颜色 1 2 14" xfId="38"/>
    <cellStyle name="20% - 强调文字颜色 1 2 15" xfId="39"/>
    <cellStyle name="20% - 强调文字颜色 1 2 16" xfId="40"/>
    <cellStyle name="20% - 强调文字颜色 1 2 17" xfId="41"/>
    <cellStyle name="20% - 强调文字颜色 1 2 18" xfId="42"/>
    <cellStyle name="20% - 强调文字颜色 1 2 19" xfId="43"/>
    <cellStyle name="20% - 强调文字颜色 1 2 2" xfId="44"/>
    <cellStyle name="20% - 强调文字颜色 1 2 2 2" xfId="45"/>
    <cellStyle name="20% - 强调文字颜色 1 2 2 3" xfId="46"/>
    <cellStyle name="20% - 强调文字颜色 1 2 2 4" xfId="47"/>
    <cellStyle name="20% - 强调文字颜色 1 2 2 4 2" xfId="48"/>
    <cellStyle name="20% - 强调文字颜色 1 2 2 5" xfId="49"/>
    <cellStyle name="20% - 强调文字颜色 1 2 20" xfId="50"/>
    <cellStyle name="20% - 强调文字颜色 1 2 21" xfId="51"/>
    <cellStyle name="20% - 强调文字颜色 1 2 22" xfId="52"/>
    <cellStyle name="20% - 强调文字颜色 1 2 23" xfId="53"/>
    <cellStyle name="20% - 强调文字颜色 1 2 3" xfId="54"/>
    <cellStyle name="20% - 强调文字颜色 1 2 4" xfId="55"/>
    <cellStyle name="20% - 强调文字颜色 1 2 5" xfId="56"/>
    <cellStyle name="20% - 强调文字颜色 1 2 6" xfId="57"/>
    <cellStyle name="20% - 强调文字颜色 1 2 7" xfId="58"/>
    <cellStyle name="20% - 强调文字颜色 1 2 8" xfId="59"/>
    <cellStyle name="20% - 强调文字颜色 1 2 9" xfId="60"/>
    <cellStyle name="20% - 强调文字颜色 1 3" xfId="61"/>
    <cellStyle name="20% - 强调文字颜色 1 3 10" xfId="62"/>
    <cellStyle name="20% - 强调文字颜色 1 3 11" xfId="63"/>
    <cellStyle name="20% - 强调文字颜色 1 3 12" xfId="64"/>
    <cellStyle name="20% - 强调文字颜色 1 3 13" xfId="65"/>
    <cellStyle name="20% - 强调文字颜色 1 3 14" xfId="66"/>
    <cellStyle name="20% - 强调文字颜色 1 3 15" xfId="67"/>
    <cellStyle name="20% - 强调文字颜色 1 3 16" xfId="68"/>
    <cellStyle name="20% - 强调文字颜色 1 3 17" xfId="69"/>
    <cellStyle name="20% - 强调文字颜色 1 3 18" xfId="70"/>
    <cellStyle name="20% - 强调文字颜色 1 3 19" xfId="71"/>
    <cellStyle name="20% - 强调文字颜色 1 3 2" xfId="72"/>
    <cellStyle name="20% - 强调文字颜色 1 3 2 2" xfId="73"/>
    <cellStyle name="20% - 强调文字颜色 1 3 2 3" xfId="74"/>
    <cellStyle name="20% - 强调文字颜色 1 3 2 4" xfId="75"/>
    <cellStyle name="20% - 强调文字颜色 1 3 2 4 2" xfId="76"/>
    <cellStyle name="20% - 强调文字颜色 1 3 2 5" xfId="77"/>
    <cellStyle name="20% - 强调文字颜色 1 3 20" xfId="78"/>
    <cellStyle name="20% - 强调文字颜色 1 3 21" xfId="79"/>
    <cellStyle name="20% - 强调文字颜色 1 3 22" xfId="80"/>
    <cellStyle name="20% - 强调文字颜色 1 3 23" xfId="81"/>
    <cellStyle name="20% - 强调文字颜色 1 3 3" xfId="82"/>
    <cellStyle name="20% - 强调文字颜色 1 3 4" xfId="83"/>
    <cellStyle name="20% - 强调文字颜色 1 3 5" xfId="84"/>
    <cellStyle name="20% - 强调文字颜色 1 3 6" xfId="85"/>
    <cellStyle name="20% - 强调文字颜色 1 3 7" xfId="86"/>
    <cellStyle name="20% - 强调文字颜色 1 3 8" xfId="87"/>
    <cellStyle name="20% - 强调文字颜色 1 3 9" xfId="88"/>
    <cellStyle name="20% - 强调文字颜色 1 4" xfId="89"/>
    <cellStyle name="20% - 强调文字颜色 1 4 10" xfId="90"/>
    <cellStyle name="20% - 强调文字颜色 1 4 11" xfId="91"/>
    <cellStyle name="20% - 强调文字颜色 1 4 12" xfId="92"/>
    <cellStyle name="20% - 强调文字颜色 1 4 13" xfId="93"/>
    <cellStyle name="20% - 强调文字颜色 1 4 14" xfId="94"/>
    <cellStyle name="20% - 强调文字颜色 1 4 15" xfId="95"/>
    <cellStyle name="20% - 强调文字颜色 1 4 16" xfId="96"/>
    <cellStyle name="20% - 强调文字颜色 1 4 17" xfId="97"/>
    <cellStyle name="20% - 强调文字颜色 1 4 18" xfId="98"/>
    <cellStyle name="20% - 强调文字颜色 1 4 19" xfId="99"/>
    <cellStyle name="20% - 强调文字颜色 1 4 2" xfId="100"/>
    <cellStyle name="20% - 强调文字颜色 1 4 2 2" xfId="101"/>
    <cellStyle name="20% - 强调文字颜色 1 4 2 3" xfId="102"/>
    <cellStyle name="20% - 强调文字颜色 1 4 2 4" xfId="103"/>
    <cellStyle name="20% - 强调文字颜色 1 4 2 4 2" xfId="104"/>
    <cellStyle name="20% - 强调文字颜色 1 4 2 5" xfId="105"/>
    <cellStyle name="20% - 强调文字颜色 1 4 20" xfId="106"/>
    <cellStyle name="20% - 强调文字颜色 1 4 21" xfId="107"/>
    <cellStyle name="20% - 强调文字颜色 1 4 22" xfId="108"/>
    <cellStyle name="20% - 强调文字颜色 1 4 23" xfId="109"/>
    <cellStyle name="20% - 强调文字颜色 1 4 3" xfId="110"/>
    <cellStyle name="20% - 强调文字颜色 1 4 4" xfId="111"/>
    <cellStyle name="20% - 强调文字颜色 1 4 5" xfId="112"/>
    <cellStyle name="20% - 强调文字颜色 1 4 6" xfId="113"/>
    <cellStyle name="20% - 强调文字颜色 1 4 7" xfId="114"/>
    <cellStyle name="20% - 强调文字颜色 1 4 8" xfId="115"/>
    <cellStyle name="20% - 强调文字颜色 1 4 9" xfId="116"/>
    <cellStyle name="20% - 强调文字颜色 1 5" xfId="117"/>
    <cellStyle name="20% - 强调文字颜色 1 5 10" xfId="118"/>
    <cellStyle name="20% - 强调文字颜色 1 5 11" xfId="119"/>
    <cellStyle name="20% - 强调文字颜色 1 5 12" xfId="120"/>
    <cellStyle name="20% - 强调文字颜色 1 5 13" xfId="121"/>
    <cellStyle name="20% - 强调文字颜色 1 5 14" xfId="122"/>
    <cellStyle name="20% - 强调文字颜色 1 5 15" xfId="123"/>
    <cellStyle name="20% - 强调文字颜色 1 5 16" xfId="124"/>
    <cellStyle name="20% - 强调文字颜色 1 5 17" xfId="125"/>
    <cellStyle name="20% - 强调文字颜色 1 5 18" xfId="126"/>
    <cellStyle name="20% - 强调文字颜色 1 5 19" xfId="127"/>
    <cellStyle name="20% - 强调文字颜色 1 5 2" xfId="128"/>
    <cellStyle name="20% - 强调文字颜色 1 5 2 2" xfId="129"/>
    <cellStyle name="20% - 强调文字颜色 1 5 2 3" xfId="130"/>
    <cellStyle name="20% - 强调文字颜色 1 5 2 4" xfId="131"/>
    <cellStyle name="20% - 强调文字颜色 1 5 2 4 2" xfId="132"/>
    <cellStyle name="20% - 强调文字颜色 1 5 2 5" xfId="133"/>
    <cellStyle name="20% - 强调文字颜色 1 5 20" xfId="134"/>
    <cellStyle name="20% - 强调文字颜色 1 5 21" xfId="135"/>
    <cellStyle name="20% - 强调文字颜色 1 5 22" xfId="136"/>
    <cellStyle name="20% - 强调文字颜色 1 5 23" xfId="137"/>
    <cellStyle name="20% - 强调文字颜色 1 5 3" xfId="138"/>
    <cellStyle name="20% - 强调文字颜色 1 5 4" xfId="139"/>
    <cellStyle name="20% - 强调文字颜色 1 5 5" xfId="140"/>
    <cellStyle name="20% - 强调文字颜色 1 5 6" xfId="141"/>
    <cellStyle name="20% - 强调文字颜色 1 5 7" xfId="142"/>
    <cellStyle name="20% - 强调文字颜色 1 5 8" xfId="143"/>
    <cellStyle name="20% - 强调文字颜色 1 5 9" xfId="144"/>
    <cellStyle name="20% - 强调文字颜色 1 6" xfId="145"/>
    <cellStyle name="20% - 强调文字颜色 1 6 10" xfId="146"/>
    <cellStyle name="20% - 强调文字颜色 1 6 11" xfId="147"/>
    <cellStyle name="20% - 强调文字颜色 1 6 12" xfId="148"/>
    <cellStyle name="20% - 强调文字颜色 1 6 13" xfId="149"/>
    <cellStyle name="20% - 强调文字颜色 1 6 14" xfId="150"/>
    <cellStyle name="20% - 强调文字颜色 1 6 15" xfId="151"/>
    <cellStyle name="20% - 强调文字颜色 1 6 16" xfId="152"/>
    <cellStyle name="20% - 强调文字颜色 1 6 17" xfId="153"/>
    <cellStyle name="20% - 强调文字颜色 1 6 18" xfId="154"/>
    <cellStyle name="20% - 强调文字颜色 1 6 19" xfId="155"/>
    <cellStyle name="20% - 强调文字颜色 1 6 2" xfId="156"/>
    <cellStyle name="20% - 强调文字颜色 1 6 2 2" xfId="157"/>
    <cellStyle name="20% - 强调文字颜色 1 6 2 3" xfId="158"/>
    <cellStyle name="20% - 强调文字颜色 1 6 2 4" xfId="159"/>
    <cellStyle name="20% - 强调文字颜色 1 6 2 4 2" xfId="160"/>
    <cellStyle name="20% - 强调文字颜色 1 6 2 5" xfId="161"/>
    <cellStyle name="20% - 强调文字颜色 1 6 20" xfId="162"/>
    <cellStyle name="20% - 强调文字颜色 1 6 21" xfId="163"/>
    <cellStyle name="20% - 强调文字颜色 1 6 22" xfId="164"/>
    <cellStyle name="20% - 强调文字颜色 1 6 23" xfId="165"/>
    <cellStyle name="20% - 强调文字颜色 1 6 3" xfId="166"/>
    <cellStyle name="20% - 强调文字颜色 1 6 4" xfId="167"/>
    <cellStyle name="20% - 强调文字颜色 1 6 5" xfId="168"/>
    <cellStyle name="20% - 强调文字颜色 1 6 6" xfId="169"/>
    <cellStyle name="20% - 强调文字颜色 1 6 7" xfId="170"/>
    <cellStyle name="20% - 强调文字颜色 1 6 8" xfId="171"/>
    <cellStyle name="20% - 强调文字颜色 1 6 9" xfId="172"/>
    <cellStyle name="20% - 强调文字颜色 1 7" xfId="173"/>
    <cellStyle name="20% - 强调文字颜色 1 7 10" xfId="174"/>
    <cellStyle name="20% - 强调文字颜色 1 7 11" xfId="175"/>
    <cellStyle name="20% - 强调文字颜色 1 7 12" xfId="176"/>
    <cellStyle name="20% - 强调文字颜色 1 7 13" xfId="177"/>
    <cellStyle name="20% - 强调文字颜色 1 7 14" xfId="178"/>
    <cellStyle name="20% - 强调文字颜色 1 7 15" xfId="179"/>
    <cellStyle name="20% - 强调文字颜色 1 7 16" xfId="180"/>
    <cellStyle name="20% - 强调文字颜色 1 7 17" xfId="181"/>
    <cellStyle name="20% - 强调文字颜色 1 7 18" xfId="182"/>
    <cellStyle name="20% - 强调文字颜色 1 7 19" xfId="183"/>
    <cellStyle name="20% - 强调文字颜色 1 7 2" xfId="184"/>
    <cellStyle name="20% - 强调文字颜色 1 7 2 2" xfId="185"/>
    <cellStyle name="20% - 强调文字颜色 1 7 2 3" xfId="186"/>
    <cellStyle name="20% - 强调文字颜色 1 7 2 4" xfId="187"/>
    <cellStyle name="20% - 强调文字颜色 1 7 2 4 2" xfId="188"/>
    <cellStyle name="20% - 强调文字颜色 1 7 2 5" xfId="189"/>
    <cellStyle name="20% - 强调文字颜色 1 7 20" xfId="190"/>
    <cellStyle name="20% - 强调文字颜色 1 7 21" xfId="191"/>
    <cellStyle name="20% - 强调文字颜色 1 7 22" xfId="192"/>
    <cellStyle name="20% - 强调文字颜色 1 7 23" xfId="193"/>
    <cellStyle name="20% - 强调文字颜色 1 7 3" xfId="194"/>
    <cellStyle name="20% - 强调文字颜色 1 7 4" xfId="195"/>
    <cellStyle name="20% - 强调文字颜色 1 7 5" xfId="196"/>
    <cellStyle name="20% - 强调文字颜色 1 7 6" xfId="197"/>
    <cellStyle name="20% - 强调文字颜色 1 7 7" xfId="198"/>
    <cellStyle name="20% - 强调文字颜色 1 7 8" xfId="199"/>
    <cellStyle name="20% - 强调文字颜色 1 7 9" xfId="200"/>
    <cellStyle name="20% - 强调文字颜色 2 2" xfId="201"/>
    <cellStyle name="20% - 强调文字颜色 2 2 10" xfId="202"/>
    <cellStyle name="20% - 强调文字颜色 2 2 11" xfId="203"/>
    <cellStyle name="20% - 强调文字颜色 2 2 11 2" xfId="204"/>
    <cellStyle name="20% - 强调文字颜色 2 2 11 3" xfId="205"/>
    <cellStyle name="20% - 强调文字颜色 2 2 12" xfId="206"/>
    <cellStyle name="20% - 强调文字颜色 2 2 13" xfId="207"/>
    <cellStyle name="20% - 强调文字颜色 2 2 14" xfId="208"/>
    <cellStyle name="20% - 强调文字颜色 2 2 15" xfId="209"/>
    <cellStyle name="20% - 强调文字颜色 2 2 15 2" xfId="210"/>
    <cellStyle name="20% - 强调文字颜色 2 2 15 3" xfId="211"/>
    <cellStyle name="20% - 强调文字颜色 2 2 16" xfId="212"/>
    <cellStyle name="20% - 强调文字颜色 2 2 17" xfId="213"/>
    <cellStyle name="20% - 强调文字颜色 2 2 18" xfId="214"/>
    <cellStyle name="20% - 强调文字颜色 2 2 19" xfId="215"/>
    <cellStyle name="20% - 强调文字颜色 2 2 2" xfId="216"/>
    <cellStyle name="20% - 强调文字颜色 2 2 2 2" xfId="217"/>
    <cellStyle name="20% - 强调文字颜色 2 2 2 3" xfId="218"/>
    <cellStyle name="20% - 强调文字颜色 2 2 2 4" xfId="219"/>
    <cellStyle name="20% - 强调文字颜色 2 2 2 4 2" xfId="220"/>
    <cellStyle name="20% - 强调文字颜色 2 2 2 5" xfId="221"/>
    <cellStyle name="20% - 强调文字颜色 2 2 20" xfId="222"/>
    <cellStyle name="20% - 强调文字颜色 2 2 21" xfId="223"/>
    <cellStyle name="20% - 强调文字颜色 2 2 22" xfId="224"/>
    <cellStyle name="20% - 强调文字颜色 2 2 23" xfId="225"/>
    <cellStyle name="20% - 强调文字颜色 2 2 3" xfId="226"/>
    <cellStyle name="20% - 强调文字颜色 2 2 4" xfId="227"/>
    <cellStyle name="20% - 强调文字颜色 2 2 5" xfId="228"/>
    <cellStyle name="20% - 强调文字颜色 2 2 6" xfId="229"/>
    <cellStyle name="20% - 强调文字颜色 2 2 7" xfId="230"/>
    <cellStyle name="20% - 强调文字颜色 2 2 8" xfId="231"/>
    <cellStyle name="20% - 强调文字颜色 2 2 9" xfId="232"/>
    <cellStyle name="20% - 强调文字颜色 2 3" xfId="233"/>
    <cellStyle name="20% - 强调文字颜色 2 3 10" xfId="234"/>
    <cellStyle name="20% - 强调文字颜色 2 3 11" xfId="235"/>
    <cellStyle name="20% - 强调文字颜色 2 3 12" xfId="236"/>
    <cellStyle name="20% - 强调文字颜色 2 3 13" xfId="237"/>
    <cellStyle name="20% - 强调文字颜色 2 3 14" xfId="238"/>
    <cellStyle name="20% - 强调文字颜色 2 3 15" xfId="239"/>
    <cellStyle name="20% - 强调文字颜色 2 3 16" xfId="240"/>
    <cellStyle name="20% - 强调文字颜色 2 3 17" xfId="241"/>
    <cellStyle name="20% - 强调文字颜色 2 3 18" xfId="242"/>
    <cellStyle name="20% - 强调文字颜色 2 3 19" xfId="243"/>
    <cellStyle name="20% - 强调文字颜色 2 3 2" xfId="244"/>
    <cellStyle name="20% - 强调文字颜色 2 3 2 2" xfId="245"/>
    <cellStyle name="20% - 强调文字颜色 2 3 2 3" xfId="246"/>
    <cellStyle name="20% - 强调文字颜色 2 3 2 4" xfId="247"/>
    <cellStyle name="20% - 强调文字颜色 2 3 2 4 2" xfId="248"/>
    <cellStyle name="20% - 强调文字颜色 2 3 2 5" xfId="249"/>
    <cellStyle name="20% - 强调文字颜色 2 3 20" xfId="250"/>
    <cellStyle name="20% - 强调文字颜色 2 3 21" xfId="251"/>
    <cellStyle name="20% - 强调文字颜色 2 3 22" xfId="252"/>
    <cellStyle name="20% - 强调文字颜色 2 3 23" xfId="253"/>
    <cellStyle name="20% - 强调文字颜色 2 3 3" xfId="254"/>
    <cellStyle name="20% - 强调文字颜色 2 3 4" xfId="255"/>
    <cellStyle name="20% - 强调文字颜色 2 3 5" xfId="256"/>
    <cellStyle name="20% - 强调文字颜色 2 3 6" xfId="257"/>
    <cellStyle name="20% - 强调文字颜色 2 3 7" xfId="258"/>
    <cellStyle name="20% - 强调文字颜色 2 3 8" xfId="259"/>
    <cellStyle name="20% - 强调文字颜色 2 3 9" xfId="260"/>
    <cellStyle name="20% - 强调文字颜色 2 4" xfId="261"/>
    <cellStyle name="20% - 强调文字颜色 2 4 10" xfId="262"/>
    <cellStyle name="20% - 强调文字颜色 2 4 11" xfId="263"/>
    <cellStyle name="20% - 强调文字颜色 2 4 12" xfId="264"/>
    <cellStyle name="20% - 强调文字颜色 2 4 13" xfId="265"/>
    <cellStyle name="20% - 强调文字颜色 2 4 14" xfId="266"/>
    <cellStyle name="20% - 强调文字颜色 2 4 15" xfId="267"/>
    <cellStyle name="20% - 强调文字颜色 2 4 16" xfId="268"/>
    <cellStyle name="20% - 强调文字颜色 2 4 17" xfId="269"/>
    <cellStyle name="20% - 强调文字颜色 2 4 18" xfId="270"/>
    <cellStyle name="20% - 强调文字颜色 2 4 19" xfId="271"/>
    <cellStyle name="20% - 强调文字颜色 2 4 2" xfId="272"/>
    <cellStyle name="20% - 强调文字颜色 2 4 2 2" xfId="273"/>
    <cellStyle name="20% - 强调文字颜色 2 4 2 3" xfId="274"/>
    <cellStyle name="20% - 强调文字颜色 2 4 2 4" xfId="275"/>
    <cellStyle name="20% - 强调文字颜色 2 4 2 4 2" xfId="276"/>
    <cellStyle name="20% - 强调文字颜色 2 4 2 5" xfId="277"/>
    <cellStyle name="20% - 强调文字颜色 2 4 20" xfId="278"/>
    <cellStyle name="20% - 强调文字颜色 2 4 21" xfId="279"/>
    <cellStyle name="20% - 强调文字颜色 2 4 22" xfId="280"/>
    <cellStyle name="20% - 强调文字颜色 2 4 23" xfId="281"/>
    <cellStyle name="20% - 强调文字颜色 2 4 3" xfId="282"/>
    <cellStyle name="20% - 强调文字颜色 2 4 4" xfId="283"/>
    <cellStyle name="20% - 强调文字颜色 2 4 5" xfId="284"/>
    <cellStyle name="20% - 强调文字颜色 2 4 6" xfId="285"/>
    <cellStyle name="20% - 强调文字颜色 2 4 7" xfId="286"/>
    <cellStyle name="20% - 强调文字颜色 2 4 8" xfId="287"/>
    <cellStyle name="20% - 强调文字颜色 2 4 9" xfId="288"/>
    <cellStyle name="20% - 强调文字颜色 2 5" xfId="289"/>
    <cellStyle name="20% - 强调文字颜色 2 5 10" xfId="290"/>
    <cellStyle name="20% - 强调文字颜色 2 5 11" xfId="291"/>
    <cellStyle name="20% - 强调文字颜色 2 5 12" xfId="292"/>
    <cellStyle name="20% - 强调文字颜色 2 5 13" xfId="293"/>
    <cellStyle name="20% - 强调文字颜色 2 5 14" xfId="294"/>
    <cellStyle name="20% - 强调文字颜色 2 5 15" xfId="295"/>
    <cellStyle name="20% - 强调文字颜色 2 5 16" xfId="296"/>
    <cellStyle name="20% - 强调文字颜色 2 5 17" xfId="297"/>
    <cellStyle name="20% - 强调文字颜色 2 5 18" xfId="298"/>
    <cellStyle name="20% - 强调文字颜色 2 5 19" xfId="299"/>
    <cellStyle name="20% - 强调文字颜色 2 5 2" xfId="300"/>
    <cellStyle name="20% - 强调文字颜色 2 5 2 2" xfId="301"/>
    <cellStyle name="20% - 强调文字颜色 2 5 2 3" xfId="302"/>
    <cellStyle name="20% - 强调文字颜色 2 5 2 4" xfId="303"/>
    <cellStyle name="20% - 强调文字颜色 2 5 2 4 2" xfId="304"/>
    <cellStyle name="20% - 强调文字颜色 2 5 2 5" xfId="305"/>
    <cellStyle name="20% - 强调文字颜色 2 5 20" xfId="306"/>
    <cellStyle name="20% - 强调文字颜色 2 5 21" xfId="307"/>
    <cellStyle name="20% - 强调文字颜色 2 5 22" xfId="308"/>
    <cellStyle name="20% - 强调文字颜色 2 5 23" xfId="309"/>
    <cellStyle name="20% - 强调文字颜色 2 5 3" xfId="310"/>
    <cellStyle name="20% - 强调文字颜色 2 5 4" xfId="311"/>
    <cellStyle name="20% - 强调文字颜色 2 5 5" xfId="312"/>
    <cellStyle name="20% - 强调文字颜色 2 5 6" xfId="313"/>
    <cellStyle name="20% - 强调文字颜色 2 5 7" xfId="314"/>
    <cellStyle name="20% - 强调文字颜色 2 5 8" xfId="315"/>
    <cellStyle name="20% - 强调文字颜色 2 5 9" xfId="316"/>
    <cellStyle name="20% - 强调文字颜色 2 6" xfId="317"/>
    <cellStyle name="20% - 强调文字颜色 2 6 10" xfId="318"/>
    <cellStyle name="20% - 强调文字颜色 2 6 11" xfId="319"/>
    <cellStyle name="20% - 强调文字颜色 2 6 12" xfId="320"/>
    <cellStyle name="20% - 强调文字颜色 2 6 13" xfId="321"/>
    <cellStyle name="20% - 强调文字颜色 2 6 14" xfId="322"/>
    <cellStyle name="20% - 强调文字颜色 2 6 15" xfId="323"/>
    <cellStyle name="20% - 强调文字颜色 2 6 16" xfId="324"/>
    <cellStyle name="20% - 强调文字颜色 2 6 17" xfId="325"/>
    <cellStyle name="20% - 强调文字颜色 2 6 18" xfId="326"/>
    <cellStyle name="20% - 强调文字颜色 2 6 19" xfId="327"/>
    <cellStyle name="20% - 强调文字颜色 2 6 2" xfId="328"/>
    <cellStyle name="20% - 强调文字颜色 2 6 2 2" xfId="329"/>
    <cellStyle name="20% - 强调文字颜色 2 6 2 3" xfId="330"/>
    <cellStyle name="20% - 强调文字颜色 2 6 2 4" xfId="331"/>
    <cellStyle name="20% - 强调文字颜色 2 6 2 4 2" xfId="332"/>
    <cellStyle name="20% - 强调文字颜色 2 6 2 5" xfId="333"/>
    <cellStyle name="20% - 强调文字颜色 2 6 20" xfId="334"/>
    <cellStyle name="20% - 强调文字颜色 2 6 21" xfId="335"/>
    <cellStyle name="20% - 强调文字颜色 2 6 22" xfId="336"/>
    <cellStyle name="20% - 强调文字颜色 2 6 23" xfId="337"/>
    <cellStyle name="20% - 强调文字颜色 2 6 3" xfId="338"/>
    <cellStyle name="20% - 强调文字颜色 2 6 4" xfId="339"/>
    <cellStyle name="20% - 强调文字颜色 2 6 5" xfId="340"/>
    <cellStyle name="20% - 强调文字颜色 2 6 6" xfId="341"/>
    <cellStyle name="20% - 强调文字颜色 2 6 7" xfId="342"/>
    <cellStyle name="20% - 强调文字颜色 2 6 8" xfId="343"/>
    <cellStyle name="20% - 强调文字颜色 2 6 9" xfId="344"/>
    <cellStyle name="20% - 强调文字颜色 2 7" xfId="345"/>
    <cellStyle name="20% - 强调文字颜色 2 7 10" xfId="346"/>
    <cellStyle name="20% - 强调文字颜色 2 7 11" xfId="347"/>
    <cellStyle name="20% - 强调文字颜色 2 7 12" xfId="348"/>
    <cellStyle name="20% - 强调文字颜色 2 7 13" xfId="349"/>
    <cellStyle name="20% - 强调文字颜色 2 7 14" xfId="350"/>
    <cellStyle name="20% - 强调文字颜色 2 7 15" xfId="351"/>
    <cellStyle name="20% - 强调文字颜色 2 7 16" xfId="352"/>
    <cellStyle name="20% - 强调文字颜色 2 7 17" xfId="353"/>
    <cellStyle name="20% - 强调文字颜色 2 7 18" xfId="354"/>
    <cellStyle name="20% - 强调文字颜色 2 7 19" xfId="355"/>
    <cellStyle name="20% - 强调文字颜色 2 7 2" xfId="356"/>
    <cellStyle name="20% - 强调文字颜色 2 7 2 2" xfId="357"/>
    <cellStyle name="20% - 强调文字颜色 2 7 2 3" xfId="358"/>
    <cellStyle name="20% - 强调文字颜色 2 7 2 4" xfId="359"/>
    <cellStyle name="20% - 强调文字颜色 2 7 2 4 2" xfId="360"/>
    <cellStyle name="20% - 强调文字颜色 2 7 2 5" xfId="361"/>
    <cellStyle name="20% - 强调文字颜色 2 7 20" xfId="362"/>
    <cellStyle name="20% - 强调文字颜色 2 7 21" xfId="363"/>
    <cellStyle name="20% - 强调文字颜色 2 7 22" xfId="364"/>
    <cellStyle name="20% - 强调文字颜色 2 7 23" xfId="365"/>
    <cellStyle name="20% - 强调文字颜色 2 7 3" xfId="366"/>
    <cellStyle name="20% - 强调文字颜色 2 7 4" xfId="367"/>
    <cellStyle name="20% - 强调文字颜色 2 7 5" xfId="368"/>
    <cellStyle name="20% - 强调文字颜色 2 7 6" xfId="369"/>
    <cellStyle name="20% - 强调文字颜色 2 7 7" xfId="370"/>
    <cellStyle name="20% - 强调文字颜色 2 7 8" xfId="371"/>
    <cellStyle name="20% - 强调文字颜色 2 7 9" xfId="372"/>
    <cellStyle name="20% - 强调文字颜色 3 2" xfId="373"/>
    <cellStyle name="20% - 强调文字颜色 3 2 10" xfId="374"/>
    <cellStyle name="20% - 强调文字颜色 3 2 11" xfId="375"/>
    <cellStyle name="20% - 强调文字颜色 3 2 12" xfId="376"/>
    <cellStyle name="20% - 强调文字颜色 3 2 13" xfId="377"/>
    <cellStyle name="20% - 强调文字颜色 3 2 14" xfId="378"/>
    <cellStyle name="20% - 强调文字颜色 3 2 15" xfId="379"/>
    <cellStyle name="20% - 强调文字颜色 3 2 16" xfId="380"/>
    <cellStyle name="20% - 强调文字颜色 3 2 17" xfId="381"/>
    <cellStyle name="20% - 强调文字颜色 3 2 18" xfId="382"/>
    <cellStyle name="20% - 强调文字颜色 3 2 19" xfId="383"/>
    <cellStyle name="20% - 强调文字颜色 3 2 2" xfId="384"/>
    <cellStyle name="20% - 强调文字颜色 3 2 2 2" xfId="385"/>
    <cellStyle name="20% - 强调文字颜色 3 2 2 3" xfId="386"/>
    <cellStyle name="20% - 强调文字颜色 3 2 2 4" xfId="387"/>
    <cellStyle name="20% - 强调文字颜色 3 2 2 4 2" xfId="388"/>
    <cellStyle name="20% - 强调文字颜色 3 2 2 5" xfId="389"/>
    <cellStyle name="20% - 强调文字颜色 3 2 20" xfId="390"/>
    <cellStyle name="20% - 强调文字颜色 3 2 21" xfId="391"/>
    <cellStyle name="20% - 强调文字颜色 3 2 22" xfId="392"/>
    <cellStyle name="20% - 强调文字颜色 3 2 23" xfId="393"/>
    <cellStyle name="20% - 强调文字颜色 3 2 3" xfId="394"/>
    <cellStyle name="20% - 强调文字颜色 3 2 4" xfId="395"/>
    <cellStyle name="20% - 强调文字颜色 3 2 5" xfId="396"/>
    <cellStyle name="20% - 强调文字颜色 3 2 6" xfId="397"/>
    <cellStyle name="20% - 强调文字颜色 3 2 7" xfId="398"/>
    <cellStyle name="20% - 强调文字颜色 3 2 8" xfId="399"/>
    <cellStyle name="20% - 强调文字颜色 3 2 9" xfId="400"/>
    <cellStyle name="20% - 强调文字颜色 3 3" xfId="401"/>
    <cellStyle name="20% - 强调文字颜色 3 3 10" xfId="402"/>
    <cellStyle name="20% - 强调文字颜色 3 3 11" xfId="403"/>
    <cellStyle name="20% - 强调文字颜色 3 3 12" xfId="404"/>
    <cellStyle name="20% - 强调文字颜色 3 3 13" xfId="405"/>
    <cellStyle name="20% - 强调文字颜色 3 3 14" xfId="406"/>
    <cellStyle name="20% - 强调文字颜色 3 3 15" xfId="407"/>
    <cellStyle name="20% - 强调文字颜色 3 3 16" xfId="408"/>
    <cellStyle name="20% - 强调文字颜色 3 3 17" xfId="409"/>
    <cellStyle name="20% - 强调文字颜色 3 3 18" xfId="410"/>
    <cellStyle name="20% - 强调文字颜色 3 3 19" xfId="411"/>
    <cellStyle name="20% - 强调文字颜色 3 3 2" xfId="412"/>
    <cellStyle name="20% - 强调文字颜色 3 3 2 2" xfId="413"/>
    <cellStyle name="20% - 强调文字颜色 3 3 2 3" xfId="414"/>
    <cellStyle name="20% - 强调文字颜色 3 3 2 4" xfId="415"/>
    <cellStyle name="20% - 强调文字颜色 3 3 2 4 2" xfId="416"/>
    <cellStyle name="20% - 强调文字颜色 3 3 2 5" xfId="417"/>
    <cellStyle name="20% - 强调文字颜色 3 3 20" xfId="418"/>
    <cellStyle name="20% - 强调文字颜色 3 3 21" xfId="419"/>
    <cellStyle name="20% - 强调文字颜色 3 3 22" xfId="420"/>
    <cellStyle name="20% - 强调文字颜色 3 3 23" xfId="421"/>
    <cellStyle name="20% - 强调文字颜色 3 3 3" xfId="422"/>
    <cellStyle name="20% - 强调文字颜色 3 3 4" xfId="423"/>
    <cellStyle name="20% - 强调文字颜色 3 3 5" xfId="424"/>
    <cellStyle name="20% - 强调文字颜色 3 3 6" xfId="425"/>
    <cellStyle name="20% - 强调文字颜色 3 3 7" xfId="426"/>
    <cellStyle name="20% - 强调文字颜色 3 3 8" xfId="427"/>
    <cellStyle name="20% - 强调文字颜色 3 3 9" xfId="428"/>
    <cellStyle name="20% - 强调文字颜色 3 4" xfId="429"/>
    <cellStyle name="20% - 强调文字颜色 3 4 10" xfId="430"/>
    <cellStyle name="20% - 强调文字颜色 3 4 11" xfId="431"/>
    <cellStyle name="20% - 强调文字颜色 3 4 12" xfId="432"/>
    <cellStyle name="20% - 强调文字颜色 3 4 13" xfId="433"/>
    <cellStyle name="20% - 强调文字颜色 3 4 14" xfId="434"/>
    <cellStyle name="20% - 强调文字颜色 3 4 15" xfId="435"/>
    <cellStyle name="20% - 强调文字颜色 3 4 16" xfId="436"/>
    <cellStyle name="20% - 强调文字颜色 3 4 17" xfId="437"/>
    <cellStyle name="20% - 强调文字颜色 3 4 18" xfId="438"/>
    <cellStyle name="20% - 强调文字颜色 3 4 19" xfId="439"/>
    <cellStyle name="20% - 强调文字颜色 3 4 2" xfId="440"/>
    <cellStyle name="20% - 强调文字颜色 3 4 2 2" xfId="441"/>
    <cellStyle name="20% - 强调文字颜色 3 4 2 3" xfId="442"/>
    <cellStyle name="20% - 强调文字颜色 3 4 2 4" xfId="443"/>
    <cellStyle name="20% - 强调文字颜色 3 4 2 4 2" xfId="444"/>
    <cellStyle name="20% - 强调文字颜色 3 4 2 5" xfId="445"/>
    <cellStyle name="20% - 强调文字颜色 3 4 20" xfId="446"/>
    <cellStyle name="20% - 强调文字颜色 3 4 21" xfId="447"/>
    <cellStyle name="20% - 强调文字颜色 3 4 22" xfId="448"/>
    <cellStyle name="20% - 强调文字颜色 3 4 23" xfId="449"/>
    <cellStyle name="20% - 强调文字颜色 3 4 3" xfId="450"/>
    <cellStyle name="20% - 强调文字颜色 3 4 4" xfId="451"/>
    <cellStyle name="20% - 强调文字颜色 3 4 5" xfId="452"/>
    <cellStyle name="20% - 强调文字颜色 3 4 6" xfId="453"/>
    <cellStyle name="20% - 强调文字颜色 3 4 7" xfId="454"/>
    <cellStyle name="20% - 强调文字颜色 3 4 8" xfId="455"/>
    <cellStyle name="20% - 强调文字颜色 3 4 9" xfId="456"/>
    <cellStyle name="20% - 强调文字颜色 3 5" xfId="457"/>
    <cellStyle name="20% - 强调文字颜色 3 5 10" xfId="458"/>
    <cellStyle name="20% - 强调文字颜色 3 5 11" xfId="459"/>
    <cellStyle name="20% - 强调文字颜色 3 5 12" xfId="460"/>
    <cellStyle name="20% - 强调文字颜色 3 5 13" xfId="461"/>
    <cellStyle name="20% - 强调文字颜色 3 5 14" xfId="462"/>
    <cellStyle name="20% - 强调文字颜色 3 5 15" xfId="463"/>
    <cellStyle name="20% - 强调文字颜色 3 5 16" xfId="464"/>
    <cellStyle name="20% - 强调文字颜色 3 5 17" xfId="465"/>
    <cellStyle name="20% - 强调文字颜色 3 5 18" xfId="466"/>
    <cellStyle name="20% - 强调文字颜色 3 5 19" xfId="467"/>
    <cellStyle name="20% - 强调文字颜色 3 5 2" xfId="468"/>
    <cellStyle name="20% - 强调文字颜色 3 5 2 2" xfId="469"/>
    <cellStyle name="20% - 强调文字颜色 3 5 2 3" xfId="470"/>
    <cellStyle name="20% - 强调文字颜色 3 5 2 4" xfId="471"/>
    <cellStyle name="20% - 强调文字颜色 3 5 2 4 2" xfId="472"/>
    <cellStyle name="20% - 强调文字颜色 3 5 2 5" xfId="473"/>
    <cellStyle name="20% - 强调文字颜色 3 5 20" xfId="474"/>
    <cellStyle name="20% - 强调文字颜色 3 5 21" xfId="475"/>
    <cellStyle name="20% - 强调文字颜色 3 5 22" xfId="476"/>
    <cellStyle name="20% - 强调文字颜色 3 5 23" xfId="477"/>
    <cellStyle name="20% - 强调文字颜色 3 5 3" xfId="478"/>
    <cellStyle name="20% - 强调文字颜色 3 5 4" xfId="479"/>
    <cellStyle name="20% - 强调文字颜色 3 5 5" xfId="480"/>
    <cellStyle name="20% - 强调文字颜色 3 5 6" xfId="481"/>
    <cellStyle name="20% - 强调文字颜色 3 5 7" xfId="482"/>
    <cellStyle name="20% - 强调文字颜色 3 5 8" xfId="483"/>
    <cellStyle name="20% - 强调文字颜色 3 5 9" xfId="484"/>
    <cellStyle name="20% - 强调文字颜色 3 6" xfId="485"/>
    <cellStyle name="20% - 强调文字颜色 3 6 10" xfId="486"/>
    <cellStyle name="20% - 强调文字颜色 3 6 11" xfId="487"/>
    <cellStyle name="20% - 强调文字颜色 3 6 12" xfId="488"/>
    <cellStyle name="20% - 强调文字颜色 3 6 13" xfId="489"/>
    <cellStyle name="20% - 强调文字颜色 3 6 14" xfId="490"/>
    <cellStyle name="20% - 强调文字颜色 3 6 15" xfId="491"/>
    <cellStyle name="20% - 强调文字颜色 3 6 16" xfId="492"/>
    <cellStyle name="20% - 强调文字颜色 3 6 17" xfId="493"/>
    <cellStyle name="20% - 强调文字颜色 3 6 18" xfId="494"/>
    <cellStyle name="20% - 强调文字颜色 3 6 19" xfId="495"/>
    <cellStyle name="20% - 强调文字颜色 3 6 2" xfId="496"/>
    <cellStyle name="20% - 强调文字颜色 3 6 2 2" xfId="497"/>
    <cellStyle name="20% - 强调文字颜色 3 6 2 3" xfId="498"/>
    <cellStyle name="20% - 强调文字颜色 3 6 2 4" xfId="499"/>
    <cellStyle name="20% - 强调文字颜色 3 6 2 4 2" xfId="500"/>
    <cellStyle name="20% - 强调文字颜色 3 6 2 5" xfId="501"/>
    <cellStyle name="20% - 强调文字颜色 3 6 20" xfId="502"/>
    <cellStyle name="20% - 强调文字颜色 3 6 21" xfId="503"/>
    <cellStyle name="20% - 强调文字颜色 3 6 22" xfId="504"/>
    <cellStyle name="20% - 强调文字颜色 3 6 23" xfId="505"/>
    <cellStyle name="20% - 强调文字颜色 3 6 3" xfId="506"/>
    <cellStyle name="20% - 强调文字颜色 3 6 4" xfId="507"/>
    <cellStyle name="20% - 强调文字颜色 3 6 5" xfId="508"/>
    <cellStyle name="20% - 强调文字颜色 3 6 6" xfId="509"/>
    <cellStyle name="20% - 强调文字颜色 3 6 7" xfId="510"/>
    <cellStyle name="20% - 强调文字颜色 3 6 8" xfId="511"/>
    <cellStyle name="20% - 强调文字颜色 3 6 9" xfId="512"/>
    <cellStyle name="20% - 强调文字颜色 3 7" xfId="513"/>
    <cellStyle name="20% - 强调文字颜色 3 7 10" xfId="514"/>
    <cellStyle name="20% - 强调文字颜色 3 7 11" xfId="515"/>
    <cellStyle name="20% - 强调文字颜色 3 7 12" xfId="516"/>
    <cellStyle name="20% - 强调文字颜色 3 7 13" xfId="517"/>
    <cellStyle name="20% - 强调文字颜色 3 7 14" xfId="518"/>
    <cellStyle name="20% - 强调文字颜色 3 7 15" xfId="519"/>
    <cellStyle name="20% - 强调文字颜色 3 7 16" xfId="520"/>
    <cellStyle name="20% - 强调文字颜色 3 7 17" xfId="521"/>
    <cellStyle name="20% - 强调文字颜色 3 7 18" xfId="522"/>
    <cellStyle name="20% - 强调文字颜色 3 7 19" xfId="523"/>
    <cellStyle name="20% - 强调文字颜色 3 7 2" xfId="524"/>
    <cellStyle name="20% - 强调文字颜色 3 7 2 2" xfId="525"/>
    <cellStyle name="20% - 强调文字颜色 3 7 2 3" xfId="526"/>
    <cellStyle name="20% - 强调文字颜色 3 7 2 4" xfId="527"/>
    <cellStyle name="20% - 强调文字颜色 3 7 2 4 2" xfId="528"/>
    <cellStyle name="20% - 强调文字颜色 3 7 2 5" xfId="529"/>
    <cellStyle name="20% - 强调文字颜色 3 7 20" xfId="530"/>
    <cellStyle name="20% - 强调文字颜色 3 7 21" xfId="531"/>
    <cellStyle name="20% - 强调文字颜色 3 7 22" xfId="532"/>
    <cellStyle name="20% - 强调文字颜色 3 7 23" xfId="533"/>
    <cellStyle name="20% - 强调文字颜色 3 7 3" xfId="534"/>
    <cellStyle name="20% - 强调文字颜色 3 7 4" xfId="535"/>
    <cellStyle name="20% - 强调文字颜色 3 7 5" xfId="536"/>
    <cellStyle name="20% - 强调文字颜色 3 7 6" xfId="537"/>
    <cellStyle name="20% - 强调文字颜色 3 7 7" xfId="538"/>
    <cellStyle name="20% - 强调文字颜色 3 7 8" xfId="539"/>
    <cellStyle name="20% - 强调文字颜色 3 7 9" xfId="540"/>
    <cellStyle name="20% - 强调文字颜色 4 2" xfId="541"/>
    <cellStyle name="20% - 强调文字颜色 4 2 10" xfId="542"/>
    <cellStyle name="20% - 强调文字颜色 4 2 11" xfId="543"/>
    <cellStyle name="20% - 强调文字颜色 4 2 12" xfId="544"/>
    <cellStyle name="20% - 强调文字颜色 4 2 13" xfId="545"/>
    <cellStyle name="20% - 强调文字颜色 4 2 14" xfId="546"/>
    <cellStyle name="20% - 强调文字颜色 4 2 15" xfId="547"/>
    <cellStyle name="20% - 强调文字颜色 4 2 16" xfId="548"/>
    <cellStyle name="20% - 强调文字颜色 4 2 17" xfId="549"/>
    <cellStyle name="20% - 强调文字颜色 4 2 18" xfId="550"/>
    <cellStyle name="20% - 强调文字颜色 4 2 19" xfId="551"/>
    <cellStyle name="20% - 强调文字颜色 4 2 2" xfId="552"/>
    <cellStyle name="20% - 强调文字颜色 4 2 2 2" xfId="553"/>
    <cellStyle name="20% - 强调文字颜色 4 2 2 3" xfId="554"/>
    <cellStyle name="20% - 强调文字颜色 4 2 2 4" xfId="555"/>
    <cellStyle name="20% - 强调文字颜色 4 2 2 4 2" xfId="556"/>
    <cellStyle name="20% - 强调文字颜色 4 2 2 5" xfId="557"/>
    <cellStyle name="20% - 强调文字颜色 4 2 20" xfId="558"/>
    <cellStyle name="20% - 强调文字颜色 4 2 21" xfId="559"/>
    <cellStyle name="20% - 强调文字颜色 4 2 22" xfId="560"/>
    <cellStyle name="20% - 强调文字颜色 4 2 23" xfId="561"/>
    <cellStyle name="20% - 强调文字颜色 4 2 3" xfId="562"/>
    <cellStyle name="20% - 强调文字颜色 4 2 4" xfId="563"/>
    <cellStyle name="20% - 强调文字颜色 4 2 5" xfId="564"/>
    <cellStyle name="20% - 强调文字颜色 4 2 6" xfId="565"/>
    <cellStyle name="20% - 强调文字颜色 4 2 7" xfId="566"/>
    <cellStyle name="20% - 强调文字颜色 4 2 8" xfId="567"/>
    <cellStyle name="20% - 强调文字颜色 4 2 9" xfId="568"/>
    <cellStyle name="20% - 强调文字颜色 4 3" xfId="569"/>
    <cellStyle name="20% - 强调文字颜色 4 3 10" xfId="570"/>
    <cellStyle name="20% - 强调文字颜色 4 3 11" xfId="571"/>
    <cellStyle name="20% - 强调文字颜色 4 3 12" xfId="572"/>
    <cellStyle name="20% - 强调文字颜色 4 3 13" xfId="573"/>
    <cellStyle name="20% - 强调文字颜色 4 3 14" xfId="574"/>
    <cellStyle name="20% - 强调文字颜色 4 3 15" xfId="575"/>
    <cellStyle name="20% - 强调文字颜色 4 3 16" xfId="576"/>
    <cellStyle name="20% - 强调文字颜色 4 3 17" xfId="577"/>
    <cellStyle name="20% - 强调文字颜色 4 3 18" xfId="578"/>
    <cellStyle name="20% - 强调文字颜色 4 3 19" xfId="579"/>
    <cellStyle name="20% - 强调文字颜色 4 3 2" xfId="580"/>
    <cellStyle name="20% - 强调文字颜色 4 3 2 2" xfId="581"/>
    <cellStyle name="20% - 强调文字颜色 4 3 2 3" xfId="582"/>
    <cellStyle name="20% - 强调文字颜色 4 3 2 4" xfId="583"/>
    <cellStyle name="20% - 强调文字颜色 4 3 2 4 2" xfId="584"/>
    <cellStyle name="20% - 强调文字颜色 4 3 2 5" xfId="585"/>
    <cellStyle name="20% - 强调文字颜色 4 3 20" xfId="586"/>
    <cellStyle name="20% - 强调文字颜色 4 3 21" xfId="587"/>
    <cellStyle name="20% - 强调文字颜色 4 3 22" xfId="588"/>
    <cellStyle name="20% - 强调文字颜色 4 3 23" xfId="589"/>
    <cellStyle name="20% - 强调文字颜色 4 3 3" xfId="590"/>
    <cellStyle name="20% - 强调文字颜色 4 3 4" xfId="591"/>
    <cellStyle name="20% - 强调文字颜色 4 3 5" xfId="592"/>
    <cellStyle name="20% - 强调文字颜色 4 3 6" xfId="593"/>
    <cellStyle name="20% - 强调文字颜色 4 3 7" xfId="594"/>
    <cellStyle name="20% - 强调文字颜色 4 3 8" xfId="595"/>
    <cellStyle name="20% - 强调文字颜色 4 3 9" xfId="596"/>
    <cellStyle name="20% - 强调文字颜色 4 4" xfId="597"/>
    <cellStyle name="20% - 强调文字颜色 4 4 10" xfId="598"/>
    <cellStyle name="20% - 强调文字颜色 4 4 11" xfId="599"/>
    <cellStyle name="20% - 强调文字颜色 4 4 12" xfId="600"/>
    <cellStyle name="20% - 强调文字颜色 4 4 13" xfId="601"/>
    <cellStyle name="20% - 强调文字颜色 4 4 14" xfId="602"/>
    <cellStyle name="20% - 强调文字颜色 4 4 15" xfId="603"/>
    <cellStyle name="20% - 强调文字颜色 4 4 16" xfId="604"/>
    <cellStyle name="20% - 强调文字颜色 4 4 17" xfId="605"/>
    <cellStyle name="20% - 强调文字颜色 4 4 18" xfId="606"/>
    <cellStyle name="20% - 强调文字颜色 4 4 19" xfId="607"/>
    <cellStyle name="20% - 强调文字颜色 4 4 2" xfId="608"/>
    <cellStyle name="20% - 强调文字颜色 4 4 2 2" xfId="609"/>
    <cellStyle name="20% - 强调文字颜色 4 4 2 3" xfId="610"/>
    <cellStyle name="20% - 强调文字颜色 4 4 2 4" xfId="611"/>
    <cellStyle name="20% - 强调文字颜色 4 4 2 4 2" xfId="612"/>
    <cellStyle name="20% - 强调文字颜色 4 4 2 5" xfId="613"/>
    <cellStyle name="20% - 强调文字颜色 4 4 20" xfId="614"/>
    <cellStyle name="20% - 强调文字颜色 4 4 21" xfId="615"/>
    <cellStyle name="20% - 强调文字颜色 4 4 22" xfId="616"/>
    <cellStyle name="20% - 强调文字颜色 4 4 23" xfId="617"/>
    <cellStyle name="20% - 强调文字颜色 4 4 3" xfId="618"/>
    <cellStyle name="20% - 强调文字颜色 4 4 4" xfId="619"/>
    <cellStyle name="20% - 强调文字颜色 4 4 5" xfId="620"/>
    <cellStyle name="20% - 强调文字颜色 4 4 6" xfId="621"/>
    <cellStyle name="20% - 强调文字颜色 4 4 7" xfId="622"/>
    <cellStyle name="20% - 强调文字颜色 4 4 8" xfId="623"/>
    <cellStyle name="20% - 强调文字颜色 4 4 9" xfId="624"/>
    <cellStyle name="20% - 强调文字颜色 4 5" xfId="625"/>
    <cellStyle name="20% - 强调文字颜色 4 5 10" xfId="626"/>
    <cellStyle name="20% - 强调文字颜色 4 5 11" xfId="627"/>
    <cellStyle name="20% - 强调文字颜色 4 5 12" xfId="628"/>
    <cellStyle name="20% - 强调文字颜色 4 5 13" xfId="629"/>
    <cellStyle name="20% - 强调文字颜色 4 5 14" xfId="630"/>
    <cellStyle name="20% - 强调文字颜色 4 5 15" xfId="631"/>
    <cellStyle name="20% - 强调文字颜色 4 5 16" xfId="632"/>
    <cellStyle name="20% - 强调文字颜色 4 5 17" xfId="633"/>
    <cellStyle name="20% - 强调文字颜色 4 5 18" xfId="634"/>
    <cellStyle name="20% - 强调文字颜色 4 5 19" xfId="635"/>
    <cellStyle name="20% - 强调文字颜色 4 5 2" xfId="636"/>
    <cellStyle name="20% - 强调文字颜色 4 5 2 2" xfId="637"/>
    <cellStyle name="20% - 强调文字颜色 4 5 2 3" xfId="638"/>
    <cellStyle name="20% - 强调文字颜色 4 5 2 4" xfId="639"/>
    <cellStyle name="20% - 强调文字颜色 4 5 2 4 2" xfId="640"/>
    <cellStyle name="20% - 强调文字颜色 4 5 2 5" xfId="641"/>
    <cellStyle name="20% - 强调文字颜色 4 5 20" xfId="642"/>
    <cellStyle name="20% - 强调文字颜色 4 5 21" xfId="643"/>
    <cellStyle name="20% - 强调文字颜色 4 5 22" xfId="644"/>
    <cellStyle name="20% - 强调文字颜色 4 5 23" xfId="645"/>
    <cellStyle name="20% - 强调文字颜色 4 5 3" xfId="646"/>
    <cellStyle name="20% - 强调文字颜色 4 5 4" xfId="647"/>
    <cellStyle name="20% - 强调文字颜色 4 5 5" xfId="648"/>
    <cellStyle name="20% - 强调文字颜色 4 5 6" xfId="649"/>
    <cellStyle name="20% - 强调文字颜色 4 5 7" xfId="650"/>
    <cellStyle name="20% - 强调文字颜色 4 5 8" xfId="651"/>
    <cellStyle name="20% - 强调文字颜色 4 5 9" xfId="652"/>
    <cellStyle name="20% - 强调文字颜色 4 6" xfId="653"/>
    <cellStyle name="20% - 强调文字颜色 4 6 10" xfId="654"/>
    <cellStyle name="20% - 强调文字颜色 4 6 11" xfId="655"/>
    <cellStyle name="20% - 强调文字颜色 4 6 12" xfId="656"/>
    <cellStyle name="20% - 强调文字颜色 4 6 13" xfId="657"/>
    <cellStyle name="20% - 强调文字颜色 4 6 14" xfId="658"/>
    <cellStyle name="20% - 强调文字颜色 4 6 15" xfId="659"/>
    <cellStyle name="20% - 强调文字颜色 4 6 16" xfId="660"/>
    <cellStyle name="20% - 强调文字颜色 4 6 17" xfId="661"/>
    <cellStyle name="20% - 强调文字颜色 4 6 18" xfId="662"/>
    <cellStyle name="20% - 强调文字颜色 4 6 19" xfId="663"/>
    <cellStyle name="20% - 强调文字颜色 4 6 2" xfId="664"/>
    <cellStyle name="20% - 强调文字颜色 4 6 2 2" xfId="665"/>
    <cellStyle name="20% - 强调文字颜色 4 6 2 3" xfId="666"/>
    <cellStyle name="20% - 强调文字颜色 4 6 2 4" xfId="667"/>
    <cellStyle name="20% - 强调文字颜色 4 6 2 4 2" xfId="668"/>
    <cellStyle name="20% - 强调文字颜色 4 6 2 5" xfId="669"/>
    <cellStyle name="20% - 强调文字颜色 4 6 20" xfId="670"/>
    <cellStyle name="20% - 强调文字颜色 4 6 21" xfId="671"/>
    <cellStyle name="20% - 强调文字颜色 4 6 22" xfId="672"/>
    <cellStyle name="20% - 强调文字颜色 4 6 23" xfId="673"/>
    <cellStyle name="20% - 强调文字颜色 4 6 3" xfId="674"/>
    <cellStyle name="20% - 强调文字颜色 4 6 4" xfId="675"/>
    <cellStyle name="20% - 强调文字颜色 4 6 5" xfId="676"/>
    <cellStyle name="20% - 强调文字颜色 4 6 6" xfId="677"/>
    <cellStyle name="20% - 强调文字颜色 4 6 7" xfId="678"/>
    <cellStyle name="20% - 强调文字颜色 4 6 8" xfId="679"/>
    <cellStyle name="20% - 强调文字颜色 4 6 9" xfId="680"/>
    <cellStyle name="20% - 强调文字颜色 4 7" xfId="681"/>
    <cellStyle name="20% - 强调文字颜色 4 7 10" xfId="682"/>
    <cellStyle name="20% - 强调文字颜色 4 7 11" xfId="683"/>
    <cellStyle name="20% - 强调文字颜色 4 7 12" xfId="684"/>
    <cellStyle name="20% - 强调文字颜色 4 7 13" xfId="685"/>
    <cellStyle name="20% - 强调文字颜色 4 7 14" xfId="686"/>
    <cellStyle name="20% - 强调文字颜色 4 7 15" xfId="687"/>
    <cellStyle name="20% - 强调文字颜色 4 7 16" xfId="688"/>
    <cellStyle name="20% - 强调文字颜色 4 7 17" xfId="689"/>
    <cellStyle name="20% - 强调文字颜色 4 7 18" xfId="690"/>
    <cellStyle name="20% - 强调文字颜色 4 7 19" xfId="691"/>
    <cellStyle name="20% - 强调文字颜色 4 7 2" xfId="692"/>
    <cellStyle name="20% - 强调文字颜色 4 7 2 2" xfId="693"/>
    <cellStyle name="20% - 强调文字颜色 4 7 2 3" xfId="694"/>
    <cellStyle name="20% - 强调文字颜色 4 7 2 4" xfId="695"/>
    <cellStyle name="20% - 强调文字颜色 4 7 2 4 2" xfId="696"/>
    <cellStyle name="20% - 强调文字颜色 4 7 2 5" xfId="697"/>
    <cellStyle name="20% - 强调文字颜色 4 7 20" xfId="698"/>
    <cellStyle name="20% - 强调文字颜色 4 7 21" xfId="699"/>
    <cellStyle name="20% - 强调文字颜色 4 7 22" xfId="700"/>
    <cellStyle name="20% - 强调文字颜色 4 7 23" xfId="701"/>
    <cellStyle name="20% - 强调文字颜色 4 7 3" xfId="702"/>
    <cellStyle name="20% - 强调文字颜色 4 7 4" xfId="703"/>
    <cellStyle name="20% - 强调文字颜色 4 7 5" xfId="704"/>
    <cellStyle name="20% - 强调文字颜色 4 7 6" xfId="705"/>
    <cellStyle name="20% - 强调文字颜色 4 7 7" xfId="706"/>
    <cellStyle name="20% - 强调文字颜色 4 7 8" xfId="707"/>
    <cellStyle name="20% - 强调文字颜色 4 7 9" xfId="708"/>
    <cellStyle name="20% - 强调文字颜色 5 2" xfId="709"/>
    <cellStyle name="20% - 强调文字颜色 5 2 10" xfId="710"/>
    <cellStyle name="20% - 强调文字颜色 5 2 11" xfId="711"/>
    <cellStyle name="20% - 强调文字颜色 5 2 12" xfId="712"/>
    <cellStyle name="20% - 强调文字颜色 5 2 13" xfId="713"/>
    <cellStyle name="20% - 强调文字颜色 5 2 14" xfId="714"/>
    <cellStyle name="20% - 强调文字颜色 5 2 15" xfId="715"/>
    <cellStyle name="20% - 强调文字颜色 5 2 16" xfId="716"/>
    <cellStyle name="20% - 强调文字颜色 5 2 17" xfId="717"/>
    <cellStyle name="20% - 强调文字颜色 5 2 18" xfId="718"/>
    <cellStyle name="20% - 强调文字颜色 5 2 19" xfId="719"/>
    <cellStyle name="20% - 强调文字颜色 5 2 2" xfId="720"/>
    <cellStyle name="20% - 强调文字颜色 5 2 2 2" xfId="721"/>
    <cellStyle name="20% - 强调文字颜色 5 2 2 3" xfId="722"/>
    <cellStyle name="20% - 强调文字颜色 5 2 2 4" xfId="723"/>
    <cellStyle name="20% - 强调文字颜色 5 2 2 4 2" xfId="724"/>
    <cellStyle name="20% - 强调文字颜色 5 2 2 5" xfId="725"/>
    <cellStyle name="20% - 强调文字颜色 5 2 20" xfId="726"/>
    <cellStyle name="20% - 强调文字颜色 5 2 21" xfId="727"/>
    <cellStyle name="20% - 强调文字颜色 5 2 22" xfId="728"/>
    <cellStyle name="20% - 强调文字颜色 5 2 23" xfId="729"/>
    <cellStyle name="20% - 强调文字颜色 5 2 3" xfId="730"/>
    <cellStyle name="20% - 强调文字颜色 5 2 4" xfId="731"/>
    <cellStyle name="20% - 强调文字颜色 5 2 5" xfId="732"/>
    <cellStyle name="20% - 强调文字颜色 5 2 6" xfId="733"/>
    <cellStyle name="20% - 强调文字颜色 5 2 7" xfId="734"/>
    <cellStyle name="20% - 强调文字颜色 5 2 8" xfId="735"/>
    <cellStyle name="20% - 强调文字颜色 5 2 9" xfId="736"/>
    <cellStyle name="20% - 强调文字颜色 5 3" xfId="737"/>
    <cellStyle name="20% - 强调文字颜色 5 3 10" xfId="738"/>
    <cellStyle name="20% - 强调文字颜色 5 3 11" xfId="739"/>
    <cellStyle name="20% - 强调文字颜色 5 3 12" xfId="740"/>
    <cellStyle name="20% - 强调文字颜色 5 3 13" xfId="741"/>
    <cellStyle name="20% - 强调文字颜色 5 3 14" xfId="742"/>
    <cellStyle name="20% - 强调文字颜色 5 3 15" xfId="743"/>
    <cellStyle name="20% - 强调文字颜色 5 3 16" xfId="744"/>
    <cellStyle name="20% - 强调文字颜色 5 3 17" xfId="745"/>
    <cellStyle name="20% - 强调文字颜色 5 3 18" xfId="746"/>
    <cellStyle name="20% - 强调文字颜色 5 3 19" xfId="747"/>
    <cellStyle name="20% - 强调文字颜色 5 3 2" xfId="748"/>
    <cellStyle name="20% - 强调文字颜色 5 3 2 2" xfId="749"/>
    <cellStyle name="20% - 强调文字颜色 5 3 2 3" xfId="750"/>
    <cellStyle name="20% - 强调文字颜色 5 3 2 4" xfId="751"/>
    <cellStyle name="20% - 强调文字颜色 5 3 2 4 2" xfId="752"/>
    <cellStyle name="20% - 强调文字颜色 5 3 2 5" xfId="753"/>
    <cellStyle name="20% - 强调文字颜色 5 3 20" xfId="754"/>
    <cellStyle name="20% - 强调文字颜色 5 3 21" xfId="755"/>
    <cellStyle name="20% - 强调文字颜色 5 3 22" xfId="756"/>
    <cellStyle name="20% - 强调文字颜色 5 3 23" xfId="757"/>
    <cellStyle name="20% - 强调文字颜色 5 3 3" xfId="758"/>
    <cellStyle name="20% - 强调文字颜色 5 3 4" xfId="759"/>
    <cellStyle name="20% - 强调文字颜色 5 3 5" xfId="760"/>
    <cellStyle name="20% - 强调文字颜色 5 3 6" xfId="761"/>
    <cellStyle name="20% - 强调文字颜色 5 3 7" xfId="762"/>
    <cellStyle name="20% - 强调文字颜色 5 3 8" xfId="763"/>
    <cellStyle name="20% - 强调文字颜色 5 3 9" xfId="764"/>
    <cellStyle name="20% - 强调文字颜色 5 4" xfId="765"/>
    <cellStyle name="20% - 强调文字颜色 5 4 10" xfId="766"/>
    <cellStyle name="20% - 强调文字颜色 5 4 11" xfId="767"/>
    <cellStyle name="20% - 强调文字颜色 5 4 12" xfId="768"/>
    <cellStyle name="20% - 强调文字颜色 5 4 13" xfId="769"/>
    <cellStyle name="20% - 强调文字颜色 5 4 14" xfId="770"/>
    <cellStyle name="20% - 强调文字颜色 5 4 15" xfId="771"/>
    <cellStyle name="20% - 强调文字颜色 5 4 16" xfId="772"/>
    <cellStyle name="20% - 强调文字颜色 5 4 17" xfId="773"/>
    <cellStyle name="20% - 强调文字颜色 5 4 18" xfId="774"/>
    <cellStyle name="20% - 强调文字颜色 5 4 19" xfId="775"/>
    <cellStyle name="20% - 强调文字颜色 5 4 2" xfId="776"/>
    <cellStyle name="20% - 强调文字颜色 5 4 2 2" xfId="777"/>
    <cellStyle name="20% - 强调文字颜色 5 4 2 3" xfId="778"/>
    <cellStyle name="20% - 强调文字颜色 5 4 2 4" xfId="779"/>
    <cellStyle name="20% - 强调文字颜色 5 4 2 4 2" xfId="780"/>
    <cellStyle name="20% - 强调文字颜色 5 4 2 5" xfId="781"/>
    <cellStyle name="20% - 强调文字颜色 5 4 20" xfId="782"/>
    <cellStyle name="20% - 强调文字颜色 5 4 21" xfId="783"/>
    <cellStyle name="20% - 强调文字颜色 5 4 22" xfId="784"/>
    <cellStyle name="20% - 强调文字颜色 5 4 23" xfId="785"/>
    <cellStyle name="20% - 强调文字颜色 5 4 3" xfId="786"/>
    <cellStyle name="20% - 强调文字颜色 5 4 4" xfId="787"/>
    <cellStyle name="20% - 强调文字颜色 5 4 5" xfId="788"/>
    <cellStyle name="20% - 强调文字颜色 5 4 6" xfId="789"/>
    <cellStyle name="20% - 强调文字颜色 5 4 7" xfId="790"/>
    <cellStyle name="20% - 强调文字颜色 5 4 8" xfId="791"/>
    <cellStyle name="20% - 强调文字颜色 5 4 9" xfId="792"/>
    <cellStyle name="20% - 强调文字颜色 5 5" xfId="793"/>
    <cellStyle name="20% - 强调文字颜色 5 5 10" xfId="794"/>
    <cellStyle name="20% - 强调文字颜色 5 5 11" xfId="795"/>
    <cellStyle name="20% - 强调文字颜色 5 5 12" xfId="796"/>
    <cellStyle name="20% - 强调文字颜色 5 5 13" xfId="797"/>
    <cellStyle name="20% - 强调文字颜色 5 5 14" xfId="798"/>
    <cellStyle name="20% - 强调文字颜色 5 5 15" xfId="799"/>
    <cellStyle name="20% - 强调文字颜色 5 5 16" xfId="800"/>
    <cellStyle name="20% - 强调文字颜色 5 5 17" xfId="801"/>
    <cellStyle name="20% - 强调文字颜色 5 5 18" xfId="802"/>
    <cellStyle name="20% - 强调文字颜色 5 5 19" xfId="803"/>
    <cellStyle name="20% - 强调文字颜色 5 5 2" xfId="804"/>
    <cellStyle name="20% - 强调文字颜色 5 5 2 2" xfId="805"/>
    <cellStyle name="20% - 强调文字颜色 5 5 2 3" xfId="806"/>
    <cellStyle name="20% - 强调文字颜色 5 5 2 4" xfId="807"/>
    <cellStyle name="20% - 强调文字颜色 5 5 2 4 2" xfId="808"/>
    <cellStyle name="20% - 强调文字颜色 5 5 2 5" xfId="809"/>
    <cellStyle name="20% - 强调文字颜色 5 5 20" xfId="810"/>
    <cellStyle name="20% - 强调文字颜色 5 5 21" xfId="811"/>
    <cellStyle name="20% - 强调文字颜色 5 5 22" xfId="812"/>
    <cellStyle name="20% - 强调文字颜色 5 5 23" xfId="813"/>
    <cellStyle name="20% - 强调文字颜色 5 5 3" xfId="814"/>
    <cellStyle name="20% - 强调文字颜色 5 5 4" xfId="815"/>
    <cellStyle name="20% - 强调文字颜色 5 5 5" xfId="816"/>
    <cellStyle name="20% - 强调文字颜色 5 5 6" xfId="817"/>
    <cellStyle name="20% - 强调文字颜色 5 5 7" xfId="818"/>
    <cellStyle name="20% - 强调文字颜色 5 5 8" xfId="819"/>
    <cellStyle name="20% - 强调文字颜色 5 5 9" xfId="820"/>
    <cellStyle name="20% - 强调文字颜色 5 6" xfId="821"/>
    <cellStyle name="20% - 强调文字颜色 5 6 10" xfId="822"/>
    <cellStyle name="20% - 强调文字颜色 5 6 11" xfId="823"/>
    <cellStyle name="20% - 强调文字颜色 5 6 12" xfId="824"/>
    <cellStyle name="20% - 强调文字颜色 5 6 13" xfId="825"/>
    <cellStyle name="20% - 强调文字颜色 5 6 14" xfId="826"/>
    <cellStyle name="20% - 强调文字颜色 5 6 15" xfId="827"/>
    <cellStyle name="20% - 强调文字颜色 5 6 16" xfId="828"/>
    <cellStyle name="20% - 强调文字颜色 5 6 17" xfId="829"/>
    <cellStyle name="20% - 强调文字颜色 5 6 18" xfId="830"/>
    <cellStyle name="20% - 强调文字颜色 5 6 19" xfId="831"/>
    <cellStyle name="20% - 强调文字颜色 5 6 2" xfId="832"/>
    <cellStyle name="20% - 强调文字颜色 5 6 2 2" xfId="833"/>
    <cellStyle name="20% - 强调文字颜色 5 6 2 3" xfId="834"/>
    <cellStyle name="20% - 强调文字颜色 5 6 2 4" xfId="835"/>
    <cellStyle name="20% - 强调文字颜色 5 6 2 4 2" xfId="836"/>
    <cellStyle name="20% - 强调文字颜色 5 6 2 5" xfId="837"/>
    <cellStyle name="20% - 强调文字颜色 5 6 20" xfId="838"/>
    <cellStyle name="20% - 强调文字颜色 5 6 21" xfId="839"/>
    <cellStyle name="20% - 强调文字颜色 5 6 22" xfId="840"/>
    <cellStyle name="20% - 强调文字颜色 5 6 23" xfId="841"/>
    <cellStyle name="20% - 强调文字颜色 5 6 3" xfId="842"/>
    <cellStyle name="20% - 强调文字颜色 5 6 4" xfId="843"/>
    <cellStyle name="20% - 强调文字颜色 5 6 5" xfId="844"/>
    <cellStyle name="20% - 强调文字颜色 5 6 6" xfId="845"/>
    <cellStyle name="20% - 强调文字颜色 5 6 7" xfId="846"/>
    <cellStyle name="20% - 强调文字颜色 5 6 8" xfId="847"/>
    <cellStyle name="20% - 强调文字颜色 5 6 9" xfId="848"/>
    <cellStyle name="20% - 强调文字颜色 5 7" xfId="849"/>
    <cellStyle name="20% - 强调文字颜色 5 7 10" xfId="850"/>
    <cellStyle name="20% - 强调文字颜色 5 7 11" xfId="851"/>
    <cellStyle name="20% - 强调文字颜色 5 7 12" xfId="852"/>
    <cellStyle name="20% - 强调文字颜色 5 7 13" xfId="853"/>
    <cellStyle name="20% - 强调文字颜色 5 7 14" xfId="854"/>
    <cellStyle name="20% - 强调文字颜色 5 7 15" xfId="855"/>
    <cellStyle name="20% - 强调文字颜色 5 7 16" xfId="856"/>
    <cellStyle name="20% - 强调文字颜色 5 7 17" xfId="857"/>
    <cellStyle name="20% - 强调文字颜色 5 7 18" xfId="858"/>
    <cellStyle name="20% - 强调文字颜色 5 7 19" xfId="859"/>
    <cellStyle name="20% - 强调文字颜色 5 7 2" xfId="860"/>
    <cellStyle name="20% - 强调文字颜色 5 7 2 2" xfId="861"/>
    <cellStyle name="20% - 强调文字颜色 5 7 2 3" xfId="862"/>
    <cellStyle name="20% - 强调文字颜色 5 7 2 4" xfId="863"/>
    <cellStyle name="20% - 强调文字颜色 5 7 2 4 2" xfId="864"/>
    <cellStyle name="20% - 强调文字颜色 5 7 2 5" xfId="865"/>
    <cellStyle name="20% - 强调文字颜色 5 7 20" xfId="866"/>
    <cellStyle name="20% - 强调文字颜色 5 7 21" xfId="867"/>
    <cellStyle name="20% - 强调文字颜色 5 7 22" xfId="868"/>
    <cellStyle name="20% - 强调文字颜色 5 7 23" xfId="869"/>
    <cellStyle name="20% - 强调文字颜色 5 7 3" xfId="870"/>
    <cellStyle name="20% - 强调文字颜色 5 7 4" xfId="871"/>
    <cellStyle name="20% - 强调文字颜色 5 7 5" xfId="872"/>
    <cellStyle name="20% - 强调文字颜色 5 7 6" xfId="873"/>
    <cellStyle name="20% - 强调文字颜色 5 7 7" xfId="874"/>
    <cellStyle name="20% - 强调文字颜色 5 7 8" xfId="875"/>
    <cellStyle name="20% - 强调文字颜色 5 7 9" xfId="876"/>
    <cellStyle name="20% - 强调文字颜色 6 2" xfId="877"/>
    <cellStyle name="20% - 强调文字颜色 6 2 10" xfId="878"/>
    <cellStyle name="20% - 强调文字颜色 6 2 11" xfId="879"/>
    <cellStyle name="20% - 强调文字颜色 6 2 12" xfId="880"/>
    <cellStyle name="20% - 强调文字颜色 6 2 13" xfId="881"/>
    <cellStyle name="20% - 强调文字颜色 6 2 14" xfId="882"/>
    <cellStyle name="20% - 强调文字颜色 6 2 15" xfId="883"/>
    <cellStyle name="20% - 强调文字颜色 6 2 16" xfId="884"/>
    <cellStyle name="20% - 强调文字颜色 6 2 17" xfId="885"/>
    <cellStyle name="20% - 强调文字颜色 6 2 18" xfId="886"/>
    <cellStyle name="20% - 强调文字颜色 6 2 19" xfId="887"/>
    <cellStyle name="20% - 强调文字颜色 6 2 2" xfId="888"/>
    <cellStyle name="20% - 强调文字颜色 6 2 2 2" xfId="889"/>
    <cellStyle name="20% - 强调文字颜色 6 2 2 3" xfId="890"/>
    <cellStyle name="20% - 强调文字颜色 6 2 2 4" xfId="891"/>
    <cellStyle name="20% - 强调文字颜色 6 2 2 4 2" xfId="892"/>
    <cellStyle name="20% - 强调文字颜色 6 2 2 5" xfId="893"/>
    <cellStyle name="20% - 强调文字颜色 6 2 20" xfId="894"/>
    <cellStyle name="20% - 强调文字颜色 6 2 21" xfId="895"/>
    <cellStyle name="20% - 强调文字颜色 6 2 22" xfId="896"/>
    <cellStyle name="20% - 强调文字颜色 6 2 23" xfId="897"/>
    <cellStyle name="20% - 强调文字颜色 6 2 3" xfId="898"/>
    <cellStyle name="20% - 强调文字颜色 6 2 4" xfId="899"/>
    <cellStyle name="20% - 强调文字颜色 6 2 5" xfId="900"/>
    <cellStyle name="20% - 强调文字颜色 6 2 6" xfId="901"/>
    <cellStyle name="20% - 强调文字颜色 6 2 7" xfId="902"/>
    <cellStyle name="20% - 强调文字颜色 6 2 8" xfId="903"/>
    <cellStyle name="20% - 强调文字颜色 6 2 9" xfId="904"/>
    <cellStyle name="20% - 强调文字颜色 6 3" xfId="905"/>
    <cellStyle name="20% - 强调文字颜色 6 3 10" xfId="906"/>
    <cellStyle name="20% - 强调文字颜色 6 3 11" xfId="907"/>
    <cellStyle name="20% - 强调文字颜色 6 3 12" xfId="908"/>
    <cellStyle name="20% - 强调文字颜色 6 3 13" xfId="909"/>
    <cellStyle name="20% - 强调文字颜色 6 3 14" xfId="910"/>
    <cellStyle name="20% - 强调文字颜色 6 3 15" xfId="911"/>
    <cellStyle name="20% - 强调文字颜色 6 3 16" xfId="912"/>
    <cellStyle name="20% - 强调文字颜色 6 3 17" xfId="913"/>
    <cellStyle name="20% - 强调文字颜色 6 3 18" xfId="914"/>
    <cellStyle name="20% - 强调文字颜色 6 3 19" xfId="915"/>
    <cellStyle name="20% - 强调文字颜色 6 3 2" xfId="916"/>
    <cellStyle name="20% - 强调文字颜色 6 3 2 2" xfId="917"/>
    <cellStyle name="20% - 强调文字颜色 6 3 2 3" xfId="918"/>
    <cellStyle name="20% - 强调文字颜色 6 3 2 4" xfId="919"/>
    <cellStyle name="20% - 强调文字颜色 6 3 2 4 2" xfId="920"/>
    <cellStyle name="20% - 强调文字颜色 6 3 2 5" xfId="921"/>
    <cellStyle name="20% - 强调文字颜色 6 3 20" xfId="922"/>
    <cellStyle name="20% - 强调文字颜色 6 3 21" xfId="923"/>
    <cellStyle name="20% - 强调文字颜色 6 3 22" xfId="924"/>
    <cellStyle name="20% - 强调文字颜色 6 3 23" xfId="925"/>
    <cellStyle name="20% - 强调文字颜色 6 3 3" xfId="926"/>
    <cellStyle name="20% - 强调文字颜色 6 3 4" xfId="927"/>
    <cellStyle name="20% - 强调文字颜色 6 3 5" xfId="928"/>
    <cellStyle name="20% - 强调文字颜色 6 3 6" xfId="929"/>
    <cellStyle name="20% - 强调文字颜色 6 3 7" xfId="930"/>
    <cellStyle name="20% - 强调文字颜色 6 3 8" xfId="931"/>
    <cellStyle name="20% - 强调文字颜色 6 3 9" xfId="932"/>
    <cellStyle name="20% - 强调文字颜色 6 4" xfId="933"/>
    <cellStyle name="20% - 强调文字颜色 6 4 10" xfId="934"/>
    <cellStyle name="20% - 强调文字颜色 6 4 11" xfId="935"/>
    <cellStyle name="20% - 强调文字颜色 6 4 12" xfId="936"/>
    <cellStyle name="20% - 强调文字颜色 6 4 13" xfId="937"/>
    <cellStyle name="20% - 强调文字颜色 6 4 14" xfId="938"/>
    <cellStyle name="20% - 强调文字颜色 6 4 15" xfId="939"/>
    <cellStyle name="20% - 强调文字颜色 6 4 16" xfId="940"/>
    <cellStyle name="20% - 强调文字颜色 6 4 17" xfId="941"/>
    <cellStyle name="20% - 强调文字颜色 6 4 18" xfId="942"/>
    <cellStyle name="20% - 强调文字颜色 6 4 19" xfId="943"/>
    <cellStyle name="20% - 强调文字颜色 6 4 2" xfId="944"/>
    <cellStyle name="20% - 强调文字颜色 6 4 2 2" xfId="945"/>
    <cellStyle name="20% - 强调文字颜色 6 4 2 3" xfId="946"/>
    <cellStyle name="20% - 强调文字颜色 6 4 2 4" xfId="947"/>
    <cellStyle name="20% - 强调文字颜色 6 4 2 4 2" xfId="948"/>
    <cellStyle name="20% - 强调文字颜色 6 4 2 5" xfId="949"/>
    <cellStyle name="20% - 强调文字颜色 6 4 20" xfId="950"/>
    <cellStyle name="20% - 强调文字颜色 6 4 21" xfId="951"/>
    <cellStyle name="20% - 强调文字颜色 6 4 22" xfId="952"/>
    <cellStyle name="20% - 强调文字颜色 6 4 23" xfId="953"/>
    <cellStyle name="20% - 强调文字颜色 6 4 3" xfId="954"/>
    <cellStyle name="20% - 强调文字颜色 6 4 4" xfId="955"/>
    <cellStyle name="20% - 强调文字颜色 6 4 5" xfId="956"/>
    <cellStyle name="20% - 强调文字颜色 6 4 6" xfId="957"/>
    <cellStyle name="20% - 强调文字颜色 6 4 7" xfId="958"/>
    <cellStyle name="20% - 强调文字颜色 6 4 8" xfId="959"/>
    <cellStyle name="20% - 强调文字颜色 6 4 9" xfId="960"/>
    <cellStyle name="20% - 强调文字颜色 6 5" xfId="961"/>
    <cellStyle name="20% - 强调文字颜色 6 5 10" xfId="962"/>
    <cellStyle name="20% - 强调文字颜色 6 5 11" xfId="963"/>
    <cellStyle name="20% - 强调文字颜色 6 5 12" xfId="964"/>
    <cellStyle name="20% - 强调文字颜色 6 5 13" xfId="965"/>
    <cellStyle name="20% - 强调文字颜色 6 5 14" xfId="966"/>
    <cellStyle name="20% - 强调文字颜色 6 5 15" xfId="967"/>
    <cellStyle name="20% - 强调文字颜色 6 5 16" xfId="968"/>
    <cellStyle name="20% - 强调文字颜色 6 5 17" xfId="969"/>
    <cellStyle name="20% - 强调文字颜色 6 5 18" xfId="970"/>
    <cellStyle name="20% - 强调文字颜色 6 5 19" xfId="971"/>
    <cellStyle name="20% - 强调文字颜色 6 5 2" xfId="972"/>
    <cellStyle name="20% - 强调文字颜色 6 5 2 2" xfId="973"/>
    <cellStyle name="20% - 强调文字颜色 6 5 2 3" xfId="974"/>
    <cellStyle name="20% - 强调文字颜色 6 5 2 4" xfId="975"/>
    <cellStyle name="20% - 强调文字颜色 6 5 2 4 2" xfId="976"/>
    <cellStyle name="20% - 强调文字颜色 6 5 2 5" xfId="977"/>
    <cellStyle name="20% - 强调文字颜色 6 5 20" xfId="978"/>
    <cellStyle name="20% - 强调文字颜色 6 5 21" xfId="979"/>
    <cellStyle name="20% - 强调文字颜色 6 5 22" xfId="980"/>
    <cellStyle name="20% - 强调文字颜色 6 5 23" xfId="981"/>
    <cellStyle name="20% - 强调文字颜色 6 5 3" xfId="982"/>
    <cellStyle name="20% - 强调文字颜色 6 5 4" xfId="983"/>
    <cellStyle name="20% - 强调文字颜色 6 5 5" xfId="984"/>
    <cellStyle name="20% - 强调文字颜色 6 5 6" xfId="985"/>
    <cellStyle name="20% - 强调文字颜色 6 5 7" xfId="986"/>
    <cellStyle name="20% - 强调文字颜色 6 5 8" xfId="987"/>
    <cellStyle name="20% - 强调文字颜色 6 5 9" xfId="988"/>
    <cellStyle name="20% - 强调文字颜色 6 6" xfId="989"/>
    <cellStyle name="20% - 强调文字颜色 6 6 10" xfId="990"/>
    <cellStyle name="20% - 强调文字颜色 6 6 11" xfId="991"/>
    <cellStyle name="20% - 强调文字颜色 6 6 12" xfId="992"/>
    <cellStyle name="20% - 强调文字颜色 6 6 13" xfId="993"/>
    <cellStyle name="20% - 强调文字颜色 6 6 14" xfId="994"/>
    <cellStyle name="20% - 强调文字颜色 6 6 15" xfId="995"/>
    <cellStyle name="20% - 强调文字颜色 6 6 16" xfId="996"/>
    <cellStyle name="20% - 强调文字颜色 6 6 17" xfId="997"/>
    <cellStyle name="20% - 强调文字颜色 6 6 18" xfId="998"/>
    <cellStyle name="20% - 强调文字颜色 6 6 19" xfId="999"/>
    <cellStyle name="20% - 强调文字颜色 6 6 2" xfId="1000"/>
    <cellStyle name="20% - 强调文字颜色 6 6 2 2" xfId="1001"/>
    <cellStyle name="20% - 强调文字颜色 6 6 2 3" xfId="1002"/>
    <cellStyle name="20% - 强调文字颜色 6 6 2 4" xfId="1003"/>
    <cellStyle name="20% - 强调文字颜色 6 6 2 4 2" xfId="1004"/>
    <cellStyle name="20% - 强调文字颜色 6 6 2 5" xfId="1005"/>
    <cellStyle name="20% - 强调文字颜色 6 6 20" xfId="1006"/>
    <cellStyle name="20% - 强调文字颜色 6 6 21" xfId="1007"/>
    <cellStyle name="20% - 强调文字颜色 6 6 22" xfId="1008"/>
    <cellStyle name="20% - 强调文字颜色 6 6 23" xfId="1009"/>
    <cellStyle name="20% - 强调文字颜色 6 6 3" xfId="1010"/>
    <cellStyle name="20% - 强调文字颜色 6 6 4" xfId="1011"/>
    <cellStyle name="20% - 强调文字颜色 6 6 5" xfId="1012"/>
    <cellStyle name="20% - 强调文字颜色 6 6 6" xfId="1013"/>
    <cellStyle name="20% - 强调文字颜色 6 6 7" xfId="1014"/>
    <cellStyle name="20% - 强调文字颜色 6 6 8" xfId="1015"/>
    <cellStyle name="20% - 强调文字颜色 6 6 9" xfId="1016"/>
    <cellStyle name="20% - 强调文字颜色 6 7" xfId="1017"/>
    <cellStyle name="20% - 强调文字颜色 6 7 10" xfId="1018"/>
    <cellStyle name="20% - 强调文字颜色 6 7 11" xfId="1019"/>
    <cellStyle name="20% - 强调文字颜色 6 7 12" xfId="1020"/>
    <cellStyle name="20% - 强调文字颜色 6 7 13" xfId="1021"/>
    <cellStyle name="20% - 强调文字颜色 6 7 14" xfId="1022"/>
    <cellStyle name="20% - 强调文字颜色 6 7 15" xfId="1023"/>
    <cellStyle name="20% - 强调文字颜色 6 7 16" xfId="1024"/>
    <cellStyle name="20% - 强调文字颜色 6 7 17" xfId="1025"/>
    <cellStyle name="20% - 强调文字颜色 6 7 18" xfId="1026"/>
    <cellStyle name="20% - 强调文字颜色 6 7 19" xfId="1027"/>
    <cellStyle name="20% - 强调文字颜色 6 7 2" xfId="1028"/>
    <cellStyle name="20% - 强调文字颜色 6 7 2 2" xfId="1029"/>
    <cellStyle name="20% - 强调文字颜色 6 7 2 3" xfId="1030"/>
    <cellStyle name="20% - 强调文字颜色 6 7 2 4" xfId="1031"/>
    <cellStyle name="20% - 强调文字颜色 6 7 2 4 2" xfId="1032"/>
    <cellStyle name="20% - 强调文字颜色 6 7 2 5" xfId="1033"/>
    <cellStyle name="20% - 强调文字颜色 6 7 20" xfId="1034"/>
    <cellStyle name="20% - 强调文字颜色 6 7 21" xfId="1035"/>
    <cellStyle name="20% - 强调文字颜色 6 7 22" xfId="1036"/>
    <cellStyle name="20% - 强调文字颜色 6 7 23" xfId="1037"/>
    <cellStyle name="20% - 强调文字颜色 6 7 3" xfId="1038"/>
    <cellStyle name="20% - 强调文字颜色 6 7 4" xfId="1039"/>
    <cellStyle name="20% - 强调文字颜色 6 7 5" xfId="1040"/>
    <cellStyle name="20% - 强调文字颜色 6 7 6" xfId="1041"/>
    <cellStyle name="20% - 强调文字颜色 6 7 7" xfId="1042"/>
    <cellStyle name="20% - 强调文字颜色 6 7 8" xfId="1043"/>
    <cellStyle name="20% - 强调文字颜色 6 7 9" xfId="1044"/>
    <cellStyle name="40% - 强调文字颜色 1 2" xfId="1045"/>
    <cellStyle name="40% - 强调文字颜色 1 2 10" xfId="1046"/>
    <cellStyle name="40% - 强调文字颜色 1 2 11" xfId="1047"/>
    <cellStyle name="40% - 强调文字颜色 1 2 12" xfId="1048"/>
    <cellStyle name="40% - 强调文字颜色 1 2 13" xfId="1049"/>
    <cellStyle name="40% - 强调文字颜色 1 2 14" xfId="1050"/>
    <cellStyle name="40% - 强调文字颜色 1 2 15" xfId="1051"/>
    <cellStyle name="40% - 强调文字颜色 1 2 16" xfId="1052"/>
    <cellStyle name="40% - 强调文字颜色 1 2 17" xfId="1053"/>
    <cellStyle name="40% - 强调文字颜色 1 2 18" xfId="1054"/>
    <cellStyle name="40% - 强调文字颜色 1 2 19" xfId="1055"/>
    <cellStyle name="40% - 强调文字颜色 1 2 2" xfId="1056"/>
    <cellStyle name="40% - 强调文字颜色 1 2 2 2" xfId="1057"/>
    <cellStyle name="40% - 强调文字颜色 1 2 2 3" xfId="1058"/>
    <cellStyle name="40% - 强调文字颜色 1 2 2 4" xfId="1059"/>
    <cellStyle name="40% - 强调文字颜色 1 2 2 4 2" xfId="1060"/>
    <cellStyle name="40% - 强调文字颜色 1 2 2 5" xfId="1061"/>
    <cellStyle name="40% - 强调文字颜色 1 2 20" xfId="1062"/>
    <cellStyle name="40% - 强调文字颜色 1 2 21" xfId="1063"/>
    <cellStyle name="40% - 强调文字颜色 1 2 22" xfId="1064"/>
    <cellStyle name="40% - 强调文字颜色 1 2 23" xfId="1065"/>
    <cellStyle name="40% - 强调文字颜色 1 2 3" xfId="1066"/>
    <cellStyle name="40% - 强调文字颜色 1 2 4" xfId="1067"/>
    <cellStyle name="40% - 强调文字颜色 1 2 5" xfId="1068"/>
    <cellStyle name="40% - 强调文字颜色 1 2 6" xfId="1069"/>
    <cellStyle name="40% - 强调文字颜色 1 2 7" xfId="1070"/>
    <cellStyle name="40% - 强调文字颜色 1 2 8" xfId="1071"/>
    <cellStyle name="40% - 强调文字颜色 1 2 9" xfId="1072"/>
    <cellStyle name="40% - 强调文字颜色 1 3" xfId="1073"/>
    <cellStyle name="40% - 强调文字颜色 1 3 10" xfId="1074"/>
    <cellStyle name="40% - 强调文字颜色 1 3 11" xfId="1075"/>
    <cellStyle name="40% - 强调文字颜色 1 3 12" xfId="1076"/>
    <cellStyle name="40% - 强调文字颜色 1 3 13" xfId="1077"/>
    <cellStyle name="40% - 强调文字颜色 1 3 14" xfId="1078"/>
    <cellStyle name="40% - 强调文字颜色 1 3 15" xfId="1079"/>
    <cellStyle name="40% - 强调文字颜色 1 3 16" xfId="1080"/>
    <cellStyle name="40% - 强调文字颜色 1 3 17" xfId="1081"/>
    <cellStyle name="40% - 强调文字颜色 1 3 18" xfId="1082"/>
    <cellStyle name="40% - 强调文字颜色 1 3 19" xfId="1083"/>
    <cellStyle name="40% - 强调文字颜色 1 3 2" xfId="1084"/>
    <cellStyle name="40% - 强调文字颜色 1 3 2 2" xfId="1085"/>
    <cellStyle name="40% - 强调文字颜色 1 3 2 3" xfId="1086"/>
    <cellStyle name="40% - 强调文字颜色 1 3 2 4" xfId="1087"/>
    <cellStyle name="40% - 强调文字颜色 1 3 2 4 2" xfId="1088"/>
    <cellStyle name="40% - 强调文字颜色 1 3 2 5" xfId="1089"/>
    <cellStyle name="40% - 强调文字颜色 1 3 20" xfId="1090"/>
    <cellStyle name="40% - 强调文字颜色 1 3 21" xfId="1091"/>
    <cellStyle name="40% - 强调文字颜色 1 3 22" xfId="1092"/>
    <cellStyle name="40% - 强调文字颜色 1 3 23" xfId="1093"/>
    <cellStyle name="40% - 强调文字颜色 1 3 3" xfId="1094"/>
    <cellStyle name="40% - 强调文字颜色 1 3 4" xfId="1095"/>
    <cellStyle name="40% - 强调文字颜色 1 3 5" xfId="1096"/>
    <cellStyle name="40% - 强调文字颜色 1 3 6" xfId="1097"/>
    <cellStyle name="40% - 强调文字颜色 1 3 7" xfId="1098"/>
    <cellStyle name="40% - 强调文字颜色 1 3 8" xfId="1099"/>
    <cellStyle name="40% - 强调文字颜色 1 3 9" xfId="1100"/>
    <cellStyle name="40% - 强调文字颜色 1 4" xfId="1101"/>
    <cellStyle name="40% - 强调文字颜色 1 4 10" xfId="1102"/>
    <cellStyle name="40% - 强调文字颜色 1 4 11" xfId="1103"/>
    <cellStyle name="40% - 强调文字颜色 1 4 12" xfId="1104"/>
    <cellStyle name="40% - 强调文字颜色 1 4 13" xfId="1105"/>
    <cellStyle name="40% - 强调文字颜色 1 4 14" xfId="1106"/>
    <cellStyle name="40% - 强调文字颜色 1 4 15" xfId="1107"/>
    <cellStyle name="40% - 强调文字颜色 1 4 16" xfId="1108"/>
    <cellStyle name="40% - 强调文字颜色 1 4 17" xfId="1109"/>
    <cellStyle name="40% - 强调文字颜色 1 4 18" xfId="1110"/>
    <cellStyle name="40% - 强调文字颜色 1 4 19" xfId="1111"/>
    <cellStyle name="40% - 强调文字颜色 1 4 2" xfId="1112"/>
    <cellStyle name="40% - 强调文字颜色 1 4 2 2" xfId="1113"/>
    <cellStyle name="40% - 强调文字颜色 1 4 2 3" xfId="1114"/>
    <cellStyle name="40% - 强调文字颜色 1 4 2 4" xfId="1115"/>
    <cellStyle name="40% - 强调文字颜色 1 4 2 4 2" xfId="1116"/>
    <cellStyle name="40% - 强调文字颜色 1 4 2 5" xfId="1117"/>
    <cellStyle name="40% - 强调文字颜色 1 4 20" xfId="1118"/>
    <cellStyle name="40% - 强调文字颜色 1 4 21" xfId="1119"/>
    <cellStyle name="40% - 强调文字颜色 1 4 22" xfId="1120"/>
    <cellStyle name="40% - 强调文字颜色 1 4 23" xfId="1121"/>
    <cellStyle name="40% - 强调文字颜色 1 4 3" xfId="1122"/>
    <cellStyle name="40% - 强调文字颜色 1 4 4" xfId="1123"/>
    <cellStyle name="40% - 强调文字颜色 1 4 5" xfId="1124"/>
    <cellStyle name="40% - 强调文字颜色 1 4 6" xfId="1125"/>
    <cellStyle name="40% - 强调文字颜色 1 4 7" xfId="1126"/>
    <cellStyle name="40% - 强调文字颜色 1 4 8" xfId="1127"/>
    <cellStyle name="40% - 强调文字颜色 1 4 9" xfId="1128"/>
    <cellStyle name="40% - 强调文字颜色 1 5" xfId="1129"/>
    <cellStyle name="40% - 强调文字颜色 1 5 10" xfId="1130"/>
    <cellStyle name="40% - 强调文字颜色 1 5 11" xfId="1131"/>
    <cellStyle name="40% - 强调文字颜色 1 5 12" xfId="1132"/>
    <cellStyle name="40% - 强调文字颜色 1 5 13" xfId="1133"/>
    <cellStyle name="40% - 强调文字颜色 1 5 14" xfId="1134"/>
    <cellStyle name="40% - 强调文字颜色 1 5 15" xfId="1135"/>
    <cellStyle name="40% - 强调文字颜色 1 5 16" xfId="1136"/>
    <cellStyle name="40% - 强调文字颜色 1 5 17" xfId="1137"/>
    <cellStyle name="40% - 强调文字颜色 1 5 18" xfId="1138"/>
    <cellStyle name="40% - 强调文字颜色 1 5 19" xfId="1139"/>
    <cellStyle name="40% - 强调文字颜色 1 5 2" xfId="1140"/>
    <cellStyle name="40% - 强调文字颜色 1 5 2 2" xfId="1141"/>
    <cellStyle name="40% - 强调文字颜色 1 5 2 3" xfId="1142"/>
    <cellStyle name="40% - 强调文字颜色 1 5 2 4" xfId="1143"/>
    <cellStyle name="40% - 强调文字颜色 1 5 2 4 2" xfId="1144"/>
    <cellStyle name="40% - 强调文字颜色 1 5 2 5" xfId="1145"/>
    <cellStyle name="40% - 强调文字颜色 1 5 20" xfId="1146"/>
    <cellStyle name="40% - 强调文字颜色 1 5 21" xfId="1147"/>
    <cellStyle name="40% - 强调文字颜色 1 5 22" xfId="1148"/>
    <cellStyle name="40% - 强调文字颜色 1 5 23" xfId="1149"/>
    <cellStyle name="40% - 强调文字颜色 1 5 3" xfId="1150"/>
    <cellStyle name="40% - 强调文字颜色 1 5 4" xfId="1151"/>
    <cellStyle name="40% - 强调文字颜色 1 5 5" xfId="1152"/>
    <cellStyle name="40% - 强调文字颜色 1 5 6" xfId="1153"/>
    <cellStyle name="40% - 强调文字颜色 1 5 7" xfId="1154"/>
    <cellStyle name="40% - 强调文字颜色 1 5 8" xfId="1155"/>
    <cellStyle name="40% - 强调文字颜色 1 5 9" xfId="1156"/>
    <cellStyle name="40% - 强调文字颜色 1 6" xfId="1157"/>
    <cellStyle name="40% - 强调文字颜色 1 6 10" xfId="1158"/>
    <cellStyle name="40% - 强调文字颜色 1 6 11" xfId="1159"/>
    <cellStyle name="40% - 强调文字颜色 1 6 12" xfId="1160"/>
    <cellStyle name="40% - 强调文字颜色 1 6 13" xfId="1161"/>
    <cellStyle name="40% - 强调文字颜色 1 6 14" xfId="1162"/>
    <cellStyle name="40% - 强调文字颜色 1 6 15" xfId="1163"/>
    <cellStyle name="40% - 强调文字颜色 1 6 16" xfId="1164"/>
    <cellStyle name="40% - 强调文字颜色 1 6 17" xfId="1165"/>
    <cellStyle name="40% - 强调文字颜色 1 6 18" xfId="1166"/>
    <cellStyle name="40% - 强调文字颜色 1 6 19" xfId="1167"/>
    <cellStyle name="40% - 强调文字颜色 1 6 2" xfId="1168"/>
    <cellStyle name="40% - 强调文字颜色 1 6 2 2" xfId="1169"/>
    <cellStyle name="40% - 强调文字颜色 1 6 2 3" xfId="1170"/>
    <cellStyle name="40% - 强调文字颜色 1 6 2 4" xfId="1171"/>
    <cellStyle name="40% - 强调文字颜色 1 6 2 4 2" xfId="1172"/>
    <cellStyle name="40% - 强调文字颜色 1 6 2 5" xfId="1173"/>
    <cellStyle name="40% - 强调文字颜色 1 6 20" xfId="1174"/>
    <cellStyle name="40% - 强调文字颜色 1 6 21" xfId="1175"/>
    <cellStyle name="40% - 强调文字颜色 1 6 22" xfId="1176"/>
    <cellStyle name="40% - 强调文字颜色 1 6 23" xfId="1177"/>
    <cellStyle name="40% - 强调文字颜色 1 6 3" xfId="1178"/>
    <cellStyle name="40% - 强调文字颜色 1 6 4" xfId="1179"/>
    <cellStyle name="40% - 强调文字颜色 1 6 5" xfId="1180"/>
    <cellStyle name="40% - 强调文字颜色 1 6 6" xfId="1181"/>
    <cellStyle name="40% - 强调文字颜色 1 6 7" xfId="1182"/>
    <cellStyle name="40% - 强调文字颜色 1 6 8" xfId="1183"/>
    <cellStyle name="40% - 强调文字颜色 1 6 9" xfId="1184"/>
    <cellStyle name="40% - 强调文字颜色 1 7" xfId="1185"/>
    <cellStyle name="40% - 强调文字颜色 1 7 10" xfId="1186"/>
    <cellStyle name="40% - 强调文字颜色 1 7 11" xfId="1187"/>
    <cellStyle name="40% - 强调文字颜色 1 7 12" xfId="1188"/>
    <cellStyle name="40% - 强调文字颜色 1 7 13" xfId="1189"/>
    <cellStyle name="40% - 强调文字颜色 1 7 14" xfId="1190"/>
    <cellStyle name="40% - 强调文字颜色 1 7 15" xfId="1191"/>
    <cellStyle name="40% - 强调文字颜色 1 7 16" xfId="1192"/>
    <cellStyle name="40% - 强调文字颜色 1 7 17" xfId="1193"/>
    <cellStyle name="40% - 强调文字颜色 1 7 18" xfId="1194"/>
    <cellStyle name="40% - 强调文字颜色 1 7 19" xfId="1195"/>
    <cellStyle name="40% - 强调文字颜色 1 7 2" xfId="1196"/>
    <cellStyle name="40% - 强调文字颜色 1 7 2 2" xfId="1197"/>
    <cellStyle name="40% - 强调文字颜色 1 7 2 3" xfId="1198"/>
    <cellStyle name="40% - 强调文字颜色 1 7 2 4" xfId="1199"/>
    <cellStyle name="40% - 强调文字颜色 1 7 2 4 2" xfId="1200"/>
    <cellStyle name="40% - 强调文字颜色 1 7 2 5" xfId="1201"/>
    <cellStyle name="40% - 强调文字颜色 1 7 20" xfId="1202"/>
    <cellStyle name="40% - 强调文字颜色 1 7 21" xfId="1203"/>
    <cellStyle name="40% - 强调文字颜色 1 7 22" xfId="1204"/>
    <cellStyle name="40% - 强调文字颜色 1 7 23" xfId="1205"/>
    <cellStyle name="40% - 强调文字颜色 1 7 3" xfId="1206"/>
    <cellStyle name="40% - 强调文字颜色 1 7 4" xfId="1207"/>
    <cellStyle name="40% - 强调文字颜色 1 7 5" xfId="1208"/>
    <cellStyle name="40% - 强调文字颜色 1 7 6" xfId="1209"/>
    <cellStyle name="40% - 强调文字颜色 1 7 7" xfId="1210"/>
    <cellStyle name="40% - 强调文字颜色 1 7 8" xfId="1211"/>
    <cellStyle name="40% - 强调文字颜色 1 7 9" xfId="1212"/>
    <cellStyle name="40% - 强调文字颜色 2 2" xfId="1213"/>
    <cellStyle name="40% - 强调文字颜色 2 2 10" xfId="1214"/>
    <cellStyle name="40% - 强调文字颜色 2 2 11" xfId="1215"/>
    <cellStyle name="40% - 强调文字颜色 2 2 12" xfId="1216"/>
    <cellStyle name="40% - 强调文字颜色 2 2 13" xfId="1217"/>
    <cellStyle name="40% - 强调文字颜色 2 2 14" xfId="1218"/>
    <cellStyle name="40% - 强调文字颜色 2 2 15" xfId="1219"/>
    <cellStyle name="40% - 强调文字颜色 2 2 16" xfId="1220"/>
    <cellStyle name="40% - 强调文字颜色 2 2 17" xfId="1221"/>
    <cellStyle name="40% - 强调文字颜色 2 2 18" xfId="1222"/>
    <cellStyle name="40% - 强调文字颜色 2 2 19" xfId="1223"/>
    <cellStyle name="40% - 强调文字颜色 2 2 2" xfId="1224"/>
    <cellStyle name="40% - 强调文字颜色 2 2 2 2" xfId="1225"/>
    <cellStyle name="40% - 强调文字颜色 2 2 2 3" xfId="1226"/>
    <cellStyle name="40% - 强调文字颜色 2 2 2 4" xfId="1227"/>
    <cellStyle name="40% - 强调文字颜色 2 2 2 4 2" xfId="1228"/>
    <cellStyle name="40% - 强调文字颜色 2 2 2 5" xfId="1229"/>
    <cellStyle name="40% - 强调文字颜色 2 2 20" xfId="1230"/>
    <cellStyle name="40% - 强调文字颜色 2 2 21" xfId="1231"/>
    <cellStyle name="40% - 强调文字颜色 2 2 22" xfId="1232"/>
    <cellStyle name="40% - 强调文字颜色 2 2 23" xfId="1233"/>
    <cellStyle name="40% - 强调文字颜色 2 2 3" xfId="1234"/>
    <cellStyle name="40% - 强调文字颜色 2 2 4" xfId="1235"/>
    <cellStyle name="40% - 强调文字颜色 2 2 5" xfId="1236"/>
    <cellStyle name="40% - 强调文字颜色 2 2 6" xfId="1237"/>
    <cellStyle name="40% - 强调文字颜色 2 2 7" xfId="1238"/>
    <cellStyle name="40% - 强调文字颜色 2 2 8" xfId="1239"/>
    <cellStyle name="40% - 强调文字颜色 2 2 9" xfId="1240"/>
    <cellStyle name="40% - 强调文字颜色 2 3" xfId="1241"/>
    <cellStyle name="40% - 强调文字颜色 2 3 10" xfId="1242"/>
    <cellStyle name="40% - 强调文字颜色 2 3 11" xfId="1243"/>
    <cellStyle name="40% - 强调文字颜色 2 3 12" xfId="1244"/>
    <cellStyle name="40% - 强调文字颜色 2 3 13" xfId="1245"/>
    <cellStyle name="40% - 强调文字颜色 2 3 14" xfId="1246"/>
    <cellStyle name="40% - 强调文字颜色 2 3 15" xfId="1247"/>
    <cellStyle name="40% - 强调文字颜色 2 3 16" xfId="1248"/>
    <cellStyle name="40% - 强调文字颜色 2 3 17" xfId="1249"/>
    <cellStyle name="40% - 强调文字颜色 2 3 18" xfId="1250"/>
    <cellStyle name="40% - 强调文字颜色 2 3 19" xfId="1251"/>
    <cellStyle name="40% - 强调文字颜色 2 3 2" xfId="1252"/>
    <cellStyle name="40% - 强调文字颜色 2 3 2 2" xfId="1253"/>
    <cellStyle name="40% - 强调文字颜色 2 3 2 3" xfId="1254"/>
    <cellStyle name="40% - 强调文字颜色 2 3 2 4" xfId="1255"/>
    <cellStyle name="40% - 强调文字颜色 2 3 2 4 2" xfId="1256"/>
    <cellStyle name="40% - 强调文字颜色 2 3 2 5" xfId="1257"/>
    <cellStyle name="40% - 强调文字颜色 2 3 20" xfId="1258"/>
    <cellStyle name="40% - 强调文字颜色 2 3 21" xfId="1259"/>
    <cellStyle name="40% - 强调文字颜色 2 3 22" xfId="1260"/>
    <cellStyle name="40% - 强调文字颜色 2 3 23" xfId="1261"/>
    <cellStyle name="40% - 强调文字颜色 2 3 3" xfId="1262"/>
    <cellStyle name="40% - 强调文字颜色 2 3 4" xfId="1263"/>
    <cellStyle name="40% - 强调文字颜色 2 3 5" xfId="1264"/>
    <cellStyle name="40% - 强调文字颜色 2 3 6" xfId="1265"/>
    <cellStyle name="40% - 强调文字颜色 2 3 7" xfId="1266"/>
    <cellStyle name="40% - 强调文字颜色 2 3 8" xfId="1267"/>
    <cellStyle name="40% - 强调文字颜色 2 3 9" xfId="1268"/>
    <cellStyle name="40% - 强调文字颜色 2 4" xfId="1269"/>
    <cellStyle name="40% - 强调文字颜色 2 4 10" xfId="1270"/>
    <cellStyle name="40% - 强调文字颜色 2 4 11" xfId="1271"/>
    <cellStyle name="40% - 强调文字颜色 2 4 12" xfId="1272"/>
    <cellStyle name="40% - 强调文字颜色 2 4 13" xfId="1273"/>
    <cellStyle name="40% - 强调文字颜色 2 4 14" xfId="1274"/>
    <cellStyle name="40% - 强调文字颜色 2 4 15" xfId="1275"/>
    <cellStyle name="40% - 强调文字颜色 2 4 16" xfId="1276"/>
    <cellStyle name="40% - 强调文字颜色 2 4 17" xfId="1277"/>
    <cellStyle name="40% - 强调文字颜色 2 4 18" xfId="1278"/>
    <cellStyle name="40% - 强调文字颜色 2 4 19" xfId="1279"/>
    <cellStyle name="40% - 强调文字颜色 2 4 2" xfId="1280"/>
    <cellStyle name="40% - 强调文字颜色 2 4 2 2" xfId="1281"/>
    <cellStyle name="40% - 强调文字颜色 2 4 2 3" xfId="1282"/>
    <cellStyle name="40% - 强调文字颜色 2 4 2 4" xfId="1283"/>
    <cellStyle name="40% - 强调文字颜色 2 4 2 4 2" xfId="1284"/>
    <cellStyle name="40% - 强调文字颜色 2 4 2 5" xfId="1285"/>
    <cellStyle name="40% - 强调文字颜色 2 4 20" xfId="1286"/>
    <cellStyle name="40% - 强调文字颜色 2 4 21" xfId="1287"/>
    <cellStyle name="40% - 强调文字颜色 2 4 22" xfId="1288"/>
    <cellStyle name="40% - 强调文字颜色 2 4 23" xfId="1289"/>
    <cellStyle name="40% - 强调文字颜色 2 4 3" xfId="1290"/>
    <cellStyle name="40% - 强调文字颜色 2 4 4" xfId="1291"/>
    <cellStyle name="40% - 强调文字颜色 2 4 5" xfId="1292"/>
    <cellStyle name="40% - 强调文字颜色 2 4 6" xfId="1293"/>
    <cellStyle name="40% - 强调文字颜色 2 4 7" xfId="1294"/>
    <cellStyle name="40% - 强调文字颜色 2 4 8" xfId="1295"/>
    <cellStyle name="40% - 强调文字颜色 2 4 9" xfId="1296"/>
    <cellStyle name="40% - 强调文字颜色 2 5" xfId="1297"/>
    <cellStyle name="40% - 强调文字颜色 2 5 10" xfId="1298"/>
    <cellStyle name="40% - 强调文字颜色 2 5 11" xfId="1299"/>
    <cellStyle name="40% - 强调文字颜色 2 5 12" xfId="1300"/>
    <cellStyle name="40% - 强调文字颜色 2 5 13" xfId="1301"/>
    <cellStyle name="40% - 强调文字颜色 2 5 14" xfId="1302"/>
    <cellStyle name="40% - 强调文字颜色 2 5 15" xfId="1303"/>
    <cellStyle name="40% - 强调文字颜色 2 5 16" xfId="1304"/>
    <cellStyle name="40% - 强调文字颜色 2 5 17" xfId="1305"/>
    <cellStyle name="40% - 强调文字颜色 2 5 18" xfId="1306"/>
    <cellStyle name="40% - 强调文字颜色 2 5 19" xfId="1307"/>
    <cellStyle name="40% - 强调文字颜色 2 5 2" xfId="1308"/>
    <cellStyle name="40% - 强调文字颜色 2 5 2 2" xfId="1309"/>
    <cellStyle name="40% - 强调文字颜色 2 5 2 3" xfId="1310"/>
    <cellStyle name="40% - 强调文字颜色 2 5 2 4" xfId="1311"/>
    <cellStyle name="40% - 强调文字颜色 2 5 2 4 2" xfId="1312"/>
    <cellStyle name="40% - 强调文字颜色 2 5 2 5" xfId="1313"/>
    <cellStyle name="40% - 强调文字颜色 2 5 20" xfId="1314"/>
    <cellStyle name="40% - 强调文字颜色 2 5 21" xfId="1315"/>
    <cellStyle name="40% - 强调文字颜色 2 5 22" xfId="1316"/>
    <cellStyle name="40% - 强调文字颜色 2 5 23" xfId="1317"/>
    <cellStyle name="40% - 强调文字颜色 2 5 3" xfId="1318"/>
    <cellStyle name="40% - 强调文字颜色 2 5 4" xfId="1319"/>
    <cellStyle name="40% - 强调文字颜色 2 5 5" xfId="1320"/>
    <cellStyle name="40% - 强调文字颜色 2 5 6" xfId="1321"/>
    <cellStyle name="40% - 强调文字颜色 2 5 7" xfId="1322"/>
    <cellStyle name="40% - 强调文字颜色 2 5 8" xfId="1323"/>
    <cellStyle name="40% - 强调文字颜色 2 5 9" xfId="1324"/>
    <cellStyle name="40% - 强调文字颜色 2 6" xfId="1325"/>
    <cellStyle name="40% - 强调文字颜色 2 6 10" xfId="1326"/>
    <cellStyle name="40% - 强调文字颜色 2 6 11" xfId="1327"/>
    <cellStyle name="40% - 强调文字颜色 2 6 12" xfId="1328"/>
    <cellStyle name="40% - 强调文字颜色 2 6 13" xfId="1329"/>
    <cellStyle name="40% - 强调文字颜色 2 6 14" xfId="1330"/>
    <cellStyle name="40% - 强调文字颜色 2 6 15" xfId="1331"/>
    <cellStyle name="40% - 强调文字颜色 2 6 16" xfId="1332"/>
    <cellStyle name="40% - 强调文字颜色 2 6 17" xfId="1333"/>
    <cellStyle name="40% - 强调文字颜色 2 6 18" xfId="1334"/>
    <cellStyle name="40% - 强调文字颜色 2 6 19" xfId="1335"/>
    <cellStyle name="40% - 强调文字颜色 2 6 2" xfId="1336"/>
    <cellStyle name="40% - 强调文字颜色 2 6 2 2" xfId="1337"/>
    <cellStyle name="40% - 强调文字颜色 2 6 2 3" xfId="1338"/>
    <cellStyle name="40% - 强调文字颜色 2 6 2 4" xfId="1339"/>
    <cellStyle name="40% - 强调文字颜色 2 6 2 4 2" xfId="1340"/>
    <cellStyle name="40% - 强调文字颜色 2 6 2 5" xfId="1341"/>
    <cellStyle name="40% - 强调文字颜色 2 6 20" xfId="1342"/>
    <cellStyle name="40% - 强调文字颜色 2 6 21" xfId="1343"/>
    <cellStyle name="40% - 强调文字颜色 2 6 22" xfId="1344"/>
    <cellStyle name="40% - 强调文字颜色 2 6 23" xfId="1345"/>
    <cellStyle name="40% - 强调文字颜色 2 6 3" xfId="1346"/>
    <cellStyle name="40% - 强调文字颜色 2 6 4" xfId="1347"/>
    <cellStyle name="40% - 强调文字颜色 2 6 5" xfId="1348"/>
    <cellStyle name="40% - 强调文字颜色 2 6 6" xfId="1349"/>
    <cellStyle name="40% - 强调文字颜色 2 6 7" xfId="1350"/>
    <cellStyle name="40% - 强调文字颜色 2 6 8" xfId="1351"/>
    <cellStyle name="40% - 强调文字颜色 2 6 9" xfId="1352"/>
    <cellStyle name="40% - 强调文字颜色 2 7" xfId="1353"/>
    <cellStyle name="40% - 强调文字颜色 2 7 10" xfId="1354"/>
    <cellStyle name="40% - 强调文字颜色 2 7 11" xfId="1355"/>
    <cellStyle name="40% - 强调文字颜色 2 7 12" xfId="1356"/>
    <cellStyle name="40% - 强调文字颜色 2 7 13" xfId="1357"/>
    <cellStyle name="40% - 强调文字颜色 2 7 14" xfId="1358"/>
    <cellStyle name="40% - 强调文字颜色 2 7 15" xfId="1359"/>
    <cellStyle name="40% - 强调文字颜色 2 7 16" xfId="1360"/>
    <cellStyle name="40% - 强调文字颜色 2 7 17" xfId="1361"/>
    <cellStyle name="40% - 强调文字颜色 2 7 18" xfId="1362"/>
    <cellStyle name="40% - 强调文字颜色 2 7 19" xfId="1363"/>
    <cellStyle name="40% - 强调文字颜色 2 7 2" xfId="1364"/>
    <cellStyle name="40% - 强调文字颜色 2 7 2 2" xfId="1365"/>
    <cellStyle name="40% - 强调文字颜色 2 7 2 3" xfId="1366"/>
    <cellStyle name="40% - 强调文字颜色 2 7 2 4" xfId="1367"/>
    <cellStyle name="40% - 强调文字颜色 2 7 2 4 2" xfId="1368"/>
    <cellStyle name="40% - 强调文字颜色 2 7 2 5" xfId="1369"/>
    <cellStyle name="40% - 强调文字颜色 2 7 20" xfId="1370"/>
    <cellStyle name="40% - 强调文字颜色 2 7 21" xfId="1371"/>
    <cellStyle name="40% - 强调文字颜色 2 7 22" xfId="1372"/>
    <cellStyle name="40% - 强调文字颜色 2 7 23" xfId="1373"/>
    <cellStyle name="40% - 强调文字颜色 2 7 3" xfId="1374"/>
    <cellStyle name="40% - 强调文字颜色 2 7 4" xfId="1375"/>
    <cellStyle name="40% - 强调文字颜色 2 7 5" xfId="1376"/>
    <cellStyle name="40% - 强调文字颜色 2 7 6" xfId="1377"/>
    <cellStyle name="40% - 强调文字颜色 2 7 7" xfId="1378"/>
    <cellStyle name="40% - 强调文字颜色 2 7 8" xfId="1379"/>
    <cellStyle name="40% - 强调文字颜色 2 7 9" xfId="1380"/>
    <cellStyle name="40% - 强调文字颜色 3 2" xfId="1381"/>
    <cellStyle name="40% - 强调文字颜色 3 2 10" xfId="1382"/>
    <cellStyle name="40% - 强调文字颜色 3 2 11" xfId="1383"/>
    <cellStyle name="40% - 强调文字颜色 3 2 12" xfId="1384"/>
    <cellStyle name="40% - 强调文字颜色 3 2 13" xfId="1385"/>
    <cellStyle name="40% - 强调文字颜色 3 2 14" xfId="1386"/>
    <cellStyle name="40% - 强调文字颜色 3 2 15" xfId="1387"/>
    <cellStyle name="40% - 强调文字颜色 3 2 16" xfId="1388"/>
    <cellStyle name="40% - 强调文字颜色 3 2 17" xfId="1389"/>
    <cellStyle name="40% - 强调文字颜色 3 2 18" xfId="1390"/>
    <cellStyle name="40% - 强调文字颜色 3 2 19" xfId="1391"/>
    <cellStyle name="40% - 强调文字颜色 3 2 2" xfId="1392"/>
    <cellStyle name="40% - 强调文字颜色 3 2 2 2" xfId="1393"/>
    <cellStyle name="40% - 强调文字颜色 3 2 2 3" xfId="1394"/>
    <cellStyle name="40% - 强调文字颜色 3 2 2 4" xfId="1395"/>
    <cellStyle name="40% - 强调文字颜色 3 2 2 4 2" xfId="1396"/>
    <cellStyle name="40% - 强调文字颜色 3 2 2 5" xfId="1397"/>
    <cellStyle name="40% - 强调文字颜色 3 2 20" xfId="1398"/>
    <cellStyle name="40% - 强调文字颜色 3 2 21" xfId="1399"/>
    <cellStyle name="40% - 强调文字颜色 3 2 22" xfId="1400"/>
    <cellStyle name="40% - 强调文字颜色 3 2 23" xfId="1401"/>
    <cellStyle name="40% - 强调文字颜色 3 2 3" xfId="1402"/>
    <cellStyle name="40% - 强调文字颜色 3 2 4" xfId="1403"/>
    <cellStyle name="40% - 强调文字颜色 3 2 5" xfId="1404"/>
    <cellStyle name="40% - 强调文字颜色 3 2 6" xfId="1405"/>
    <cellStyle name="40% - 强调文字颜色 3 2 7" xfId="1406"/>
    <cellStyle name="40% - 强调文字颜色 3 2 8" xfId="1407"/>
    <cellStyle name="40% - 强调文字颜色 3 2 9" xfId="1408"/>
    <cellStyle name="40% - 强调文字颜色 3 3" xfId="1409"/>
    <cellStyle name="40% - 强调文字颜色 3 3 10" xfId="1410"/>
    <cellStyle name="40% - 强调文字颜色 3 3 11" xfId="1411"/>
    <cellStyle name="40% - 强调文字颜色 3 3 12" xfId="1412"/>
    <cellStyle name="40% - 强调文字颜色 3 3 13" xfId="1413"/>
    <cellStyle name="40% - 强调文字颜色 3 3 14" xfId="1414"/>
    <cellStyle name="40% - 强调文字颜色 3 3 15" xfId="1415"/>
    <cellStyle name="40% - 强调文字颜色 3 3 16" xfId="1416"/>
    <cellStyle name="40% - 强调文字颜色 3 3 17" xfId="1417"/>
    <cellStyle name="40% - 强调文字颜色 3 3 18" xfId="1418"/>
    <cellStyle name="40% - 强调文字颜色 3 3 19" xfId="1419"/>
    <cellStyle name="40% - 强调文字颜色 3 3 2" xfId="1420"/>
    <cellStyle name="40% - 强调文字颜色 3 3 2 2" xfId="1421"/>
    <cellStyle name="40% - 强调文字颜色 3 3 2 3" xfId="1422"/>
    <cellStyle name="40% - 强调文字颜色 3 3 2 4" xfId="1423"/>
    <cellStyle name="40% - 强调文字颜色 3 3 2 4 2" xfId="1424"/>
    <cellStyle name="40% - 强调文字颜色 3 3 2 5" xfId="1425"/>
    <cellStyle name="40% - 强调文字颜色 3 3 20" xfId="1426"/>
    <cellStyle name="40% - 强调文字颜色 3 3 21" xfId="1427"/>
    <cellStyle name="40% - 强调文字颜色 3 3 22" xfId="1428"/>
    <cellStyle name="40% - 强调文字颜色 3 3 23" xfId="1429"/>
    <cellStyle name="40% - 强调文字颜色 3 3 3" xfId="1430"/>
    <cellStyle name="40% - 强调文字颜色 3 3 4" xfId="1431"/>
    <cellStyle name="40% - 强调文字颜色 3 3 5" xfId="1432"/>
    <cellStyle name="40% - 强调文字颜色 3 3 6" xfId="1433"/>
    <cellStyle name="40% - 强调文字颜色 3 3 7" xfId="1434"/>
    <cellStyle name="40% - 强调文字颜色 3 3 8" xfId="1435"/>
    <cellStyle name="40% - 强调文字颜色 3 3 9" xfId="1436"/>
    <cellStyle name="40% - 强调文字颜色 3 4" xfId="1437"/>
    <cellStyle name="40% - 强调文字颜色 3 4 10" xfId="1438"/>
    <cellStyle name="40% - 强调文字颜色 3 4 11" xfId="1439"/>
    <cellStyle name="40% - 强调文字颜色 3 4 12" xfId="1440"/>
    <cellStyle name="40% - 强调文字颜色 3 4 13" xfId="1441"/>
    <cellStyle name="40% - 强调文字颜色 3 4 14" xfId="1442"/>
    <cellStyle name="40% - 强调文字颜色 3 4 15" xfId="1443"/>
    <cellStyle name="40% - 强调文字颜色 3 4 16" xfId="1444"/>
    <cellStyle name="40% - 强调文字颜色 3 4 17" xfId="1445"/>
    <cellStyle name="40% - 强调文字颜色 3 4 18" xfId="1446"/>
    <cellStyle name="40% - 强调文字颜色 3 4 19" xfId="1447"/>
    <cellStyle name="40% - 强调文字颜色 3 4 2" xfId="1448"/>
    <cellStyle name="40% - 强调文字颜色 3 4 2 2" xfId="1449"/>
    <cellStyle name="40% - 强调文字颜色 3 4 2 3" xfId="1450"/>
    <cellStyle name="40% - 强调文字颜色 3 4 2 4" xfId="1451"/>
    <cellStyle name="40% - 强调文字颜色 3 4 2 4 2" xfId="1452"/>
    <cellStyle name="40% - 强调文字颜色 3 4 2 5" xfId="1453"/>
    <cellStyle name="40% - 强调文字颜色 3 4 20" xfId="1454"/>
    <cellStyle name="40% - 强调文字颜色 3 4 21" xfId="1455"/>
    <cellStyle name="40% - 强调文字颜色 3 4 22" xfId="1456"/>
    <cellStyle name="40% - 强调文字颜色 3 4 23" xfId="1457"/>
    <cellStyle name="40% - 强调文字颜色 3 4 3" xfId="1458"/>
    <cellStyle name="40% - 强调文字颜色 3 4 4" xfId="1459"/>
    <cellStyle name="40% - 强调文字颜色 3 4 5" xfId="1460"/>
    <cellStyle name="40% - 强调文字颜色 3 4 6" xfId="1461"/>
    <cellStyle name="40% - 强调文字颜色 3 4 7" xfId="1462"/>
    <cellStyle name="40% - 强调文字颜色 3 4 8" xfId="1463"/>
    <cellStyle name="40% - 强调文字颜色 3 4 9" xfId="1464"/>
    <cellStyle name="40% - 强调文字颜色 3 5" xfId="1465"/>
    <cellStyle name="40% - 强调文字颜色 3 5 10" xfId="1466"/>
    <cellStyle name="40% - 强调文字颜色 3 5 11" xfId="1467"/>
    <cellStyle name="40% - 强调文字颜色 3 5 12" xfId="1468"/>
    <cellStyle name="40% - 强调文字颜色 3 5 13" xfId="1469"/>
    <cellStyle name="40% - 强调文字颜色 3 5 14" xfId="1470"/>
    <cellStyle name="40% - 强调文字颜色 3 5 15" xfId="1471"/>
    <cellStyle name="40% - 强调文字颜色 3 5 16" xfId="1472"/>
    <cellStyle name="40% - 强调文字颜色 3 5 17" xfId="1473"/>
    <cellStyle name="40% - 强调文字颜色 3 5 18" xfId="1474"/>
    <cellStyle name="40% - 强调文字颜色 3 5 19" xfId="1475"/>
    <cellStyle name="40% - 强调文字颜色 3 5 2" xfId="1476"/>
    <cellStyle name="40% - 强调文字颜色 3 5 2 2" xfId="1477"/>
    <cellStyle name="40% - 强调文字颜色 3 5 2 3" xfId="1478"/>
    <cellStyle name="40% - 强调文字颜色 3 5 2 4" xfId="1479"/>
    <cellStyle name="40% - 强调文字颜色 3 5 2 4 2" xfId="1480"/>
    <cellStyle name="40% - 强调文字颜色 3 5 2 5" xfId="1481"/>
    <cellStyle name="40% - 强调文字颜色 3 5 20" xfId="1482"/>
    <cellStyle name="40% - 强调文字颜色 3 5 21" xfId="1483"/>
    <cellStyle name="40% - 强调文字颜色 3 5 22" xfId="1484"/>
    <cellStyle name="40% - 强调文字颜色 3 5 23" xfId="1485"/>
    <cellStyle name="40% - 强调文字颜色 3 5 3" xfId="1486"/>
    <cellStyle name="40% - 强调文字颜色 3 5 4" xfId="1487"/>
    <cellStyle name="40% - 强调文字颜色 3 5 5" xfId="1488"/>
    <cellStyle name="40% - 强调文字颜色 3 5 6" xfId="1489"/>
    <cellStyle name="40% - 强调文字颜色 3 5 7" xfId="1490"/>
    <cellStyle name="40% - 强调文字颜色 3 5 8" xfId="1491"/>
    <cellStyle name="40% - 强调文字颜色 3 5 9" xfId="1492"/>
    <cellStyle name="40% - 强调文字颜色 3 6" xfId="1493"/>
    <cellStyle name="40% - 强调文字颜色 3 6 10" xfId="1494"/>
    <cellStyle name="40% - 强调文字颜色 3 6 11" xfId="1495"/>
    <cellStyle name="40% - 强调文字颜色 3 6 12" xfId="1496"/>
    <cellStyle name="40% - 强调文字颜色 3 6 13" xfId="1497"/>
    <cellStyle name="40% - 强调文字颜色 3 6 14" xfId="1498"/>
    <cellStyle name="40% - 强调文字颜色 3 6 15" xfId="1499"/>
    <cellStyle name="40% - 强调文字颜色 3 6 16" xfId="1500"/>
    <cellStyle name="40% - 强调文字颜色 3 6 17" xfId="1501"/>
    <cellStyle name="40% - 强调文字颜色 3 6 18" xfId="1502"/>
    <cellStyle name="40% - 强调文字颜色 3 6 19" xfId="1503"/>
    <cellStyle name="40% - 强调文字颜色 3 6 2" xfId="1504"/>
    <cellStyle name="40% - 强调文字颜色 3 6 2 2" xfId="1505"/>
    <cellStyle name="40% - 强调文字颜色 3 6 2 3" xfId="1506"/>
    <cellStyle name="40% - 强调文字颜色 3 6 2 4" xfId="1507"/>
    <cellStyle name="40% - 强调文字颜色 3 6 2 4 2" xfId="1508"/>
    <cellStyle name="40% - 强调文字颜色 3 6 2 5" xfId="1509"/>
    <cellStyle name="40% - 强调文字颜色 3 6 20" xfId="1510"/>
    <cellStyle name="40% - 强调文字颜色 3 6 21" xfId="1511"/>
    <cellStyle name="40% - 强调文字颜色 3 6 22" xfId="1512"/>
    <cellStyle name="40% - 强调文字颜色 3 6 23" xfId="1513"/>
    <cellStyle name="40% - 强调文字颜色 3 6 3" xfId="1514"/>
    <cellStyle name="40% - 强调文字颜色 3 6 4" xfId="1515"/>
    <cellStyle name="40% - 强调文字颜色 3 6 5" xfId="1516"/>
    <cellStyle name="40% - 强调文字颜色 3 6 6" xfId="1517"/>
    <cellStyle name="40% - 强调文字颜色 3 6 7" xfId="1518"/>
    <cellStyle name="40% - 强调文字颜色 3 6 8" xfId="1519"/>
    <cellStyle name="40% - 强调文字颜色 3 6 9" xfId="1520"/>
    <cellStyle name="40% - 强调文字颜色 3 7" xfId="1521"/>
    <cellStyle name="40% - 强调文字颜色 3 7 10" xfId="1522"/>
    <cellStyle name="40% - 强调文字颜色 3 7 11" xfId="1523"/>
    <cellStyle name="40% - 强调文字颜色 3 7 12" xfId="1524"/>
    <cellStyle name="40% - 强调文字颜色 3 7 13" xfId="1525"/>
    <cellStyle name="40% - 强调文字颜色 3 7 14" xfId="1526"/>
    <cellStyle name="40% - 强调文字颜色 3 7 15" xfId="1527"/>
    <cellStyle name="40% - 强调文字颜色 3 7 16" xfId="1528"/>
    <cellStyle name="40% - 强调文字颜色 3 7 17" xfId="1529"/>
    <cellStyle name="40% - 强调文字颜色 3 7 18" xfId="1530"/>
    <cellStyle name="40% - 强调文字颜色 3 7 19" xfId="1531"/>
    <cellStyle name="40% - 强调文字颜色 3 7 2" xfId="1532"/>
    <cellStyle name="40% - 强调文字颜色 3 7 2 2" xfId="1533"/>
    <cellStyle name="40% - 强调文字颜色 3 7 2 3" xfId="1534"/>
    <cellStyle name="40% - 强调文字颜色 3 7 2 4" xfId="1535"/>
    <cellStyle name="40% - 强调文字颜色 3 7 2 4 2" xfId="1536"/>
    <cellStyle name="40% - 强调文字颜色 3 7 2 5" xfId="1537"/>
    <cellStyle name="40% - 强调文字颜色 3 7 20" xfId="1538"/>
    <cellStyle name="40% - 强调文字颜色 3 7 21" xfId="1539"/>
    <cellStyle name="40% - 强调文字颜色 3 7 22" xfId="1540"/>
    <cellStyle name="40% - 强调文字颜色 3 7 23" xfId="1541"/>
    <cellStyle name="40% - 强调文字颜色 3 7 3" xfId="1542"/>
    <cellStyle name="40% - 强调文字颜色 3 7 4" xfId="1543"/>
    <cellStyle name="40% - 强调文字颜色 3 7 5" xfId="1544"/>
    <cellStyle name="40% - 强调文字颜色 3 7 6" xfId="1545"/>
    <cellStyle name="40% - 强调文字颜色 3 7 7" xfId="1546"/>
    <cellStyle name="40% - 强调文字颜色 3 7 8" xfId="1547"/>
    <cellStyle name="40% - 强调文字颜色 3 7 9" xfId="1548"/>
    <cellStyle name="40% - 强调文字颜色 4 2" xfId="1549"/>
    <cellStyle name="40% - 强调文字颜色 4 2 10" xfId="1550"/>
    <cellStyle name="40% - 强调文字颜色 4 2 11" xfId="1551"/>
    <cellStyle name="40% - 强调文字颜色 4 2 12" xfId="1552"/>
    <cellStyle name="40% - 强调文字颜色 4 2 13" xfId="1553"/>
    <cellStyle name="40% - 强调文字颜色 4 2 14" xfId="1554"/>
    <cellStyle name="40% - 强调文字颜色 4 2 15" xfId="1555"/>
    <cellStyle name="40% - 强调文字颜色 4 2 16" xfId="1556"/>
    <cellStyle name="40% - 强调文字颜色 4 2 17" xfId="1557"/>
    <cellStyle name="40% - 强调文字颜色 4 2 18" xfId="1558"/>
    <cellStyle name="40% - 强调文字颜色 4 2 19" xfId="1559"/>
    <cellStyle name="40% - 强调文字颜色 4 2 2" xfId="1560"/>
    <cellStyle name="40% - 强调文字颜色 4 2 2 2" xfId="1561"/>
    <cellStyle name="40% - 强调文字颜色 4 2 2 3" xfId="1562"/>
    <cellStyle name="40% - 强调文字颜色 4 2 2 4" xfId="1563"/>
    <cellStyle name="40% - 强调文字颜色 4 2 2 4 2" xfId="1564"/>
    <cellStyle name="40% - 强调文字颜色 4 2 2 5" xfId="1565"/>
    <cellStyle name="40% - 强调文字颜色 4 2 20" xfId="1566"/>
    <cellStyle name="40% - 强调文字颜色 4 2 21" xfId="1567"/>
    <cellStyle name="40% - 强调文字颜色 4 2 22" xfId="1568"/>
    <cellStyle name="40% - 强调文字颜色 4 2 23" xfId="1569"/>
    <cellStyle name="40% - 强调文字颜色 4 2 3" xfId="1570"/>
    <cellStyle name="40% - 强调文字颜色 4 2 4" xfId="1571"/>
    <cellStyle name="40% - 强调文字颜色 4 2 5" xfId="1572"/>
    <cellStyle name="40% - 强调文字颜色 4 2 6" xfId="1573"/>
    <cellStyle name="40% - 强调文字颜色 4 2 7" xfId="1574"/>
    <cellStyle name="40% - 强调文字颜色 4 2 8" xfId="1575"/>
    <cellStyle name="40% - 强调文字颜色 4 2 9" xfId="1576"/>
    <cellStyle name="40% - 强调文字颜色 4 3" xfId="1577"/>
    <cellStyle name="40% - 强调文字颜色 4 3 10" xfId="1578"/>
    <cellStyle name="40% - 强调文字颜色 4 3 11" xfId="1579"/>
    <cellStyle name="40% - 强调文字颜色 4 3 12" xfId="1580"/>
    <cellStyle name="40% - 强调文字颜色 4 3 13" xfId="1581"/>
    <cellStyle name="40% - 强调文字颜色 4 3 14" xfId="1582"/>
    <cellStyle name="40% - 强调文字颜色 4 3 15" xfId="1583"/>
    <cellStyle name="40% - 强调文字颜色 4 3 16" xfId="1584"/>
    <cellStyle name="40% - 强调文字颜色 4 3 17" xfId="1585"/>
    <cellStyle name="40% - 强调文字颜色 4 3 18" xfId="1586"/>
    <cellStyle name="40% - 强调文字颜色 4 3 19" xfId="1587"/>
    <cellStyle name="40% - 强调文字颜色 4 3 2" xfId="1588"/>
    <cellStyle name="40% - 强调文字颜色 4 3 2 2" xfId="1589"/>
    <cellStyle name="40% - 强调文字颜色 4 3 2 3" xfId="1590"/>
    <cellStyle name="40% - 强调文字颜色 4 3 2 4" xfId="1591"/>
    <cellStyle name="40% - 强调文字颜色 4 3 2 4 2" xfId="1592"/>
    <cellStyle name="40% - 强调文字颜色 4 3 2 5" xfId="1593"/>
    <cellStyle name="40% - 强调文字颜色 4 3 20" xfId="1594"/>
    <cellStyle name="40% - 强调文字颜色 4 3 21" xfId="1595"/>
    <cellStyle name="40% - 强调文字颜色 4 3 22" xfId="1596"/>
    <cellStyle name="40% - 强调文字颜色 4 3 23" xfId="1597"/>
    <cellStyle name="40% - 强调文字颜色 4 3 3" xfId="1598"/>
    <cellStyle name="40% - 强调文字颜色 4 3 4" xfId="1599"/>
    <cellStyle name="40% - 强调文字颜色 4 3 5" xfId="1600"/>
    <cellStyle name="40% - 强调文字颜色 4 3 6" xfId="1601"/>
    <cellStyle name="40% - 强调文字颜色 4 3 7" xfId="1602"/>
    <cellStyle name="40% - 强调文字颜色 4 3 8" xfId="1603"/>
    <cellStyle name="40% - 强调文字颜色 4 3 9" xfId="1604"/>
    <cellStyle name="40% - 强调文字颜色 4 4" xfId="1605"/>
    <cellStyle name="40% - 强调文字颜色 4 4 10" xfId="1606"/>
    <cellStyle name="40% - 强调文字颜色 4 4 11" xfId="1607"/>
    <cellStyle name="40% - 强调文字颜色 4 4 12" xfId="1608"/>
    <cellStyle name="40% - 强调文字颜色 4 4 13" xfId="1609"/>
    <cellStyle name="40% - 强调文字颜色 4 4 14" xfId="1610"/>
    <cellStyle name="40% - 强调文字颜色 4 4 15" xfId="1611"/>
    <cellStyle name="40% - 强调文字颜色 4 4 16" xfId="1612"/>
    <cellStyle name="40% - 强调文字颜色 4 4 17" xfId="1613"/>
    <cellStyle name="40% - 强调文字颜色 4 4 18" xfId="1614"/>
    <cellStyle name="40% - 强调文字颜色 4 4 19" xfId="1615"/>
    <cellStyle name="40% - 强调文字颜色 4 4 2" xfId="1616"/>
    <cellStyle name="40% - 强调文字颜色 4 4 2 2" xfId="1617"/>
    <cellStyle name="40% - 强调文字颜色 4 4 2 3" xfId="1618"/>
    <cellStyle name="40% - 强调文字颜色 4 4 2 4" xfId="1619"/>
    <cellStyle name="40% - 强调文字颜色 4 4 2 4 2" xfId="1620"/>
    <cellStyle name="40% - 强调文字颜色 4 4 2 5" xfId="1621"/>
    <cellStyle name="40% - 强调文字颜色 4 4 20" xfId="1622"/>
    <cellStyle name="40% - 强调文字颜色 4 4 21" xfId="1623"/>
    <cellStyle name="40% - 强调文字颜色 4 4 22" xfId="1624"/>
    <cellStyle name="40% - 强调文字颜色 4 4 23" xfId="1625"/>
    <cellStyle name="40% - 强调文字颜色 4 4 3" xfId="1626"/>
    <cellStyle name="40% - 强调文字颜色 4 4 4" xfId="1627"/>
    <cellStyle name="40% - 强调文字颜色 4 4 5" xfId="1628"/>
    <cellStyle name="40% - 强调文字颜色 4 4 6" xfId="1629"/>
    <cellStyle name="40% - 强调文字颜色 4 4 7" xfId="1630"/>
    <cellStyle name="40% - 强调文字颜色 4 4 8" xfId="1631"/>
    <cellStyle name="40% - 强调文字颜色 4 4 9" xfId="1632"/>
    <cellStyle name="40% - 强调文字颜色 4 5" xfId="1633"/>
    <cellStyle name="40% - 强调文字颜色 4 5 10" xfId="1634"/>
    <cellStyle name="40% - 强调文字颜色 4 5 11" xfId="1635"/>
    <cellStyle name="40% - 强调文字颜色 4 5 12" xfId="1636"/>
    <cellStyle name="40% - 强调文字颜色 4 5 13" xfId="1637"/>
    <cellStyle name="40% - 强调文字颜色 4 5 14" xfId="1638"/>
    <cellStyle name="40% - 强调文字颜色 4 5 15" xfId="1639"/>
    <cellStyle name="40% - 强调文字颜色 4 5 16" xfId="1640"/>
    <cellStyle name="40% - 强调文字颜色 4 5 17" xfId="1641"/>
    <cellStyle name="40% - 强调文字颜色 4 5 18" xfId="1642"/>
    <cellStyle name="40% - 强调文字颜色 4 5 19" xfId="1643"/>
    <cellStyle name="40% - 强调文字颜色 4 5 2" xfId="1644"/>
    <cellStyle name="40% - 强调文字颜色 4 5 2 2" xfId="1645"/>
    <cellStyle name="40% - 强调文字颜色 4 5 2 3" xfId="1646"/>
    <cellStyle name="40% - 强调文字颜色 4 5 2 4" xfId="1647"/>
    <cellStyle name="40% - 强调文字颜色 4 5 2 4 2" xfId="1648"/>
    <cellStyle name="40% - 强调文字颜色 4 5 2 5" xfId="1649"/>
    <cellStyle name="40% - 强调文字颜色 4 5 20" xfId="1650"/>
    <cellStyle name="40% - 强调文字颜色 4 5 21" xfId="1651"/>
    <cellStyle name="40% - 强调文字颜色 4 5 22" xfId="1652"/>
    <cellStyle name="40% - 强调文字颜色 4 5 23" xfId="1653"/>
    <cellStyle name="40% - 强调文字颜色 4 5 3" xfId="1654"/>
    <cellStyle name="40% - 强调文字颜色 4 5 4" xfId="1655"/>
    <cellStyle name="40% - 强调文字颜色 4 5 5" xfId="1656"/>
    <cellStyle name="40% - 强调文字颜色 4 5 6" xfId="1657"/>
    <cellStyle name="40% - 强调文字颜色 4 5 7" xfId="1658"/>
    <cellStyle name="40% - 强调文字颜色 4 5 8" xfId="1659"/>
    <cellStyle name="40% - 强调文字颜色 4 5 9" xfId="1660"/>
    <cellStyle name="40% - 强调文字颜色 4 6" xfId="1661"/>
    <cellStyle name="40% - 强调文字颜色 4 6 10" xfId="1662"/>
    <cellStyle name="40% - 强调文字颜色 4 6 11" xfId="1663"/>
    <cellStyle name="40% - 强调文字颜色 4 6 12" xfId="1664"/>
    <cellStyle name="40% - 强调文字颜色 4 6 13" xfId="1665"/>
    <cellStyle name="40% - 强调文字颜色 4 6 14" xfId="1666"/>
    <cellStyle name="40% - 强调文字颜色 4 6 15" xfId="1667"/>
    <cellStyle name="40% - 强调文字颜色 4 6 16" xfId="1668"/>
    <cellStyle name="40% - 强调文字颜色 4 6 17" xfId="1669"/>
    <cellStyle name="40% - 强调文字颜色 4 6 18" xfId="1670"/>
    <cellStyle name="40% - 强调文字颜色 4 6 19" xfId="1671"/>
    <cellStyle name="40% - 强调文字颜色 4 6 2" xfId="1672"/>
    <cellStyle name="40% - 强调文字颜色 4 6 2 2" xfId="1673"/>
    <cellStyle name="40% - 强调文字颜色 4 6 2 3" xfId="1674"/>
    <cellStyle name="40% - 强调文字颜色 4 6 2 4" xfId="1675"/>
    <cellStyle name="40% - 强调文字颜色 4 6 2 4 2" xfId="1676"/>
    <cellStyle name="40% - 强调文字颜色 4 6 2 5" xfId="1677"/>
    <cellStyle name="40% - 强调文字颜色 4 6 20" xfId="1678"/>
    <cellStyle name="40% - 强调文字颜色 4 6 21" xfId="1679"/>
    <cellStyle name="40% - 强调文字颜色 4 6 22" xfId="1680"/>
    <cellStyle name="40% - 强调文字颜色 4 6 23" xfId="1681"/>
    <cellStyle name="40% - 强调文字颜色 4 6 3" xfId="1682"/>
    <cellStyle name="40% - 强调文字颜色 4 6 4" xfId="1683"/>
    <cellStyle name="40% - 强调文字颜色 4 6 5" xfId="1684"/>
    <cellStyle name="40% - 强调文字颜色 4 6 6" xfId="1685"/>
    <cellStyle name="40% - 强调文字颜色 4 6 7" xfId="1686"/>
    <cellStyle name="40% - 强调文字颜色 4 6 8" xfId="1687"/>
    <cellStyle name="40% - 强调文字颜色 4 6 9" xfId="1688"/>
    <cellStyle name="40% - 强调文字颜色 4 7" xfId="1689"/>
    <cellStyle name="40% - 强调文字颜色 4 7 10" xfId="1690"/>
    <cellStyle name="40% - 强调文字颜色 4 7 11" xfId="1691"/>
    <cellStyle name="40% - 强调文字颜色 4 7 12" xfId="1692"/>
    <cellStyle name="40% - 强调文字颜色 4 7 13" xfId="1693"/>
    <cellStyle name="40% - 强调文字颜色 4 7 14" xfId="1694"/>
    <cellStyle name="40% - 强调文字颜色 4 7 15" xfId="1695"/>
    <cellStyle name="40% - 强调文字颜色 4 7 16" xfId="1696"/>
    <cellStyle name="40% - 强调文字颜色 4 7 17" xfId="1697"/>
    <cellStyle name="40% - 强调文字颜色 4 7 18" xfId="1698"/>
    <cellStyle name="40% - 强调文字颜色 4 7 19" xfId="1699"/>
    <cellStyle name="40% - 强调文字颜色 4 7 2" xfId="1700"/>
    <cellStyle name="40% - 强调文字颜色 4 7 2 2" xfId="1701"/>
    <cellStyle name="40% - 强调文字颜色 4 7 2 3" xfId="1702"/>
    <cellStyle name="40% - 强调文字颜色 4 7 2 4" xfId="1703"/>
    <cellStyle name="40% - 强调文字颜色 4 7 2 4 2" xfId="1704"/>
    <cellStyle name="40% - 强调文字颜色 4 7 2 5" xfId="1705"/>
    <cellStyle name="40% - 强调文字颜色 4 7 20" xfId="1706"/>
    <cellStyle name="40% - 强调文字颜色 4 7 21" xfId="1707"/>
    <cellStyle name="40% - 强调文字颜色 4 7 22" xfId="1708"/>
    <cellStyle name="40% - 强调文字颜色 4 7 23" xfId="1709"/>
    <cellStyle name="40% - 强调文字颜色 4 7 3" xfId="1710"/>
    <cellStyle name="40% - 强调文字颜色 4 7 4" xfId="1711"/>
    <cellStyle name="40% - 强调文字颜色 4 7 5" xfId="1712"/>
    <cellStyle name="40% - 强调文字颜色 4 7 6" xfId="1713"/>
    <cellStyle name="40% - 强调文字颜色 4 7 7" xfId="1714"/>
    <cellStyle name="40% - 强调文字颜色 4 7 8" xfId="1715"/>
    <cellStyle name="40% - 强调文字颜色 4 7 9" xfId="1716"/>
    <cellStyle name="40% - 强调文字颜色 5 2" xfId="1717"/>
    <cellStyle name="40% - 强调文字颜色 5 2 10" xfId="1718"/>
    <cellStyle name="40% - 强调文字颜色 5 2 11" xfId="1719"/>
    <cellStyle name="40% - 强调文字颜色 5 2 12" xfId="1720"/>
    <cellStyle name="40% - 强调文字颜色 5 2 13" xfId="1721"/>
    <cellStyle name="40% - 强调文字颜色 5 2 14" xfId="1722"/>
    <cellStyle name="40% - 强调文字颜色 5 2 15" xfId="1723"/>
    <cellStyle name="40% - 强调文字颜色 5 2 16" xfId="1724"/>
    <cellStyle name="40% - 强调文字颜色 5 2 17" xfId="1725"/>
    <cellStyle name="40% - 强调文字颜色 5 2 18" xfId="1726"/>
    <cellStyle name="40% - 强调文字颜色 5 2 19" xfId="1727"/>
    <cellStyle name="40% - 强调文字颜色 5 2 2" xfId="1728"/>
    <cellStyle name="40% - 强调文字颜色 5 2 2 2" xfId="1729"/>
    <cellStyle name="40% - 强调文字颜色 5 2 2 3" xfId="1730"/>
    <cellStyle name="40% - 强调文字颜色 5 2 2 4" xfId="1731"/>
    <cellStyle name="40% - 强调文字颜色 5 2 2 4 2" xfId="1732"/>
    <cellStyle name="40% - 强调文字颜色 5 2 2 5" xfId="1733"/>
    <cellStyle name="40% - 强调文字颜色 5 2 20" xfId="1734"/>
    <cellStyle name="40% - 强调文字颜色 5 2 21" xfId="1735"/>
    <cellStyle name="40% - 强调文字颜色 5 2 22" xfId="1736"/>
    <cellStyle name="40% - 强调文字颜色 5 2 23" xfId="1737"/>
    <cellStyle name="40% - 强调文字颜色 5 2 3" xfId="1738"/>
    <cellStyle name="40% - 强调文字颜色 5 2 4" xfId="1739"/>
    <cellStyle name="40% - 强调文字颜色 5 2 5" xfId="1740"/>
    <cellStyle name="40% - 强调文字颜色 5 2 6" xfId="1741"/>
    <cellStyle name="40% - 强调文字颜色 5 2 7" xfId="1742"/>
    <cellStyle name="40% - 强调文字颜色 5 2 8" xfId="1743"/>
    <cellStyle name="40% - 强调文字颜色 5 2 9" xfId="1744"/>
    <cellStyle name="40% - 强调文字颜色 5 3" xfId="1745"/>
    <cellStyle name="40% - 强调文字颜色 5 3 10" xfId="1746"/>
    <cellStyle name="40% - 强调文字颜色 5 3 11" xfId="1747"/>
    <cellStyle name="40% - 强调文字颜色 5 3 12" xfId="1748"/>
    <cellStyle name="40% - 强调文字颜色 5 3 13" xfId="1749"/>
    <cellStyle name="40% - 强调文字颜色 5 3 14" xfId="1750"/>
    <cellStyle name="40% - 强调文字颜色 5 3 15" xfId="1751"/>
    <cellStyle name="40% - 强调文字颜色 5 3 16" xfId="1752"/>
    <cellStyle name="40% - 强调文字颜色 5 3 17" xfId="1753"/>
    <cellStyle name="40% - 强调文字颜色 5 3 18" xfId="1754"/>
    <cellStyle name="40% - 强调文字颜色 5 3 19" xfId="1755"/>
    <cellStyle name="40% - 强调文字颜色 5 3 2" xfId="1756"/>
    <cellStyle name="40% - 强调文字颜色 5 3 2 2" xfId="1757"/>
    <cellStyle name="40% - 强调文字颜色 5 3 2 3" xfId="1758"/>
    <cellStyle name="40% - 强调文字颜色 5 3 2 4" xfId="1759"/>
    <cellStyle name="40% - 强调文字颜色 5 3 2 4 2" xfId="1760"/>
    <cellStyle name="40% - 强调文字颜色 5 3 2 5" xfId="1761"/>
    <cellStyle name="40% - 强调文字颜色 5 3 20" xfId="1762"/>
    <cellStyle name="40% - 强调文字颜色 5 3 21" xfId="1763"/>
    <cellStyle name="40% - 强调文字颜色 5 3 22" xfId="1764"/>
    <cellStyle name="40% - 强调文字颜色 5 3 23" xfId="1765"/>
    <cellStyle name="40% - 强调文字颜色 5 3 3" xfId="1766"/>
    <cellStyle name="40% - 强调文字颜色 5 3 4" xfId="1767"/>
    <cellStyle name="40% - 强调文字颜色 5 3 5" xfId="1768"/>
    <cellStyle name="40% - 强调文字颜色 5 3 6" xfId="1769"/>
    <cellStyle name="40% - 强调文字颜色 5 3 7" xfId="1770"/>
    <cellStyle name="40% - 强调文字颜色 5 3 8" xfId="1771"/>
    <cellStyle name="40% - 强调文字颜色 5 3 9" xfId="1772"/>
    <cellStyle name="40% - 强调文字颜色 5 4" xfId="1773"/>
    <cellStyle name="40% - 强调文字颜色 5 4 10" xfId="1774"/>
    <cellStyle name="40% - 强调文字颜色 5 4 11" xfId="1775"/>
    <cellStyle name="40% - 强调文字颜色 5 4 12" xfId="1776"/>
    <cellStyle name="40% - 强调文字颜色 5 4 13" xfId="1777"/>
    <cellStyle name="40% - 强调文字颜色 5 4 14" xfId="1778"/>
    <cellStyle name="40% - 强调文字颜色 5 4 15" xfId="1779"/>
    <cellStyle name="40% - 强调文字颜色 5 4 16" xfId="1780"/>
    <cellStyle name="40% - 强调文字颜色 5 4 17" xfId="1781"/>
    <cellStyle name="40% - 强调文字颜色 5 4 18" xfId="1782"/>
    <cellStyle name="40% - 强调文字颜色 5 4 19" xfId="1783"/>
    <cellStyle name="40% - 强调文字颜色 5 4 2" xfId="1784"/>
    <cellStyle name="40% - 强调文字颜色 5 4 2 2" xfId="1785"/>
    <cellStyle name="40% - 强调文字颜色 5 4 2 3" xfId="1786"/>
    <cellStyle name="40% - 强调文字颜色 5 4 2 4" xfId="1787"/>
    <cellStyle name="40% - 强调文字颜色 5 4 2 4 2" xfId="1788"/>
    <cellStyle name="40% - 强调文字颜色 5 4 2 5" xfId="1789"/>
    <cellStyle name="40% - 强调文字颜色 5 4 20" xfId="1790"/>
    <cellStyle name="40% - 强调文字颜色 5 4 21" xfId="1791"/>
    <cellStyle name="40% - 强调文字颜色 5 4 22" xfId="1792"/>
    <cellStyle name="40% - 强调文字颜色 5 4 23" xfId="1793"/>
    <cellStyle name="40% - 强调文字颜色 5 4 3" xfId="1794"/>
    <cellStyle name="40% - 强调文字颜色 5 4 4" xfId="1795"/>
    <cellStyle name="40% - 强调文字颜色 5 4 5" xfId="1796"/>
    <cellStyle name="40% - 强调文字颜色 5 4 6" xfId="1797"/>
    <cellStyle name="40% - 强调文字颜色 5 4 7" xfId="1798"/>
    <cellStyle name="40% - 强调文字颜色 5 4 8" xfId="1799"/>
    <cellStyle name="40% - 强调文字颜色 5 4 9" xfId="1800"/>
    <cellStyle name="40% - 强调文字颜色 5 5" xfId="1801"/>
    <cellStyle name="40% - 强调文字颜色 5 5 10" xfId="1802"/>
    <cellStyle name="40% - 强调文字颜色 5 5 11" xfId="1803"/>
    <cellStyle name="40% - 强调文字颜色 5 5 12" xfId="1804"/>
    <cellStyle name="40% - 强调文字颜色 5 5 13" xfId="1805"/>
    <cellStyle name="40% - 强调文字颜色 5 5 14" xfId="1806"/>
    <cellStyle name="40% - 强调文字颜色 5 5 15" xfId="1807"/>
    <cellStyle name="40% - 强调文字颜色 5 5 16" xfId="1808"/>
    <cellStyle name="40% - 强调文字颜色 5 5 17" xfId="1809"/>
    <cellStyle name="40% - 强调文字颜色 5 5 18" xfId="1810"/>
    <cellStyle name="40% - 强调文字颜色 5 5 19" xfId="1811"/>
    <cellStyle name="40% - 强调文字颜色 5 5 2" xfId="1812"/>
    <cellStyle name="40% - 强调文字颜色 5 5 2 2" xfId="1813"/>
    <cellStyle name="40% - 强调文字颜色 5 5 2 3" xfId="1814"/>
    <cellStyle name="40% - 强调文字颜色 5 5 2 4" xfId="1815"/>
    <cellStyle name="40% - 强调文字颜色 5 5 2 4 2" xfId="1816"/>
    <cellStyle name="40% - 强调文字颜色 5 5 2 5" xfId="1817"/>
    <cellStyle name="40% - 强调文字颜色 5 5 20" xfId="1818"/>
    <cellStyle name="40% - 强调文字颜色 5 5 21" xfId="1819"/>
    <cellStyle name="40% - 强调文字颜色 5 5 22" xfId="1820"/>
    <cellStyle name="40% - 强调文字颜色 5 5 23" xfId="1821"/>
    <cellStyle name="40% - 强调文字颜色 5 5 3" xfId="1822"/>
    <cellStyle name="40% - 强调文字颜色 5 5 4" xfId="1823"/>
    <cellStyle name="40% - 强调文字颜色 5 5 5" xfId="1824"/>
    <cellStyle name="40% - 强调文字颜色 5 5 6" xfId="1825"/>
    <cellStyle name="40% - 强调文字颜色 5 5 7" xfId="1826"/>
    <cellStyle name="40% - 强调文字颜色 5 5 8" xfId="1827"/>
    <cellStyle name="40% - 强调文字颜色 5 5 9" xfId="1828"/>
    <cellStyle name="40% - 强调文字颜色 5 6" xfId="1829"/>
    <cellStyle name="40% - 强调文字颜色 5 6 10" xfId="1830"/>
    <cellStyle name="40% - 强调文字颜色 5 6 11" xfId="1831"/>
    <cellStyle name="40% - 强调文字颜色 5 6 12" xfId="1832"/>
    <cellStyle name="40% - 强调文字颜色 5 6 13" xfId="1833"/>
    <cellStyle name="40% - 强调文字颜色 5 6 14" xfId="1834"/>
    <cellStyle name="40% - 强调文字颜色 5 6 15" xfId="1835"/>
    <cellStyle name="40% - 强调文字颜色 5 6 16" xfId="1836"/>
    <cellStyle name="40% - 强调文字颜色 5 6 17" xfId="1837"/>
    <cellStyle name="40% - 强调文字颜色 5 6 18" xfId="1838"/>
    <cellStyle name="40% - 强调文字颜色 5 6 19" xfId="1839"/>
    <cellStyle name="40% - 强调文字颜色 5 6 2" xfId="1840"/>
    <cellStyle name="40% - 强调文字颜色 5 6 2 2" xfId="1841"/>
    <cellStyle name="40% - 强调文字颜色 5 6 2 3" xfId="1842"/>
    <cellStyle name="40% - 强调文字颜色 5 6 2 4" xfId="1843"/>
    <cellStyle name="40% - 强调文字颜色 5 6 2 4 2" xfId="1844"/>
    <cellStyle name="40% - 强调文字颜色 5 6 2 5" xfId="1845"/>
    <cellStyle name="40% - 强调文字颜色 5 6 20" xfId="1846"/>
    <cellStyle name="40% - 强调文字颜色 5 6 21" xfId="1847"/>
    <cellStyle name="40% - 强调文字颜色 5 6 22" xfId="1848"/>
    <cellStyle name="40% - 强调文字颜色 5 6 23" xfId="1849"/>
    <cellStyle name="40% - 强调文字颜色 5 6 3" xfId="1850"/>
    <cellStyle name="40% - 强调文字颜色 5 6 4" xfId="1851"/>
    <cellStyle name="40% - 强调文字颜色 5 6 5" xfId="1852"/>
    <cellStyle name="40% - 强调文字颜色 5 6 6" xfId="1853"/>
    <cellStyle name="40% - 强调文字颜色 5 6 7" xfId="1854"/>
    <cellStyle name="40% - 强调文字颜色 5 6 8" xfId="1855"/>
    <cellStyle name="40% - 强调文字颜色 5 6 9" xfId="1856"/>
    <cellStyle name="40% - 强调文字颜色 5 7" xfId="1857"/>
    <cellStyle name="40% - 强调文字颜色 5 7 10" xfId="1858"/>
    <cellStyle name="40% - 强调文字颜色 5 7 11" xfId="1859"/>
    <cellStyle name="40% - 强调文字颜色 5 7 12" xfId="1860"/>
    <cellStyle name="40% - 强调文字颜色 5 7 13" xfId="1861"/>
    <cellStyle name="40% - 强调文字颜色 5 7 14" xfId="1862"/>
    <cellStyle name="40% - 强调文字颜色 5 7 15" xfId="1863"/>
    <cellStyle name="40% - 强调文字颜色 5 7 16" xfId="1864"/>
    <cellStyle name="40% - 强调文字颜色 5 7 17" xfId="1865"/>
    <cellStyle name="40% - 强调文字颜色 5 7 18" xfId="1866"/>
    <cellStyle name="40% - 强调文字颜色 5 7 19" xfId="1867"/>
    <cellStyle name="40% - 强调文字颜色 5 7 2" xfId="1868"/>
    <cellStyle name="40% - 强调文字颜色 5 7 2 2" xfId="1869"/>
    <cellStyle name="40% - 强调文字颜色 5 7 2 3" xfId="1870"/>
    <cellStyle name="40% - 强调文字颜色 5 7 2 4" xfId="1871"/>
    <cellStyle name="40% - 强调文字颜色 5 7 2 4 2" xfId="1872"/>
    <cellStyle name="40% - 强调文字颜色 5 7 2 5" xfId="1873"/>
    <cellStyle name="40% - 强调文字颜色 5 7 20" xfId="1874"/>
    <cellStyle name="40% - 强调文字颜色 5 7 21" xfId="1875"/>
    <cellStyle name="40% - 强调文字颜色 5 7 22" xfId="1876"/>
    <cellStyle name="40% - 强调文字颜色 5 7 23" xfId="1877"/>
    <cellStyle name="40% - 强调文字颜色 5 7 3" xfId="1878"/>
    <cellStyle name="40% - 强调文字颜色 5 7 4" xfId="1879"/>
    <cellStyle name="40% - 强调文字颜色 5 7 5" xfId="1880"/>
    <cellStyle name="40% - 强调文字颜色 5 7 6" xfId="1881"/>
    <cellStyle name="40% - 强调文字颜色 5 7 7" xfId="1882"/>
    <cellStyle name="40% - 强调文字颜色 5 7 8" xfId="1883"/>
    <cellStyle name="40% - 强调文字颜色 5 7 9" xfId="1884"/>
    <cellStyle name="40% - 强调文字颜色 6 2" xfId="1885"/>
    <cellStyle name="40% - 强调文字颜色 6 2 10" xfId="1886"/>
    <cellStyle name="40% - 强调文字颜色 6 2 11" xfId="1887"/>
    <cellStyle name="40% - 强调文字颜色 6 2 12" xfId="1888"/>
    <cellStyle name="40% - 强调文字颜色 6 2 13" xfId="1889"/>
    <cellStyle name="40% - 强调文字颜色 6 2 14" xfId="1890"/>
    <cellStyle name="40% - 强调文字颜色 6 2 15" xfId="1891"/>
    <cellStyle name="40% - 强调文字颜色 6 2 16" xfId="1892"/>
    <cellStyle name="40% - 强调文字颜色 6 2 17" xfId="1893"/>
    <cellStyle name="40% - 强调文字颜色 6 2 18" xfId="1894"/>
    <cellStyle name="40% - 强调文字颜色 6 2 19" xfId="1895"/>
    <cellStyle name="40% - 强调文字颜色 6 2 2" xfId="1896"/>
    <cellStyle name="40% - 强调文字颜色 6 2 2 2" xfId="1897"/>
    <cellStyle name="40% - 强调文字颜色 6 2 2 3" xfId="1898"/>
    <cellStyle name="40% - 强调文字颜色 6 2 2 4" xfId="1899"/>
    <cellStyle name="40% - 强调文字颜色 6 2 2 4 2" xfId="1900"/>
    <cellStyle name="40% - 强调文字颜色 6 2 2 5" xfId="1901"/>
    <cellStyle name="40% - 强调文字颜色 6 2 20" xfId="1902"/>
    <cellStyle name="40% - 强调文字颜色 6 2 21" xfId="1903"/>
    <cellStyle name="40% - 强调文字颜色 6 2 22" xfId="1904"/>
    <cellStyle name="40% - 强调文字颜色 6 2 23" xfId="1905"/>
    <cellStyle name="40% - 强调文字颜色 6 2 3" xfId="1906"/>
    <cellStyle name="40% - 强调文字颜色 6 2 4" xfId="1907"/>
    <cellStyle name="40% - 强调文字颜色 6 2 5" xfId="1908"/>
    <cellStyle name="40% - 强调文字颜色 6 2 6" xfId="1909"/>
    <cellStyle name="40% - 强调文字颜色 6 2 7" xfId="1910"/>
    <cellStyle name="40% - 强调文字颜色 6 2 8" xfId="1911"/>
    <cellStyle name="40% - 强调文字颜色 6 2 9" xfId="1912"/>
    <cellStyle name="40% - 强调文字颜色 6 3" xfId="1913"/>
    <cellStyle name="40% - 强调文字颜色 6 3 10" xfId="1914"/>
    <cellStyle name="40% - 强调文字颜色 6 3 11" xfId="1915"/>
    <cellStyle name="40% - 强调文字颜色 6 3 12" xfId="1916"/>
    <cellStyle name="40% - 强调文字颜色 6 3 13" xfId="1917"/>
    <cellStyle name="40% - 强调文字颜色 6 3 14" xfId="1918"/>
    <cellStyle name="40% - 强调文字颜色 6 3 15" xfId="1919"/>
    <cellStyle name="40% - 强调文字颜色 6 3 16" xfId="1920"/>
    <cellStyle name="40% - 强调文字颜色 6 3 17" xfId="1921"/>
    <cellStyle name="40% - 强调文字颜色 6 3 18" xfId="1922"/>
    <cellStyle name="40% - 强调文字颜色 6 3 19" xfId="1923"/>
    <cellStyle name="40% - 强调文字颜色 6 3 2" xfId="1924"/>
    <cellStyle name="40% - 强调文字颜色 6 3 2 2" xfId="1925"/>
    <cellStyle name="40% - 强调文字颜色 6 3 2 3" xfId="1926"/>
    <cellStyle name="40% - 强调文字颜色 6 3 2 4" xfId="1927"/>
    <cellStyle name="40% - 强调文字颜色 6 3 2 4 2" xfId="1928"/>
    <cellStyle name="40% - 强调文字颜色 6 3 2 5" xfId="1929"/>
    <cellStyle name="40% - 强调文字颜色 6 3 20" xfId="1930"/>
    <cellStyle name="40% - 强调文字颜色 6 3 21" xfId="1931"/>
    <cellStyle name="40% - 强调文字颜色 6 3 22" xfId="1932"/>
    <cellStyle name="40% - 强调文字颜色 6 3 23" xfId="1933"/>
    <cellStyle name="40% - 强调文字颜色 6 3 3" xfId="1934"/>
    <cellStyle name="40% - 强调文字颜色 6 3 4" xfId="1935"/>
    <cellStyle name="40% - 强调文字颜色 6 3 5" xfId="1936"/>
    <cellStyle name="40% - 强调文字颜色 6 3 6" xfId="1937"/>
    <cellStyle name="40% - 强调文字颜色 6 3 7" xfId="1938"/>
    <cellStyle name="40% - 强调文字颜色 6 3 8" xfId="1939"/>
    <cellStyle name="40% - 强调文字颜色 6 3 9" xfId="1940"/>
    <cellStyle name="40% - 强调文字颜色 6 4" xfId="1941"/>
    <cellStyle name="40% - 强调文字颜色 6 4 10" xfId="1942"/>
    <cellStyle name="40% - 强调文字颜色 6 4 11" xfId="1943"/>
    <cellStyle name="40% - 强调文字颜色 6 4 12" xfId="1944"/>
    <cellStyle name="40% - 强调文字颜色 6 4 13" xfId="1945"/>
    <cellStyle name="40% - 强调文字颜色 6 4 14" xfId="1946"/>
    <cellStyle name="40% - 强调文字颜色 6 4 15" xfId="1947"/>
    <cellStyle name="40% - 强调文字颜色 6 4 16" xfId="1948"/>
    <cellStyle name="40% - 强调文字颜色 6 4 17" xfId="1949"/>
    <cellStyle name="40% - 强调文字颜色 6 4 18" xfId="1950"/>
    <cellStyle name="40% - 强调文字颜色 6 4 19" xfId="1951"/>
    <cellStyle name="40% - 强调文字颜色 6 4 2" xfId="1952"/>
    <cellStyle name="40% - 强调文字颜色 6 4 2 2" xfId="1953"/>
    <cellStyle name="40% - 强调文字颜色 6 4 2 3" xfId="1954"/>
    <cellStyle name="40% - 强调文字颜色 6 4 2 4" xfId="1955"/>
    <cellStyle name="40% - 强调文字颜色 6 4 2 4 2" xfId="1956"/>
    <cellStyle name="40% - 强调文字颜色 6 4 2 5" xfId="1957"/>
    <cellStyle name="40% - 强调文字颜色 6 4 20" xfId="1958"/>
    <cellStyle name="40% - 强调文字颜色 6 4 21" xfId="1959"/>
    <cellStyle name="40% - 强调文字颜色 6 4 22" xfId="1960"/>
    <cellStyle name="40% - 强调文字颜色 6 4 23" xfId="1961"/>
    <cellStyle name="40% - 强调文字颜色 6 4 3" xfId="1962"/>
    <cellStyle name="40% - 强调文字颜色 6 4 4" xfId="1963"/>
    <cellStyle name="40% - 强调文字颜色 6 4 5" xfId="1964"/>
    <cellStyle name="40% - 强调文字颜色 6 4 6" xfId="1965"/>
    <cellStyle name="40% - 强调文字颜色 6 4 7" xfId="1966"/>
    <cellStyle name="40% - 强调文字颜色 6 4 8" xfId="1967"/>
    <cellStyle name="40% - 强调文字颜色 6 4 9" xfId="1968"/>
    <cellStyle name="40% - 强调文字颜色 6 5" xfId="1969"/>
    <cellStyle name="40% - 强调文字颜色 6 5 10" xfId="1970"/>
    <cellStyle name="40% - 强调文字颜色 6 5 11" xfId="1971"/>
    <cellStyle name="40% - 强调文字颜色 6 5 12" xfId="1972"/>
    <cellStyle name="40% - 强调文字颜色 6 5 13" xfId="1973"/>
    <cellStyle name="40% - 强调文字颜色 6 5 14" xfId="1974"/>
    <cellStyle name="40% - 强调文字颜色 6 5 15" xfId="1975"/>
    <cellStyle name="40% - 强调文字颜色 6 5 16" xfId="1976"/>
    <cellStyle name="40% - 强调文字颜色 6 5 17" xfId="1977"/>
    <cellStyle name="40% - 强调文字颜色 6 5 18" xfId="1978"/>
    <cellStyle name="40% - 强调文字颜色 6 5 19" xfId="1979"/>
    <cellStyle name="40% - 强调文字颜色 6 5 2" xfId="1980"/>
    <cellStyle name="40% - 强调文字颜色 6 5 2 2" xfId="1981"/>
    <cellStyle name="40% - 强调文字颜色 6 5 2 3" xfId="1982"/>
    <cellStyle name="40% - 强调文字颜色 6 5 2 4" xfId="1983"/>
    <cellStyle name="40% - 强调文字颜色 6 5 2 4 2" xfId="1984"/>
    <cellStyle name="40% - 强调文字颜色 6 5 2 5" xfId="1985"/>
    <cellStyle name="40% - 强调文字颜色 6 5 20" xfId="1986"/>
    <cellStyle name="40% - 强调文字颜色 6 5 21" xfId="1987"/>
    <cellStyle name="40% - 强调文字颜色 6 5 22" xfId="1988"/>
    <cellStyle name="40% - 强调文字颜色 6 5 23" xfId="1989"/>
    <cellStyle name="40% - 强调文字颜色 6 5 3" xfId="1990"/>
    <cellStyle name="40% - 强调文字颜色 6 5 4" xfId="1991"/>
    <cellStyle name="40% - 强调文字颜色 6 5 5" xfId="1992"/>
    <cellStyle name="40% - 强调文字颜色 6 5 6" xfId="1993"/>
    <cellStyle name="40% - 强调文字颜色 6 5 7" xfId="1994"/>
    <cellStyle name="40% - 强调文字颜色 6 5 8" xfId="1995"/>
    <cellStyle name="40% - 强调文字颜色 6 5 9" xfId="1996"/>
    <cellStyle name="40% - 强调文字颜色 6 6" xfId="1997"/>
    <cellStyle name="40% - 强调文字颜色 6 6 10" xfId="1998"/>
    <cellStyle name="40% - 强调文字颜色 6 6 11" xfId="1999"/>
    <cellStyle name="40% - 强调文字颜色 6 6 12" xfId="2000"/>
    <cellStyle name="40% - 强调文字颜色 6 6 13" xfId="2001"/>
    <cellStyle name="40% - 强调文字颜色 6 6 14" xfId="2002"/>
    <cellStyle name="40% - 强调文字颜色 6 6 15" xfId="2003"/>
    <cellStyle name="40% - 强调文字颜色 6 6 16" xfId="2004"/>
    <cellStyle name="40% - 强调文字颜色 6 6 17" xfId="2005"/>
    <cellStyle name="40% - 强调文字颜色 6 6 18" xfId="2006"/>
    <cellStyle name="40% - 强调文字颜色 6 6 19" xfId="2007"/>
    <cellStyle name="40% - 强调文字颜色 6 6 2" xfId="2008"/>
    <cellStyle name="40% - 强调文字颜色 6 6 2 2" xfId="2009"/>
    <cellStyle name="40% - 强调文字颜色 6 6 2 3" xfId="2010"/>
    <cellStyle name="40% - 强调文字颜色 6 6 2 4" xfId="2011"/>
    <cellStyle name="40% - 强调文字颜色 6 6 2 4 2" xfId="2012"/>
    <cellStyle name="40% - 强调文字颜色 6 6 2 5" xfId="2013"/>
    <cellStyle name="40% - 强调文字颜色 6 6 20" xfId="2014"/>
    <cellStyle name="40% - 强调文字颜色 6 6 21" xfId="2015"/>
    <cellStyle name="40% - 强调文字颜色 6 6 22" xfId="2016"/>
    <cellStyle name="40% - 强调文字颜色 6 6 23" xfId="2017"/>
    <cellStyle name="40% - 强调文字颜色 6 6 3" xfId="2018"/>
    <cellStyle name="40% - 强调文字颜色 6 6 4" xfId="2019"/>
    <cellStyle name="40% - 强调文字颜色 6 6 5" xfId="2020"/>
    <cellStyle name="40% - 强调文字颜色 6 6 6" xfId="2021"/>
    <cellStyle name="40% - 强调文字颜色 6 6 7" xfId="2022"/>
    <cellStyle name="40% - 强调文字颜色 6 6 8" xfId="2023"/>
    <cellStyle name="40% - 强调文字颜色 6 6 9" xfId="2024"/>
    <cellStyle name="40% - 强调文字颜色 6 7" xfId="2025"/>
    <cellStyle name="40% - 强调文字颜色 6 7 10" xfId="2026"/>
    <cellStyle name="40% - 强调文字颜色 6 7 11" xfId="2027"/>
    <cellStyle name="40% - 强调文字颜色 6 7 12" xfId="2028"/>
    <cellStyle name="40% - 强调文字颜色 6 7 13" xfId="2029"/>
    <cellStyle name="40% - 强调文字颜色 6 7 14" xfId="2030"/>
    <cellStyle name="40% - 强调文字颜色 6 7 15" xfId="2031"/>
    <cellStyle name="40% - 强调文字颜色 6 7 16" xfId="2032"/>
    <cellStyle name="40% - 强调文字颜色 6 7 17" xfId="2033"/>
    <cellStyle name="40% - 强调文字颜色 6 7 18" xfId="2034"/>
    <cellStyle name="40% - 强调文字颜色 6 7 19" xfId="2035"/>
    <cellStyle name="40% - 强调文字颜色 6 7 2" xfId="2036"/>
    <cellStyle name="40% - 强调文字颜色 6 7 2 2" xfId="2037"/>
    <cellStyle name="40% - 强调文字颜色 6 7 2 3" xfId="2038"/>
    <cellStyle name="40% - 强调文字颜色 6 7 2 4" xfId="2039"/>
    <cellStyle name="40% - 强调文字颜色 6 7 2 4 2" xfId="2040"/>
    <cellStyle name="40% - 强调文字颜色 6 7 2 5" xfId="2041"/>
    <cellStyle name="40% - 强调文字颜色 6 7 20" xfId="2042"/>
    <cellStyle name="40% - 强调文字颜色 6 7 21" xfId="2043"/>
    <cellStyle name="40% - 强调文字颜色 6 7 22" xfId="2044"/>
    <cellStyle name="40% - 强调文字颜色 6 7 23" xfId="2045"/>
    <cellStyle name="40% - 强调文字颜色 6 7 3" xfId="2046"/>
    <cellStyle name="40% - 强调文字颜色 6 7 4" xfId="2047"/>
    <cellStyle name="40% - 强调文字颜色 6 7 5" xfId="2048"/>
    <cellStyle name="40% - 强调文字颜色 6 7 6" xfId="2049"/>
    <cellStyle name="40% - 强调文字颜色 6 7 7" xfId="2050"/>
    <cellStyle name="40% - 强调文字颜色 6 7 8" xfId="2051"/>
    <cellStyle name="40% - 强调文字颜色 6 7 9" xfId="2052"/>
    <cellStyle name="60% - 强调文字颜色 1 2" xfId="2053"/>
    <cellStyle name="60% - 强调文字颜色 1 2 10" xfId="2054"/>
    <cellStyle name="60% - 强调文字颜色 1 2 11" xfId="2055"/>
    <cellStyle name="60% - 强调文字颜色 1 2 12" xfId="2056"/>
    <cellStyle name="60% - 强调文字颜色 1 2 13" xfId="2057"/>
    <cellStyle name="60% - 强调文字颜色 1 2 14" xfId="2058"/>
    <cellStyle name="60% - 强调文字颜色 1 2 15" xfId="2059"/>
    <cellStyle name="60% - 强调文字颜色 1 2 16" xfId="2060"/>
    <cellStyle name="60% - 强调文字颜色 1 2 17" xfId="2061"/>
    <cellStyle name="60% - 强调文字颜色 1 2 18" xfId="2062"/>
    <cellStyle name="60% - 强调文字颜色 1 2 19" xfId="2063"/>
    <cellStyle name="60% - 强调文字颜色 1 2 2" xfId="2064"/>
    <cellStyle name="60% - 强调文字颜色 1 2 2 2" xfId="2065"/>
    <cellStyle name="60% - 强调文字颜色 1 2 2 3" xfId="2066"/>
    <cellStyle name="60% - 强调文字颜色 1 2 2 4" xfId="2067"/>
    <cellStyle name="60% - 强调文字颜色 1 2 2 4 2" xfId="2068"/>
    <cellStyle name="60% - 强调文字颜色 1 2 2 5" xfId="2069"/>
    <cellStyle name="60% - 强调文字颜色 1 2 20" xfId="2070"/>
    <cellStyle name="60% - 强调文字颜色 1 2 21" xfId="2071"/>
    <cellStyle name="60% - 强调文字颜色 1 2 22" xfId="2072"/>
    <cellStyle name="60% - 强调文字颜色 1 2 23" xfId="2073"/>
    <cellStyle name="60% - 强调文字颜色 1 2 3" xfId="2074"/>
    <cellStyle name="60% - 强调文字颜色 1 2 4" xfId="2075"/>
    <cellStyle name="60% - 强调文字颜色 1 2 5" xfId="2076"/>
    <cellStyle name="60% - 强调文字颜色 1 2 6" xfId="2077"/>
    <cellStyle name="60% - 强调文字颜色 1 2 7" xfId="2078"/>
    <cellStyle name="60% - 强调文字颜色 1 2 8" xfId="2079"/>
    <cellStyle name="60% - 强调文字颜色 1 2 9" xfId="2080"/>
    <cellStyle name="60% - 强调文字颜色 1 3" xfId="2081"/>
    <cellStyle name="60% - 强调文字颜色 1 3 10" xfId="2082"/>
    <cellStyle name="60% - 强调文字颜色 1 3 11" xfId="2083"/>
    <cellStyle name="60% - 强调文字颜色 1 3 12" xfId="2084"/>
    <cellStyle name="60% - 强调文字颜色 1 3 13" xfId="2085"/>
    <cellStyle name="60% - 强调文字颜色 1 3 14" xfId="2086"/>
    <cellStyle name="60% - 强调文字颜色 1 3 15" xfId="2087"/>
    <cellStyle name="60% - 强调文字颜色 1 3 16" xfId="2088"/>
    <cellStyle name="60% - 强调文字颜色 1 3 17" xfId="2089"/>
    <cellStyle name="60% - 强调文字颜色 1 3 18" xfId="2090"/>
    <cellStyle name="60% - 强调文字颜色 1 3 19" xfId="2091"/>
    <cellStyle name="60% - 强调文字颜色 1 3 2" xfId="2092"/>
    <cellStyle name="60% - 强调文字颜色 1 3 2 2" xfId="2093"/>
    <cellStyle name="60% - 强调文字颜色 1 3 2 3" xfId="2094"/>
    <cellStyle name="60% - 强调文字颜色 1 3 2 4" xfId="2095"/>
    <cellStyle name="60% - 强调文字颜色 1 3 2 4 2" xfId="2096"/>
    <cellStyle name="60% - 强调文字颜色 1 3 2 5" xfId="2097"/>
    <cellStyle name="60% - 强调文字颜色 1 3 20" xfId="2098"/>
    <cellStyle name="60% - 强调文字颜色 1 3 21" xfId="2099"/>
    <cellStyle name="60% - 强调文字颜色 1 3 22" xfId="2100"/>
    <cellStyle name="60% - 强调文字颜色 1 3 23" xfId="2101"/>
    <cellStyle name="60% - 强调文字颜色 1 3 3" xfId="2102"/>
    <cellStyle name="60% - 强调文字颜色 1 3 4" xfId="2103"/>
    <cellStyle name="60% - 强调文字颜色 1 3 5" xfId="2104"/>
    <cellStyle name="60% - 强调文字颜色 1 3 6" xfId="2105"/>
    <cellStyle name="60% - 强调文字颜色 1 3 7" xfId="2106"/>
    <cellStyle name="60% - 强调文字颜色 1 3 8" xfId="2107"/>
    <cellStyle name="60% - 强调文字颜色 1 3 9" xfId="2108"/>
    <cellStyle name="60% - 强调文字颜色 1 4" xfId="2109"/>
    <cellStyle name="60% - 强调文字颜色 1 4 10" xfId="2110"/>
    <cellStyle name="60% - 强调文字颜色 1 4 11" xfId="2111"/>
    <cellStyle name="60% - 强调文字颜色 1 4 12" xfId="2112"/>
    <cellStyle name="60% - 强调文字颜色 1 4 13" xfId="2113"/>
    <cellStyle name="60% - 强调文字颜色 1 4 14" xfId="2114"/>
    <cellStyle name="60% - 强调文字颜色 1 4 15" xfId="2115"/>
    <cellStyle name="60% - 强调文字颜色 1 4 16" xfId="2116"/>
    <cellStyle name="60% - 强调文字颜色 1 4 17" xfId="2117"/>
    <cellStyle name="60% - 强调文字颜色 1 4 18" xfId="2118"/>
    <cellStyle name="60% - 强调文字颜色 1 4 19" xfId="2119"/>
    <cellStyle name="60% - 强调文字颜色 1 4 2" xfId="2120"/>
    <cellStyle name="60% - 强调文字颜色 1 4 2 2" xfId="2121"/>
    <cellStyle name="60% - 强调文字颜色 1 4 2 3" xfId="2122"/>
    <cellStyle name="60% - 强调文字颜色 1 4 2 4" xfId="2123"/>
    <cellStyle name="60% - 强调文字颜色 1 4 2 4 2" xfId="2124"/>
    <cellStyle name="60% - 强调文字颜色 1 4 2 5" xfId="2125"/>
    <cellStyle name="60% - 强调文字颜色 1 4 20" xfId="2126"/>
    <cellStyle name="60% - 强调文字颜色 1 4 21" xfId="2127"/>
    <cellStyle name="60% - 强调文字颜色 1 4 22" xfId="2128"/>
    <cellStyle name="60% - 强调文字颜色 1 4 23" xfId="2129"/>
    <cellStyle name="60% - 强调文字颜色 1 4 3" xfId="2130"/>
    <cellStyle name="60% - 强调文字颜色 1 4 4" xfId="2131"/>
    <cellStyle name="60% - 强调文字颜色 1 4 5" xfId="2132"/>
    <cellStyle name="60% - 强调文字颜色 1 4 6" xfId="2133"/>
    <cellStyle name="60% - 强调文字颜色 1 4 7" xfId="2134"/>
    <cellStyle name="60% - 强调文字颜色 1 4 8" xfId="2135"/>
    <cellStyle name="60% - 强调文字颜色 1 4 9" xfId="2136"/>
    <cellStyle name="60% - 强调文字颜色 1 5" xfId="2137"/>
    <cellStyle name="60% - 强调文字颜色 1 5 10" xfId="2138"/>
    <cellStyle name="60% - 强调文字颜色 1 5 11" xfId="2139"/>
    <cellStyle name="60% - 强调文字颜色 1 5 12" xfId="2140"/>
    <cellStyle name="60% - 强调文字颜色 1 5 13" xfId="2141"/>
    <cellStyle name="60% - 强调文字颜色 1 5 14" xfId="2142"/>
    <cellStyle name="60% - 强调文字颜色 1 5 15" xfId="2143"/>
    <cellStyle name="60% - 强调文字颜色 1 5 16" xfId="2144"/>
    <cellStyle name="60% - 强调文字颜色 1 5 17" xfId="2145"/>
    <cellStyle name="60% - 强调文字颜色 1 5 18" xfId="2146"/>
    <cellStyle name="60% - 强调文字颜色 1 5 19" xfId="2147"/>
    <cellStyle name="60% - 强调文字颜色 1 5 2" xfId="2148"/>
    <cellStyle name="60% - 强调文字颜色 1 5 2 2" xfId="2149"/>
    <cellStyle name="60% - 强调文字颜色 1 5 2 3" xfId="2150"/>
    <cellStyle name="60% - 强调文字颜色 1 5 2 4" xfId="2151"/>
    <cellStyle name="60% - 强调文字颜色 1 5 2 4 2" xfId="2152"/>
    <cellStyle name="60% - 强调文字颜色 1 5 2 5" xfId="2153"/>
    <cellStyle name="60% - 强调文字颜色 1 5 20" xfId="2154"/>
    <cellStyle name="60% - 强调文字颜色 1 5 21" xfId="2155"/>
    <cellStyle name="60% - 强调文字颜色 1 5 22" xfId="2156"/>
    <cellStyle name="60% - 强调文字颜色 1 5 23" xfId="2157"/>
    <cellStyle name="60% - 强调文字颜色 1 5 3" xfId="2158"/>
    <cellStyle name="60% - 强调文字颜色 1 5 4" xfId="2159"/>
    <cellStyle name="60% - 强调文字颜色 1 5 5" xfId="2160"/>
    <cellStyle name="60% - 强调文字颜色 1 5 6" xfId="2161"/>
    <cellStyle name="60% - 强调文字颜色 1 5 7" xfId="2162"/>
    <cellStyle name="60% - 强调文字颜色 1 5 8" xfId="2163"/>
    <cellStyle name="60% - 强调文字颜色 1 5 9" xfId="2164"/>
    <cellStyle name="60% - 强调文字颜色 1 6" xfId="2165"/>
    <cellStyle name="60% - 强调文字颜色 1 6 10" xfId="2166"/>
    <cellStyle name="60% - 强调文字颜色 1 6 11" xfId="2167"/>
    <cellStyle name="60% - 强调文字颜色 1 6 12" xfId="2168"/>
    <cellStyle name="60% - 强调文字颜色 1 6 13" xfId="2169"/>
    <cellStyle name="60% - 强调文字颜色 1 6 14" xfId="2170"/>
    <cellStyle name="60% - 强调文字颜色 1 6 15" xfId="2171"/>
    <cellStyle name="60% - 强调文字颜色 1 6 16" xfId="2172"/>
    <cellStyle name="60% - 强调文字颜色 1 6 17" xfId="2173"/>
    <cellStyle name="60% - 强调文字颜色 1 6 18" xfId="2174"/>
    <cellStyle name="60% - 强调文字颜色 1 6 19" xfId="2175"/>
    <cellStyle name="60% - 强调文字颜色 1 6 2" xfId="2176"/>
    <cellStyle name="60% - 强调文字颜色 1 6 2 2" xfId="2177"/>
    <cellStyle name="60% - 强调文字颜色 1 6 2 3" xfId="2178"/>
    <cellStyle name="60% - 强调文字颜色 1 6 2 4" xfId="2179"/>
    <cellStyle name="60% - 强调文字颜色 1 6 2 4 2" xfId="2180"/>
    <cellStyle name="60% - 强调文字颜色 1 6 2 5" xfId="2181"/>
    <cellStyle name="60% - 强调文字颜色 1 6 20" xfId="2182"/>
    <cellStyle name="60% - 强调文字颜色 1 6 21" xfId="2183"/>
    <cellStyle name="60% - 强调文字颜色 1 6 22" xfId="2184"/>
    <cellStyle name="60% - 强调文字颜色 1 6 23" xfId="2185"/>
    <cellStyle name="60% - 强调文字颜色 1 6 3" xfId="2186"/>
    <cellStyle name="60% - 强调文字颜色 1 6 4" xfId="2187"/>
    <cellStyle name="60% - 强调文字颜色 1 6 5" xfId="2188"/>
    <cellStyle name="60% - 强调文字颜色 1 6 6" xfId="2189"/>
    <cellStyle name="60% - 强调文字颜色 1 6 7" xfId="2190"/>
    <cellStyle name="60% - 强调文字颜色 1 6 8" xfId="2191"/>
    <cellStyle name="60% - 强调文字颜色 1 6 9" xfId="2192"/>
    <cellStyle name="60% - 强调文字颜色 1 7" xfId="2193"/>
    <cellStyle name="60% - 强调文字颜色 1 7 10" xfId="2194"/>
    <cellStyle name="60% - 强调文字颜色 1 7 11" xfId="2195"/>
    <cellStyle name="60% - 强调文字颜色 1 7 12" xfId="2196"/>
    <cellStyle name="60% - 强调文字颜色 1 7 13" xfId="2197"/>
    <cellStyle name="60% - 强调文字颜色 1 7 14" xfId="2198"/>
    <cellStyle name="60% - 强调文字颜色 1 7 15" xfId="2199"/>
    <cellStyle name="60% - 强调文字颜色 1 7 16" xfId="2200"/>
    <cellStyle name="60% - 强调文字颜色 1 7 17" xfId="2201"/>
    <cellStyle name="60% - 强调文字颜色 1 7 18" xfId="2202"/>
    <cellStyle name="60% - 强调文字颜色 1 7 19" xfId="2203"/>
    <cellStyle name="60% - 强调文字颜色 1 7 2" xfId="2204"/>
    <cellStyle name="60% - 强调文字颜色 1 7 2 2" xfId="2205"/>
    <cellStyle name="60% - 强调文字颜色 1 7 2 3" xfId="2206"/>
    <cellStyle name="60% - 强调文字颜色 1 7 2 4" xfId="2207"/>
    <cellStyle name="60% - 强调文字颜色 1 7 2 4 2" xfId="2208"/>
    <cellStyle name="60% - 强调文字颜色 1 7 2 5" xfId="2209"/>
    <cellStyle name="60% - 强调文字颜色 1 7 20" xfId="2210"/>
    <cellStyle name="60% - 强调文字颜色 1 7 21" xfId="2211"/>
    <cellStyle name="60% - 强调文字颜色 1 7 22" xfId="2212"/>
    <cellStyle name="60% - 强调文字颜色 1 7 23" xfId="2213"/>
    <cellStyle name="60% - 强调文字颜色 1 7 3" xfId="2214"/>
    <cellStyle name="60% - 强调文字颜色 1 7 4" xfId="2215"/>
    <cellStyle name="60% - 强调文字颜色 1 7 5" xfId="2216"/>
    <cellStyle name="60% - 强调文字颜色 1 7 6" xfId="2217"/>
    <cellStyle name="60% - 强调文字颜色 1 7 7" xfId="2218"/>
    <cellStyle name="60% - 强调文字颜色 1 7 8" xfId="2219"/>
    <cellStyle name="60% - 强调文字颜色 1 7 9" xfId="2220"/>
    <cellStyle name="60% - 强调文字颜色 2 2" xfId="2221"/>
    <cellStyle name="60% - 强调文字颜色 2 2 10" xfId="2222"/>
    <cellStyle name="60% - 强调文字颜色 2 2 11" xfId="2223"/>
    <cellStyle name="60% - 强调文字颜色 2 2 12" xfId="2224"/>
    <cellStyle name="60% - 强调文字颜色 2 2 13" xfId="2225"/>
    <cellStyle name="60% - 强调文字颜色 2 2 14" xfId="2226"/>
    <cellStyle name="60% - 强调文字颜色 2 2 15" xfId="2227"/>
    <cellStyle name="60% - 强调文字颜色 2 2 16" xfId="2228"/>
    <cellStyle name="60% - 强调文字颜色 2 2 17" xfId="2229"/>
    <cellStyle name="60% - 强调文字颜色 2 2 18" xfId="2230"/>
    <cellStyle name="60% - 强调文字颜色 2 2 19" xfId="2231"/>
    <cellStyle name="60% - 强调文字颜色 2 2 2" xfId="2232"/>
    <cellStyle name="60% - 强调文字颜色 2 2 2 2" xfId="2233"/>
    <cellStyle name="60% - 强调文字颜色 2 2 2 3" xfId="2234"/>
    <cellStyle name="60% - 强调文字颜色 2 2 2 4" xfId="2235"/>
    <cellStyle name="60% - 强调文字颜色 2 2 2 4 2" xfId="2236"/>
    <cellStyle name="60% - 强调文字颜色 2 2 2 5" xfId="2237"/>
    <cellStyle name="60% - 强调文字颜色 2 2 20" xfId="2238"/>
    <cellStyle name="60% - 强调文字颜色 2 2 21" xfId="2239"/>
    <cellStyle name="60% - 强调文字颜色 2 2 22" xfId="2240"/>
    <cellStyle name="60% - 强调文字颜色 2 2 23" xfId="2241"/>
    <cellStyle name="60% - 强调文字颜色 2 2 3" xfId="2242"/>
    <cellStyle name="60% - 强调文字颜色 2 2 4" xfId="2243"/>
    <cellStyle name="60% - 强调文字颜色 2 2 5" xfId="2244"/>
    <cellStyle name="60% - 强调文字颜色 2 2 6" xfId="2245"/>
    <cellStyle name="60% - 强调文字颜色 2 2 7" xfId="2246"/>
    <cellStyle name="60% - 强调文字颜色 2 2 8" xfId="2247"/>
    <cellStyle name="60% - 强调文字颜色 2 2 9" xfId="2248"/>
    <cellStyle name="60% - 强调文字颜色 2 3" xfId="2249"/>
    <cellStyle name="60% - 强调文字颜色 2 3 10" xfId="2250"/>
    <cellStyle name="60% - 强调文字颜色 2 3 11" xfId="2251"/>
    <cellStyle name="60% - 强调文字颜色 2 3 12" xfId="2252"/>
    <cellStyle name="60% - 强调文字颜色 2 3 13" xfId="2253"/>
    <cellStyle name="60% - 强调文字颜色 2 3 14" xfId="2254"/>
    <cellStyle name="60% - 强调文字颜色 2 3 15" xfId="2255"/>
    <cellStyle name="60% - 强调文字颜色 2 3 16" xfId="2256"/>
    <cellStyle name="60% - 强调文字颜色 2 3 17" xfId="2257"/>
    <cellStyle name="60% - 强调文字颜色 2 3 18" xfId="2258"/>
    <cellStyle name="60% - 强调文字颜色 2 3 19" xfId="2259"/>
    <cellStyle name="60% - 强调文字颜色 2 3 2" xfId="2260"/>
    <cellStyle name="60% - 强调文字颜色 2 3 2 2" xfId="2261"/>
    <cellStyle name="60% - 强调文字颜色 2 3 2 3" xfId="2262"/>
    <cellStyle name="60% - 强调文字颜色 2 3 2 4" xfId="2263"/>
    <cellStyle name="60% - 强调文字颜色 2 3 2 4 2" xfId="2264"/>
    <cellStyle name="60% - 强调文字颜色 2 3 2 5" xfId="2265"/>
    <cellStyle name="60% - 强调文字颜色 2 3 20" xfId="2266"/>
    <cellStyle name="60% - 强调文字颜色 2 3 21" xfId="2267"/>
    <cellStyle name="60% - 强调文字颜色 2 3 22" xfId="2268"/>
    <cellStyle name="60% - 强调文字颜色 2 3 23" xfId="2269"/>
    <cellStyle name="60% - 强调文字颜色 2 3 3" xfId="2270"/>
    <cellStyle name="60% - 强调文字颜色 2 3 4" xfId="2271"/>
    <cellStyle name="60% - 强调文字颜色 2 3 5" xfId="2272"/>
    <cellStyle name="60% - 强调文字颜色 2 3 6" xfId="2273"/>
    <cellStyle name="60% - 强调文字颜色 2 3 7" xfId="2274"/>
    <cellStyle name="60% - 强调文字颜色 2 3 8" xfId="2275"/>
    <cellStyle name="60% - 强调文字颜色 2 3 9" xfId="2276"/>
    <cellStyle name="60% - 强调文字颜色 2 4" xfId="2277"/>
    <cellStyle name="60% - 强调文字颜色 2 4 10" xfId="2278"/>
    <cellStyle name="60% - 强调文字颜色 2 4 11" xfId="2279"/>
    <cellStyle name="60% - 强调文字颜色 2 4 12" xfId="2280"/>
    <cellStyle name="60% - 强调文字颜色 2 4 13" xfId="2281"/>
    <cellStyle name="60% - 强调文字颜色 2 4 14" xfId="2282"/>
    <cellStyle name="60% - 强调文字颜色 2 4 15" xfId="2283"/>
    <cellStyle name="60% - 强调文字颜色 2 4 16" xfId="2284"/>
    <cellStyle name="60% - 强调文字颜色 2 4 17" xfId="2285"/>
    <cellStyle name="60% - 强调文字颜色 2 4 18" xfId="2286"/>
    <cellStyle name="60% - 强调文字颜色 2 4 19" xfId="2287"/>
    <cellStyle name="60% - 强调文字颜色 2 4 2" xfId="2288"/>
    <cellStyle name="60% - 强调文字颜色 2 4 2 2" xfId="2289"/>
    <cellStyle name="60% - 强调文字颜色 2 4 2 3" xfId="2290"/>
    <cellStyle name="60% - 强调文字颜色 2 4 2 4" xfId="2291"/>
    <cellStyle name="60% - 强调文字颜色 2 4 2 4 2" xfId="2292"/>
    <cellStyle name="60% - 强调文字颜色 2 4 2 5" xfId="2293"/>
    <cellStyle name="60% - 强调文字颜色 2 4 20" xfId="2294"/>
    <cellStyle name="60% - 强调文字颜色 2 4 21" xfId="2295"/>
    <cellStyle name="60% - 强调文字颜色 2 4 22" xfId="2296"/>
    <cellStyle name="60% - 强调文字颜色 2 4 23" xfId="2297"/>
    <cellStyle name="60% - 强调文字颜色 2 4 3" xfId="2298"/>
    <cellStyle name="60% - 强调文字颜色 2 4 4" xfId="2299"/>
    <cellStyle name="60% - 强调文字颜色 2 4 5" xfId="2300"/>
    <cellStyle name="60% - 强调文字颜色 2 4 6" xfId="2301"/>
    <cellStyle name="60% - 强调文字颜色 2 4 7" xfId="2302"/>
    <cellStyle name="60% - 强调文字颜色 2 4 8" xfId="2303"/>
    <cellStyle name="60% - 强调文字颜色 2 4 9" xfId="2304"/>
    <cellStyle name="60% - 强调文字颜色 2 5" xfId="2305"/>
    <cellStyle name="60% - 强调文字颜色 2 5 10" xfId="2306"/>
    <cellStyle name="60% - 强调文字颜色 2 5 11" xfId="2307"/>
    <cellStyle name="60% - 强调文字颜色 2 5 12" xfId="2308"/>
    <cellStyle name="60% - 强调文字颜色 2 5 13" xfId="2309"/>
    <cellStyle name="60% - 强调文字颜色 2 5 14" xfId="2310"/>
    <cellStyle name="60% - 强调文字颜色 2 5 15" xfId="2311"/>
    <cellStyle name="60% - 强调文字颜色 2 5 16" xfId="2312"/>
    <cellStyle name="60% - 强调文字颜色 2 5 17" xfId="2313"/>
    <cellStyle name="60% - 强调文字颜色 2 5 18" xfId="2314"/>
    <cellStyle name="60% - 强调文字颜色 2 5 19" xfId="2315"/>
    <cellStyle name="60% - 强调文字颜色 2 5 2" xfId="2316"/>
    <cellStyle name="60% - 强调文字颜色 2 5 2 2" xfId="2317"/>
    <cellStyle name="60% - 强调文字颜色 2 5 2 3" xfId="2318"/>
    <cellStyle name="60% - 强调文字颜色 2 5 2 4" xfId="2319"/>
    <cellStyle name="60% - 强调文字颜色 2 5 2 4 2" xfId="2320"/>
    <cellStyle name="60% - 强调文字颜色 2 5 2 5" xfId="2321"/>
    <cellStyle name="60% - 强调文字颜色 2 5 20" xfId="2322"/>
    <cellStyle name="60% - 强调文字颜色 2 5 21" xfId="2323"/>
    <cellStyle name="60% - 强调文字颜色 2 5 22" xfId="2324"/>
    <cellStyle name="60% - 强调文字颜色 2 5 23" xfId="2325"/>
    <cellStyle name="60% - 强调文字颜色 2 5 3" xfId="2326"/>
    <cellStyle name="60% - 强调文字颜色 2 5 4" xfId="2327"/>
    <cellStyle name="60% - 强调文字颜色 2 5 5" xfId="2328"/>
    <cellStyle name="60% - 强调文字颜色 2 5 6" xfId="2329"/>
    <cellStyle name="60% - 强调文字颜色 2 5 7" xfId="2330"/>
    <cellStyle name="60% - 强调文字颜色 2 5 8" xfId="2331"/>
    <cellStyle name="60% - 强调文字颜色 2 5 9" xfId="2332"/>
    <cellStyle name="60% - 强调文字颜色 2 6" xfId="2333"/>
    <cellStyle name="60% - 强调文字颜色 2 6 10" xfId="2334"/>
    <cellStyle name="60% - 强调文字颜色 2 6 11" xfId="2335"/>
    <cellStyle name="60% - 强调文字颜色 2 6 12" xfId="2336"/>
    <cellStyle name="60% - 强调文字颜色 2 6 13" xfId="2337"/>
    <cellStyle name="60% - 强调文字颜色 2 6 14" xfId="2338"/>
    <cellStyle name="60% - 强调文字颜色 2 6 15" xfId="2339"/>
    <cellStyle name="60% - 强调文字颜色 2 6 16" xfId="2340"/>
    <cellStyle name="60% - 强调文字颜色 2 6 17" xfId="2341"/>
    <cellStyle name="60% - 强调文字颜色 2 6 18" xfId="2342"/>
    <cellStyle name="60% - 强调文字颜色 2 6 19" xfId="2343"/>
    <cellStyle name="60% - 强调文字颜色 2 6 2" xfId="2344"/>
    <cellStyle name="60% - 强调文字颜色 2 6 2 2" xfId="2345"/>
    <cellStyle name="60% - 强调文字颜色 2 6 2 3" xfId="2346"/>
    <cellStyle name="60% - 强调文字颜色 2 6 2 4" xfId="2347"/>
    <cellStyle name="60% - 强调文字颜色 2 6 2 4 2" xfId="2348"/>
    <cellStyle name="60% - 强调文字颜色 2 6 2 5" xfId="2349"/>
    <cellStyle name="60% - 强调文字颜色 2 6 20" xfId="2350"/>
    <cellStyle name="60% - 强调文字颜色 2 6 21" xfId="2351"/>
    <cellStyle name="60% - 强调文字颜色 2 6 22" xfId="2352"/>
    <cellStyle name="60% - 强调文字颜色 2 6 23" xfId="2353"/>
    <cellStyle name="60% - 强调文字颜色 2 6 3" xfId="2354"/>
    <cellStyle name="60% - 强调文字颜色 2 6 4" xfId="2355"/>
    <cellStyle name="60% - 强调文字颜色 2 6 5" xfId="2356"/>
    <cellStyle name="60% - 强调文字颜色 2 6 6" xfId="2357"/>
    <cellStyle name="60% - 强调文字颜色 2 6 7" xfId="2358"/>
    <cellStyle name="60% - 强调文字颜色 2 6 8" xfId="2359"/>
    <cellStyle name="60% - 强调文字颜色 2 6 9" xfId="2360"/>
    <cellStyle name="60% - 强调文字颜色 2 7" xfId="2361"/>
    <cellStyle name="60% - 强调文字颜色 2 7 10" xfId="2362"/>
    <cellStyle name="60% - 强调文字颜色 2 7 11" xfId="2363"/>
    <cellStyle name="60% - 强调文字颜色 2 7 12" xfId="2364"/>
    <cellStyle name="60% - 强调文字颜色 2 7 13" xfId="2365"/>
    <cellStyle name="60% - 强调文字颜色 2 7 14" xfId="2366"/>
    <cellStyle name="60% - 强调文字颜色 2 7 15" xfId="2367"/>
    <cellStyle name="60% - 强调文字颜色 2 7 16" xfId="2368"/>
    <cellStyle name="60% - 强调文字颜色 2 7 17" xfId="2369"/>
    <cellStyle name="60% - 强调文字颜色 2 7 18" xfId="2370"/>
    <cellStyle name="60% - 强调文字颜色 2 7 19" xfId="2371"/>
    <cellStyle name="60% - 强调文字颜色 2 7 2" xfId="2372"/>
    <cellStyle name="60% - 强调文字颜色 2 7 2 2" xfId="2373"/>
    <cellStyle name="60% - 强调文字颜色 2 7 2 3" xfId="2374"/>
    <cellStyle name="60% - 强调文字颜色 2 7 2 4" xfId="2375"/>
    <cellStyle name="60% - 强调文字颜色 2 7 2 4 2" xfId="2376"/>
    <cellStyle name="60% - 强调文字颜色 2 7 2 5" xfId="2377"/>
    <cellStyle name="60% - 强调文字颜色 2 7 20" xfId="2378"/>
    <cellStyle name="60% - 强调文字颜色 2 7 21" xfId="2379"/>
    <cellStyle name="60% - 强调文字颜色 2 7 22" xfId="2380"/>
    <cellStyle name="60% - 强调文字颜色 2 7 23" xfId="2381"/>
    <cellStyle name="60% - 强调文字颜色 2 7 3" xfId="2382"/>
    <cellStyle name="60% - 强调文字颜色 2 7 4" xfId="2383"/>
    <cellStyle name="60% - 强调文字颜色 2 7 5" xfId="2384"/>
    <cellStyle name="60% - 强调文字颜色 2 7 6" xfId="2385"/>
    <cellStyle name="60% - 强调文字颜色 2 7 7" xfId="2386"/>
    <cellStyle name="60% - 强调文字颜色 2 7 8" xfId="2387"/>
    <cellStyle name="60% - 强调文字颜色 2 7 9" xfId="2388"/>
    <cellStyle name="60% - 强调文字颜色 3 2" xfId="2389"/>
    <cellStyle name="60% - 强调文字颜色 3 2 10" xfId="2390"/>
    <cellStyle name="60% - 强调文字颜色 3 2 11" xfId="2391"/>
    <cellStyle name="60% - 强调文字颜色 3 2 12" xfId="2392"/>
    <cellStyle name="60% - 强调文字颜色 3 2 13" xfId="2393"/>
    <cellStyle name="60% - 强调文字颜色 3 2 14" xfId="2394"/>
    <cellStyle name="60% - 强调文字颜色 3 2 15" xfId="2395"/>
    <cellStyle name="60% - 强调文字颜色 3 2 16" xfId="2396"/>
    <cellStyle name="60% - 强调文字颜色 3 2 17" xfId="2397"/>
    <cellStyle name="60% - 强调文字颜色 3 2 18" xfId="2398"/>
    <cellStyle name="60% - 强调文字颜色 3 2 19" xfId="2399"/>
    <cellStyle name="60% - 强调文字颜色 3 2 2" xfId="2400"/>
    <cellStyle name="60% - 强调文字颜色 3 2 2 2" xfId="2401"/>
    <cellStyle name="60% - 强调文字颜色 3 2 2 3" xfId="2402"/>
    <cellStyle name="60% - 强调文字颜色 3 2 2 4" xfId="2403"/>
    <cellStyle name="60% - 强调文字颜色 3 2 2 4 2" xfId="2404"/>
    <cellStyle name="60% - 强调文字颜色 3 2 2 5" xfId="2405"/>
    <cellStyle name="60% - 强调文字颜色 3 2 20" xfId="2406"/>
    <cellStyle name="60% - 强调文字颜色 3 2 21" xfId="2407"/>
    <cellStyle name="60% - 强调文字颜色 3 2 22" xfId="2408"/>
    <cellStyle name="60% - 强调文字颜色 3 2 23" xfId="2409"/>
    <cellStyle name="60% - 强调文字颜色 3 2 3" xfId="2410"/>
    <cellStyle name="60% - 强调文字颜色 3 2 4" xfId="2411"/>
    <cellStyle name="60% - 强调文字颜色 3 2 5" xfId="2412"/>
    <cellStyle name="60% - 强调文字颜色 3 2 6" xfId="2413"/>
    <cellStyle name="60% - 强调文字颜色 3 2 7" xfId="2414"/>
    <cellStyle name="60% - 强调文字颜色 3 2 8" xfId="2415"/>
    <cellStyle name="60% - 强调文字颜色 3 2 9" xfId="2416"/>
    <cellStyle name="60% - 强调文字颜色 3 3" xfId="2417"/>
    <cellStyle name="60% - 强调文字颜色 3 3 10" xfId="2418"/>
    <cellStyle name="60% - 强调文字颜色 3 3 11" xfId="2419"/>
    <cellStyle name="60% - 强调文字颜色 3 3 12" xfId="2420"/>
    <cellStyle name="60% - 强调文字颜色 3 3 13" xfId="2421"/>
    <cellStyle name="60% - 强调文字颜色 3 3 14" xfId="2422"/>
    <cellStyle name="60% - 强调文字颜色 3 3 15" xfId="2423"/>
    <cellStyle name="60% - 强调文字颜色 3 3 16" xfId="2424"/>
    <cellStyle name="60% - 强调文字颜色 3 3 17" xfId="2425"/>
    <cellStyle name="60% - 强调文字颜色 3 3 18" xfId="2426"/>
    <cellStyle name="60% - 强调文字颜色 3 3 19" xfId="2427"/>
    <cellStyle name="60% - 强调文字颜色 3 3 2" xfId="2428"/>
    <cellStyle name="60% - 强调文字颜色 3 3 2 2" xfId="2429"/>
    <cellStyle name="60% - 强调文字颜色 3 3 2 3" xfId="2430"/>
    <cellStyle name="60% - 强调文字颜色 3 3 2 4" xfId="2431"/>
    <cellStyle name="60% - 强调文字颜色 3 3 2 4 2" xfId="2432"/>
    <cellStyle name="60% - 强调文字颜色 3 3 2 5" xfId="2433"/>
    <cellStyle name="60% - 强调文字颜色 3 3 20" xfId="2434"/>
    <cellStyle name="60% - 强调文字颜色 3 3 21" xfId="2435"/>
    <cellStyle name="60% - 强调文字颜色 3 3 22" xfId="2436"/>
    <cellStyle name="60% - 强调文字颜色 3 3 23" xfId="2437"/>
    <cellStyle name="60% - 强调文字颜色 3 3 3" xfId="2438"/>
    <cellStyle name="60% - 强调文字颜色 3 3 4" xfId="2439"/>
    <cellStyle name="60% - 强调文字颜色 3 3 5" xfId="2440"/>
    <cellStyle name="60% - 强调文字颜色 3 3 6" xfId="2441"/>
    <cellStyle name="60% - 强调文字颜色 3 3 7" xfId="2442"/>
    <cellStyle name="60% - 强调文字颜色 3 3 8" xfId="2443"/>
    <cellStyle name="60% - 强调文字颜色 3 3 9" xfId="2444"/>
    <cellStyle name="60% - 强调文字颜色 3 4" xfId="2445"/>
    <cellStyle name="60% - 强调文字颜色 3 4 10" xfId="2446"/>
    <cellStyle name="60% - 强调文字颜色 3 4 11" xfId="2447"/>
    <cellStyle name="60% - 强调文字颜色 3 4 12" xfId="2448"/>
    <cellStyle name="60% - 强调文字颜色 3 4 13" xfId="2449"/>
    <cellStyle name="60% - 强调文字颜色 3 4 14" xfId="2450"/>
    <cellStyle name="60% - 强调文字颜色 3 4 15" xfId="2451"/>
    <cellStyle name="60% - 强调文字颜色 3 4 16" xfId="2452"/>
    <cellStyle name="60% - 强调文字颜色 3 4 17" xfId="2453"/>
    <cellStyle name="60% - 强调文字颜色 3 4 18" xfId="2454"/>
    <cellStyle name="60% - 强调文字颜色 3 4 19" xfId="2455"/>
    <cellStyle name="60% - 强调文字颜色 3 4 2" xfId="2456"/>
    <cellStyle name="60% - 强调文字颜色 3 4 2 2" xfId="2457"/>
    <cellStyle name="60% - 强调文字颜色 3 4 2 3" xfId="2458"/>
    <cellStyle name="60% - 强调文字颜色 3 4 2 4" xfId="2459"/>
    <cellStyle name="60% - 强调文字颜色 3 4 2 4 2" xfId="2460"/>
    <cellStyle name="60% - 强调文字颜色 3 4 2 5" xfId="2461"/>
    <cellStyle name="60% - 强调文字颜色 3 4 20" xfId="2462"/>
    <cellStyle name="60% - 强调文字颜色 3 4 21" xfId="2463"/>
    <cellStyle name="60% - 强调文字颜色 3 4 22" xfId="2464"/>
    <cellStyle name="60% - 强调文字颜色 3 4 23" xfId="2465"/>
    <cellStyle name="60% - 强调文字颜色 3 4 3" xfId="2466"/>
    <cellStyle name="60% - 强调文字颜色 3 4 4" xfId="2467"/>
    <cellStyle name="60% - 强调文字颜色 3 4 5" xfId="2468"/>
    <cellStyle name="60% - 强调文字颜色 3 4 6" xfId="2469"/>
    <cellStyle name="60% - 强调文字颜色 3 4 7" xfId="2470"/>
    <cellStyle name="60% - 强调文字颜色 3 4 8" xfId="2471"/>
    <cellStyle name="60% - 强调文字颜色 3 4 9" xfId="2472"/>
    <cellStyle name="60% - 强调文字颜色 3 5" xfId="2473"/>
    <cellStyle name="60% - 强调文字颜色 3 5 10" xfId="2474"/>
    <cellStyle name="60% - 强调文字颜色 3 5 11" xfId="2475"/>
    <cellStyle name="60% - 强调文字颜色 3 5 12" xfId="2476"/>
    <cellStyle name="60% - 强调文字颜色 3 5 13" xfId="2477"/>
    <cellStyle name="60% - 强调文字颜色 3 5 14" xfId="2478"/>
    <cellStyle name="60% - 强调文字颜色 3 5 15" xfId="2479"/>
    <cellStyle name="60% - 强调文字颜色 3 5 16" xfId="2480"/>
    <cellStyle name="60% - 强调文字颜色 3 5 17" xfId="2481"/>
    <cellStyle name="60% - 强调文字颜色 3 5 18" xfId="2482"/>
    <cellStyle name="60% - 强调文字颜色 3 5 19" xfId="2483"/>
    <cellStyle name="60% - 强调文字颜色 3 5 2" xfId="2484"/>
    <cellStyle name="60% - 强调文字颜色 3 5 2 2" xfId="2485"/>
    <cellStyle name="60% - 强调文字颜色 3 5 2 3" xfId="2486"/>
    <cellStyle name="60% - 强调文字颜色 3 5 2 4" xfId="2487"/>
    <cellStyle name="60% - 强调文字颜色 3 5 2 4 2" xfId="2488"/>
    <cellStyle name="60% - 强调文字颜色 3 5 2 5" xfId="2489"/>
    <cellStyle name="60% - 强调文字颜色 3 5 20" xfId="2490"/>
    <cellStyle name="60% - 强调文字颜色 3 5 21" xfId="2491"/>
    <cellStyle name="60% - 强调文字颜色 3 5 22" xfId="2492"/>
    <cellStyle name="60% - 强调文字颜色 3 5 23" xfId="2493"/>
    <cellStyle name="60% - 强调文字颜色 3 5 3" xfId="2494"/>
    <cellStyle name="60% - 强调文字颜色 3 5 4" xfId="2495"/>
    <cellStyle name="60% - 强调文字颜色 3 5 5" xfId="2496"/>
    <cellStyle name="60% - 强调文字颜色 3 5 6" xfId="2497"/>
    <cellStyle name="60% - 强调文字颜色 3 5 7" xfId="2498"/>
    <cellStyle name="60% - 强调文字颜色 3 5 8" xfId="2499"/>
    <cellStyle name="60% - 强调文字颜色 3 5 9" xfId="2500"/>
    <cellStyle name="60% - 强调文字颜色 3 6" xfId="2501"/>
    <cellStyle name="60% - 强调文字颜色 3 6 10" xfId="2502"/>
    <cellStyle name="60% - 强调文字颜色 3 6 11" xfId="2503"/>
    <cellStyle name="60% - 强调文字颜色 3 6 12" xfId="2504"/>
    <cellStyle name="60% - 强调文字颜色 3 6 13" xfId="2505"/>
    <cellStyle name="60% - 强调文字颜色 3 6 14" xfId="2506"/>
    <cellStyle name="60% - 强调文字颜色 3 6 15" xfId="2507"/>
    <cellStyle name="60% - 强调文字颜色 3 6 16" xfId="2508"/>
    <cellStyle name="60% - 强调文字颜色 3 6 17" xfId="2509"/>
    <cellStyle name="60% - 强调文字颜色 3 6 18" xfId="2510"/>
    <cellStyle name="60% - 强调文字颜色 3 6 19" xfId="2511"/>
    <cellStyle name="60% - 强调文字颜色 3 6 2" xfId="2512"/>
    <cellStyle name="60% - 强调文字颜色 3 6 2 2" xfId="2513"/>
    <cellStyle name="60% - 强调文字颜色 3 6 2 3" xfId="2514"/>
    <cellStyle name="60% - 强调文字颜色 3 6 2 4" xfId="2515"/>
    <cellStyle name="60% - 强调文字颜色 3 6 2 4 2" xfId="2516"/>
    <cellStyle name="60% - 强调文字颜色 3 6 2 5" xfId="2517"/>
    <cellStyle name="60% - 强调文字颜色 3 6 20" xfId="2518"/>
    <cellStyle name="60% - 强调文字颜色 3 6 21" xfId="2519"/>
    <cellStyle name="60% - 强调文字颜色 3 6 22" xfId="2520"/>
    <cellStyle name="60% - 强调文字颜色 3 6 23" xfId="2521"/>
    <cellStyle name="60% - 强调文字颜色 3 6 3" xfId="2522"/>
    <cellStyle name="60% - 强调文字颜色 3 6 4" xfId="2523"/>
    <cellStyle name="60% - 强调文字颜色 3 6 5" xfId="2524"/>
    <cellStyle name="60% - 强调文字颜色 3 6 6" xfId="2525"/>
    <cellStyle name="60% - 强调文字颜色 3 6 7" xfId="2526"/>
    <cellStyle name="60% - 强调文字颜色 3 6 8" xfId="2527"/>
    <cellStyle name="60% - 强调文字颜色 3 6 9" xfId="2528"/>
    <cellStyle name="60% - 强调文字颜色 3 7" xfId="2529"/>
    <cellStyle name="60% - 强调文字颜色 3 7 10" xfId="2530"/>
    <cellStyle name="60% - 强调文字颜色 3 7 11" xfId="2531"/>
    <cellStyle name="60% - 强调文字颜色 3 7 12" xfId="2532"/>
    <cellStyle name="60% - 强调文字颜色 3 7 13" xfId="2533"/>
    <cellStyle name="60% - 强调文字颜色 3 7 14" xfId="2534"/>
    <cellStyle name="60% - 强调文字颜色 3 7 15" xfId="2535"/>
    <cellStyle name="60% - 强调文字颜色 3 7 16" xfId="2536"/>
    <cellStyle name="60% - 强调文字颜色 3 7 17" xfId="2537"/>
    <cellStyle name="60% - 强调文字颜色 3 7 18" xfId="2538"/>
    <cellStyle name="60% - 强调文字颜色 3 7 19" xfId="2539"/>
    <cellStyle name="60% - 强调文字颜色 3 7 2" xfId="2540"/>
    <cellStyle name="60% - 强调文字颜色 3 7 2 2" xfId="2541"/>
    <cellStyle name="60% - 强调文字颜色 3 7 2 3" xfId="2542"/>
    <cellStyle name="60% - 强调文字颜色 3 7 2 4" xfId="2543"/>
    <cellStyle name="60% - 强调文字颜色 3 7 2 4 2" xfId="2544"/>
    <cellStyle name="60% - 强调文字颜色 3 7 2 5" xfId="2545"/>
    <cellStyle name="60% - 强调文字颜色 3 7 20" xfId="2546"/>
    <cellStyle name="60% - 强调文字颜色 3 7 21" xfId="2547"/>
    <cellStyle name="60% - 强调文字颜色 3 7 22" xfId="2548"/>
    <cellStyle name="60% - 强调文字颜色 3 7 23" xfId="2549"/>
    <cellStyle name="60% - 强调文字颜色 3 7 3" xfId="2550"/>
    <cellStyle name="60% - 强调文字颜色 3 7 4" xfId="2551"/>
    <cellStyle name="60% - 强调文字颜色 3 7 5" xfId="2552"/>
    <cellStyle name="60% - 强调文字颜色 3 7 6" xfId="2553"/>
    <cellStyle name="60% - 强调文字颜色 3 7 7" xfId="2554"/>
    <cellStyle name="60% - 强调文字颜色 3 7 8" xfId="2555"/>
    <cellStyle name="60% - 强调文字颜色 3 7 9" xfId="2556"/>
    <cellStyle name="60% - 强调文字颜色 4 2" xfId="2557"/>
    <cellStyle name="60% - 强调文字颜色 4 2 10" xfId="2558"/>
    <cellStyle name="60% - 强调文字颜色 4 2 11" xfId="2559"/>
    <cellStyle name="60% - 强调文字颜色 4 2 12" xfId="2560"/>
    <cellStyle name="60% - 强调文字颜色 4 2 13" xfId="2561"/>
    <cellStyle name="60% - 强调文字颜色 4 2 14" xfId="2562"/>
    <cellStyle name="60% - 强调文字颜色 4 2 15" xfId="2563"/>
    <cellStyle name="60% - 强调文字颜色 4 2 16" xfId="2564"/>
    <cellStyle name="60% - 强调文字颜色 4 2 17" xfId="2565"/>
    <cellStyle name="60% - 强调文字颜色 4 2 18" xfId="2566"/>
    <cellStyle name="60% - 强调文字颜色 4 2 19" xfId="2567"/>
    <cellStyle name="60% - 强调文字颜色 4 2 2" xfId="2568"/>
    <cellStyle name="60% - 强调文字颜色 4 2 2 2" xfId="2569"/>
    <cellStyle name="60% - 强调文字颜色 4 2 2 3" xfId="2570"/>
    <cellStyle name="60% - 强调文字颜色 4 2 2 4" xfId="2571"/>
    <cellStyle name="60% - 强调文字颜色 4 2 2 4 2" xfId="2572"/>
    <cellStyle name="60% - 强调文字颜色 4 2 2 5" xfId="2573"/>
    <cellStyle name="60% - 强调文字颜色 4 2 20" xfId="2574"/>
    <cellStyle name="60% - 强调文字颜色 4 2 21" xfId="2575"/>
    <cellStyle name="60% - 强调文字颜色 4 2 22" xfId="2576"/>
    <cellStyle name="60% - 强调文字颜色 4 2 23" xfId="2577"/>
    <cellStyle name="60% - 强调文字颜色 4 2 3" xfId="2578"/>
    <cellStyle name="60% - 强调文字颜色 4 2 4" xfId="2579"/>
    <cellStyle name="60% - 强调文字颜色 4 2 5" xfId="2580"/>
    <cellStyle name="60% - 强调文字颜色 4 2 6" xfId="2581"/>
    <cellStyle name="60% - 强调文字颜色 4 2 7" xfId="2582"/>
    <cellStyle name="60% - 强调文字颜色 4 2 7 2" xfId="2583"/>
    <cellStyle name="60% - 强调文字颜色 4 2 7 3" xfId="2584"/>
    <cellStyle name="60% - 强调文字颜色 4 2 8" xfId="2585"/>
    <cellStyle name="60% - 强调文字颜色 4 2 9" xfId="2586"/>
    <cellStyle name="60% - 强调文字颜色 4 3" xfId="2587"/>
    <cellStyle name="60% - 强调文字颜色 4 3 10" xfId="2588"/>
    <cellStyle name="60% - 强调文字颜色 4 3 11" xfId="2589"/>
    <cellStyle name="60% - 强调文字颜色 4 3 12" xfId="2590"/>
    <cellStyle name="60% - 强调文字颜色 4 3 13" xfId="2591"/>
    <cellStyle name="60% - 强调文字颜色 4 3 14" xfId="2592"/>
    <cellStyle name="60% - 强调文字颜色 4 3 15" xfId="2593"/>
    <cellStyle name="60% - 强调文字颜色 4 3 16" xfId="2594"/>
    <cellStyle name="60% - 强调文字颜色 4 3 17" xfId="2595"/>
    <cellStyle name="60% - 强调文字颜色 4 3 18" xfId="2596"/>
    <cellStyle name="60% - 强调文字颜色 4 3 19" xfId="2597"/>
    <cellStyle name="60% - 强调文字颜色 4 3 2" xfId="2598"/>
    <cellStyle name="60% - 强调文字颜色 4 3 2 2" xfId="2599"/>
    <cellStyle name="60% - 强调文字颜色 4 3 2 3" xfId="2600"/>
    <cellStyle name="60% - 强调文字颜色 4 3 2 4" xfId="2601"/>
    <cellStyle name="60% - 强调文字颜色 4 3 2 4 2" xfId="2602"/>
    <cellStyle name="60% - 强调文字颜色 4 3 2 5" xfId="2603"/>
    <cellStyle name="60% - 强调文字颜色 4 3 20" xfId="2604"/>
    <cellStyle name="60% - 强调文字颜色 4 3 21" xfId="2605"/>
    <cellStyle name="60% - 强调文字颜色 4 3 22" xfId="2606"/>
    <cellStyle name="60% - 强调文字颜色 4 3 23" xfId="2607"/>
    <cellStyle name="60% - 强调文字颜色 4 3 3" xfId="2608"/>
    <cellStyle name="60% - 强调文字颜色 4 3 4" xfId="2609"/>
    <cellStyle name="60% - 强调文字颜色 4 3 5" xfId="2610"/>
    <cellStyle name="60% - 强调文字颜色 4 3 6" xfId="2611"/>
    <cellStyle name="60% - 强调文字颜色 4 3 7" xfId="2612"/>
    <cellStyle name="60% - 强调文字颜色 4 3 8" xfId="2613"/>
    <cellStyle name="60% - 强调文字颜色 4 3 9" xfId="2614"/>
    <cellStyle name="60% - 强调文字颜色 4 4" xfId="2615"/>
    <cellStyle name="60% - 强调文字颜色 4 4 10" xfId="2616"/>
    <cellStyle name="60% - 强调文字颜色 4 4 11" xfId="2617"/>
    <cellStyle name="60% - 强调文字颜色 4 4 12" xfId="2618"/>
    <cellStyle name="60% - 强调文字颜色 4 4 13" xfId="2619"/>
    <cellStyle name="60% - 强调文字颜色 4 4 14" xfId="2620"/>
    <cellStyle name="60% - 强调文字颜色 4 4 15" xfId="2621"/>
    <cellStyle name="60% - 强调文字颜色 4 4 16" xfId="2622"/>
    <cellStyle name="60% - 强调文字颜色 4 4 17" xfId="2623"/>
    <cellStyle name="60% - 强调文字颜色 4 4 18" xfId="2624"/>
    <cellStyle name="60% - 强调文字颜色 4 4 19" xfId="2625"/>
    <cellStyle name="60% - 强调文字颜色 4 4 2" xfId="2626"/>
    <cellStyle name="60% - 强调文字颜色 4 4 2 2" xfId="2627"/>
    <cellStyle name="60% - 强调文字颜色 4 4 2 3" xfId="2628"/>
    <cellStyle name="60% - 强调文字颜色 4 4 2 4" xfId="2629"/>
    <cellStyle name="60% - 强调文字颜色 4 4 2 4 2" xfId="2630"/>
    <cellStyle name="60% - 强调文字颜色 4 4 2 5" xfId="2631"/>
    <cellStyle name="60% - 强调文字颜色 4 4 20" xfId="2632"/>
    <cellStyle name="60% - 强调文字颜色 4 4 21" xfId="2633"/>
    <cellStyle name="60% - 强调文字颜色 4 4 22" xfId="2634"/>
    <cellStyle name="60% - 强调文字颜色 4 4 23" xfId="2635"/>
    <cellStyle name="60% - 强调文字颜色 4 4 3" xfId="2636"/>
    <cellStyle name="60% - 强调文字颜色 4 4 4" xfId="2637"/>
    <cellStyle name="60% - 强调文字颜色 4 4 5" xfId="2638"/>
    <cellStyle name="60% - 强调文字颜色 4 4 6" xfId="2639"/>
    <cellStyle name="60% - 强调文字颜色 4 4 7" xfId="2640"/>
    <cellStyle name="60% - 强调文字颜色 4 4 8" xfId="2641"/>
    <cellStyle name="60% - 强调文字颜色 4 4 9" xfId="2642"/>
    <cellStyle name="60% - 强调文字颜色 4 5" xfId="2643"/>
    <cellStyle name="60% - 强调文字颜色 4 5 10" xfId="2644"/>
    <cellStyle name="60% - 强调文字颜色 4 5 11" xfId="2645"/>
    <cellStyle name="60% - 强调文字颜色 4 5 12" xfId="2646"/>
    <cellStyle name="60% - 强调文字颜色 4 5 13" xfId="2647"/>
    <cellStyle name="60% - 强调文字颜色 4 5 14" xfId="2648"/>
    <cellStyle name="60% - 强调文字颜色 4 5 15" xfId="2649"/>
    <cellStyle name="60% - 强调文字颜色 4 5 16" xfId="2650"/>
    <cellStyle name="60% - 强调文字颜色 4 5 17" xfId="2651"/>
    <cellStyle name="60% - 强调文字颜色 4 5 18" xfId="2652"/>
    <cellStyle name="60% - 强调文字颜色 4 5 19" xfId="2653"/>
    <cellStyle name="60% - 强调文字颜色 4 5 2" xfId="2654"/>
    <cellStyle name="60% - 强调文字颜色 4 5 2 2" xfId="2655"/>
    <cellStyle name="60% - 强调文字颜色 4 5 2 3" xfId="2656"/>
    <cellStyle name="60% - 强调文字颜色 4 5 2 4" xfId="2657"/>
    <cellStyle name="60% - 强调文字颜色 4 5 2 4 2" xfId="2658"/>
    <cellStyle name="60% - 强调文字颜色 4 5 2 5" xfId="2659"/>
    <cellStyle name="60% - 强调文字颜色 4 5 20" xfId="2660"/>
    <cellStyle name="60% - 强调文字颜色 4 5 21" xfId="2661"/>
    <cellStyle name="60% - 强调文字颜色 4 5 22" xfId="2662"/>
    <cellStyle name="60% - 强调文字颜色 4 5 23" xfId="2663"/>
    <cellStyle name="60% - 强调文字颜色 4 5 3" xfId="2664"/>
    <cellStyle name="60% - 强调文字颜色 4 5 4" xfId="2665"/>
    <cellStyle name="60% - 强调文字颜色 4 5 5" xfId="2666"/>
    <cellStyle name="60% - 强调文字颜色 4 5 6" xfId="2667"/>
    <cellStyle name="60% - 强调文字颜色 4 5 7" xfId="2668"/>
    <cellStyle name="60% - 强调文字颜色 4 5 8" xfId="2669"/>
    <cellStyle name="60% - 强调文字颜色 4 5 9" xfId="2670"/>
    <cellStyle name="60% - 强调文字颜色 4 6" xfId="2671"/>
    <cellStyle name="60% - 强调文字颜色 4 6 10" xfId="2672"/>
    <cellStyle name="60% - 强调文字颜色 4 6 11" xfId="2673"/>
    <cellStyle name="60% - 强调文字颜色 4 6 12" xfId="2674"/>
    <cellStyle name="60% - 强调文字颜色 4 6 13" xfId="2675"/>
    <cellStyle name="60% - 强调文字颜色 4 6 14" xfId="2676"/>
    <cellStyle name="60% - 强调文字颜色 4 6 15" xfId="2677"/>
    <cellStyle name="60% - 强调文字颜色 4 6 16" xfId="2678"/>
    <cellStyle name="60% - 强调文字颜色 4 6 17" xfId="2679"/>
    <cellStyle name="60% - 强调文字颜色 4 6 18" xfId="2680"/>
    <cellStyle name="60% - 强调文字颜色 4 6 19" xfId="2681"/>
    <cellStyle name="60% - 强调文字颜色 4 6 2" xfId="2682"/>
    <cellStyle name="60% - 强调文字颜色 4 6 2 2" xfId="2683"/>
    <cellStyle name="60% - 强调文字颜色 4 6 2 3" xfId="2684"/>
    <cellStyle name="60% - 强调文字颜色 4 6 2 4" xfId="2685"/>
    <cellStyle name="60% - 强调文字颜色 4 6 2 4 2" xfId="2686"/>
    <cellStyle name="60% - 强调文字颜色 4 6 2 5" xfId="2687"/>
    <cellStyle name="60% - 强调文字颜色 4 6 20" xfId="2688"/>
    <cellStyle name="60% - 强调文字颜色 4 6 21" xfId="2689"/>
    <cellStyle name="60% - 强调文字颜色 4 6 22" xfId="2690"/>
    <cellStyle name="60% - 强调文字颜色 4 6 23" xfId="2691"/>
    <cellStyle name="60% - 强调文字颜色 4 6 3" xfId="2692"/>
    <cellStyle name="60% - 强调文字颜色 4 6 4" xfId="2693"/>
    <cellStyle name="60% - 强调文字颜色 4 6 5" xfId="2694"/>
    <cellStyle name="60% - 强调文字颜色 4 6 6" xfId="2695"/>
    <cellStyle name="60% - 强调文字颜色 4 6 7" xfId="2696"/>
    <cellStyle name="60% - 强调文字颜色 4 6 8" xfId="2697"/>
    <cellStyle name="60% - 强调文字颜色 4 6 9" xfId="2698"/>
    <cellStyle name="60% - 强调文字颜色 4 7" xfId="2699"/>
    <cellStyle name="60% - 强调文字颜色 4 7 10" xfId="2700"/>
    <cellStyle name="60% - 强调文字颜色 4 7 11" xfId="2701"/>
    <cellStyle name="60% - 强调文字颜色 4 7 12" xfId="2702"/>
    <cellStyle name="60% - 强调文字颜色 4 7 13" xfId="2703"/>
    <cellStyle name="60% - 强调文字颜色 4 7 14" xfId="2704"/>
    <cellStyle name="60% - 强调文字颜色 4 7 15" xfId="2705"/>
    <cellStyle name="60% - 强调文字颜色 4 7 16" xfId="2706"/>
    <cellStyle name="60% - 强调文字颜色 4 7 17" xfId="2707"/>
    <cellStyle name="60% - 强调文字颜色 4 7 18" xfId="2708"/>
    <cellStyle name="60% - 强调文字颜色 4 7 19" xfId="2709"/>
    <cellStyle name="60% - 强调文字颜色 4 7 2" xfId="2710"/>
    <cellStyle name="60% - 强调文字颜色 4 7 2 2" xfId="2711"/>
    <cellStyle name="60% - 强调文字颜色 4 7 2 3" xfId="2712"/>
    <cellStyle name="60% - 强调文字颜色 4 7 2 4" xfId="2713"/>
    <cellStyle name="60% - 强调文字颜色 4 7 2 4 2" xfId="2714"/>
    <cellStyle name="60% - 强调文字颜色 4 7 2 5" xfId="2715"/>
    <cellStyle name="60% - 强调文字颜色 4 7 20" xfId="2716"/>
    <cellStyle name="60% - 强调文字颜色 4 7 21" xfId="2717"/>
    <cellStyle name="60% - 强调文字颜色 4 7 22" xfId="2718"/>
    <cellStyle name="60% - 强调文字颜色 4 7 23" xfId="2719"/>
    <cellStyle name="60% - 强调文字颜色 4 7 3" xfId="2720"/>
    <cellStyle name="60% - 强调文字颜色 4 7 4" xfId="2721"/>
    <cellStyle name="60% - 强调文字颜色 4 7 5" xfId="2722"/>
    <cellStyle name="60% - 强调文字颜色 4 7 6" xfId="2723"/>
    <cellStyle name="60% - 强调文字颜色 4 7 7" xfId="2724"/>
    <cellStyle name="60% - 强调文字颜色 4 7 8" xfId="2725"/>
    <cellStyle name="60% - 强调文字颜色 4 7 9" xfId="2726"/>
    <cellStyle name="60% - 强调文字颜色 5 2" xfId="2727"/>
    <cellStyle name="60% - 强调文字颜色 5 2 10" xfId="2728"/>
    <cellStyle name="60% - 强调文字颜色 5 2 11" xfId="2729"/>
    <cellStyle name="60% - 强调文字颜色 5 2 12" xfId="2730"/>
    <cellStyle name="60% - 强调文字颜色 5 2 13" xfId="2731"/>
    <cellStyle name="60% - 强调文字颜色 5 2 14" xfId="2732"/>
    <cellStyle name="60% - 强调文字颜色 5 2 15" xfId="2733"/>
    <cellStyle name="60% - 强调文字颜色 5 2 16" xfId="2734"/>
    <cellStyle name="60% - 强调文字颜色 5 2 17" xfId="2735"/>
    <cellStyle name="60% - 强调文字颜色 5 2 18" xfId="2736"/>
    <cellStyle name="60% - 强调文字颜色 5 2 19" xfId="2737"/>
    <cellStyle name="60% - 强调文字颜色 5 2 2" xfId="2738"/>
    <cellStyle name="60% - 强调文字颜色 5 2 2 2" xfId="2739"/>
    <cellStyle name="60% - 强调文字颜色 5 2 2 3" xfId="2740"/>
    <cellStyle name="60% - 强调文字颜色 5 2 2 4" xfId="2741"/>
    <cellStyle name="60% - 强调文字颜色 5 2 2 4 2" xfId="2742"/>
    <cellStyle name="60% - 强调文字颜色 5 2 2 5" xfId="2743"/>
    <cellStyle name="60% - 强调文字颜色 5 2 20" xfId="2744"/>
    <cellStyle name="60% - 强调文字颜色 5 2 21" xfId="2745"/>
    <cellStyle name="60% - 强调文字颜色 5 2 22" xfId="2746"/>
    <cellStyle name="60% - 强调文字颜色 5 2 23" xfId="2747"/>
    <cellStyle name="60% - 强调文字颜色 5 2 3" xfId="2748"/>
    <cellStyle name="60% - 强调文字颜色 5 2 4" xfId="2749"/>
    <cellStyle name="60% - 强调文字颜色 5 2 5" xfId="2750"/>
    <cellStyle name="60% - 强调文字颜色 5 2 6" xfId="2751"/>
    <cellStyle name="60% - 强调文字颜色 5 2 7" xfId="2752"/>
    <cellStyle name="60% - 强调文字颜色 5 2 8" xfId="2753"/>
    <cellStyle name="60% - 强调文字颜色 5 2 9" xfId="2754"/>
    <cellStyle name="60% - 强调文字颜色 5 3" xfId="2755"/>
    <cellStyle name="60% - 强调文字颜色 5 3 10" xfId="2756"/>
    <cellStyle name="60% - 强调文字颜色 5 3 11" xfId="2757"/>
    <cellStyle name="60% - 强调文字颜色 5 3 12" xfId="2758"/>
    <cellStyle name="60% - 强调文字颜色 5 3 13" xfId="2759"/>
    <cellStyle name="60% - 强调文字颜色 5 3 14" xfId="2760"/>
    <cellStyle name="60% - 强调文字颜色 5 3 15" xfId="2761"/>
    <cellStyle name="60% - 强调文字颜色 5 3 16" xfId="2762"/>
    <cellStyle name="60% - 强调文字颜色 5 3 17" xfId="2763"/>
    <cellStyle name="60% - 强调文字颜色 5 3 18" xfId="2764"/>
    <cellStyle name="60% - 强调文字颜色 5 3 19" xfId="2765"/>
    <cellStyle name="60% - 强调文字颜色 5 3 2" xfId="2766"/>
    <cellStyle name="60% - 强调文字颜色 5 3 2 2" xfId="2767"/>
    <cellStyle name="60% - 强调文字颜色 5 3 2 3" xfId="2768"/>
    <cellStyle name="60% - 强调文字颜色 5 3 2 4" xfId="2769"/>
    <cellStyle name="60% - 强调文字颜色 5 3 2 4 2" xfId="2770"/>
    <cellStyle name="60% - 强调文字颜色 5 3 2 5" xfId="2771"/>
    <cellStyle name="60% - 强调文字颜色 5 3 20" xfId="2772"/>
    <cellStyle name="60% - 强调文字颜色 5 3 21" xfId="2773"/>
    <cellStyle name="60% - 强调文字颜色 5 3 22" xfId="2774"/>
    <cellStyle name="60% - 强调文字颜色 5 3 23" xfId="2775"/>
    <cellStyle name="60% - 强调文字颜色 5 3 3" xfId="2776"/>
    <cellStyle name="60% - 强调文字颜色 5 3 4" xfId="2777"/>
    <cellStyle name="60% - 强调文字颜色 5 3 5" xfId="2778"/>
    <cellStyle name="60% - 强调文字颜色 5 3 6" xfId="2779"/>
    <cellStyle name="60% - 强调文字颜色 5 3 7" xfId="2780"/>
    <cellStyle name="60% - 强调文字颜色 5 3 8" xfId="2781"/>
    <cellStyle name="60% - 强调文字颜色 5 3 9" xfId="2782"/>
    <cellStyle name="60% - 强调文字颜色 5 4" xfId="2783"/>
    <cellStyle name="60% - 强调文字颜色 5 4 10" xfId="2784"/>
    <cellStyle name="60% - 强调文字颜色 5 4 11" xfId="2785"/>
    <cellStyle name="60% - 强调文字颜色 5 4 12" xfId="2786"/>
    <cellStyle name="60% - 强调文字颜色 5 4 13" xfId="2787"/>
    <cellStyle name="60% - 强调文字颜色 5 4 14" xfId="2788"/>
    <cellStyle name="60% - 强调文字颜色 5 4 15" xfId="2789"/>
    <cellStyle name="60% - 强调文字颜色 5 4 16" xfId="2790"/>
    <cellStyle name="60% - 强调文字颜色 5 4 17" xfId="2791"/>
    <cellStyle name="60% - 强调文字颜色 5 4 18" xfId="2792"/>
    <cellStyle name="60% - 强调文字颜色 5 4 19" xfId="2793"/>
    <cellStyle name="60% - 强调文字颜色 5 4 2" xfId="2794"/>
    <cellStyle name="60% - 强调文字颜色 5 4 2 2" xfId="2795"/>
    <cellStyle name="60% - 强调文字颜色 5 4 2 3" xfId="2796"/>
    <cellStyle name="60% - 强调文字颜色 5 4 2 4" xfId="2797"/>
    <cellStyle name="60% - 强调文字颜色 5 4 2 4 2" xfId="2798"/>
    <cellStyle name="60% - 强调文字颜色 5 4 2 5" xfId="2799"/>
    <cellStyle name="60% - 强调文字颜色 5 4 20" xfId="2800"/>
    <cellStyle name="60% - 强调文字颜色 5 4 21" xfId="2801"/>
    <cellStyle name="60% - 强调文字颜色 5 4 22" xfId="2802"/>
    <cellStyle name="60% - 强调文字颜色 5 4 23" xfId="2803"/>
    <cellStyle name="60% - 强调文字颜色 5 4 3" xfId="2804"/>
    <cellStyle name="60% - 强调文字颜色 5 4 4" xfId="2805"/>
    <cellStyle name="60% - 强调文字颜色 5 4 5" xfId="2806"/>
    <cellStyle name="60% - 强调文字颜色 5 4 6" xfId="2807"/>
    <cellStyle name="60% - 强调文字颜色 5 4 7" xfId="2808"/>
    <cellStyle name="60% - 强调文字颜色 5 4 8" xfId="2809"/>
    <cellStyle name="60% - 强调文字颜色 5 4 9" xfId="2810"/>
    <cellStyle name="60% - 强调文字颜色 5 5" xfId="2811"/>
    <cellStyle name="60% - 强调文字颜色 5 5 10" xfId="2812"/>
    <cellStyle name="60% - 强调文字颜色 5 5 11" xfId="2813"/>
    <cellStyle name="60% - 强调文字颜色 5 5 12" xfId="2814"/>
    <cellStyle name="60% - 强调文字颜色 5 5 13" xfId="2815"/>
    <cellStyle name="60% - 强调文字颜色 5 5 14" xfId="2816"/>
    <cellStyle name="60% - 强调文字颜色 5 5 15" xfId="2817"/>
    <cellStyle name="60% - 强调文字颜色 5 5 16" xfId="2818"/>
    <cellStyle name="60% - 强调文字颜色 5 5 17" xfId="2819"/>
    <cellStyle name="60% - 强调文字颜色 5 5 18" xfId="2820"/>
    <cellStyle name="60% - 强调文字颜色 5 5 19" xfId="2821"/>
    <cellStyle name="60% - 强调文字颜色 5 5 2" xfId="2822"/>
    <cellStyle name="60% - 强调文字颜色 5 5 2 2" xfId="2823"/>
    <cellStyle name="60% - 强调文字颜色 5 5 2 3" xfId="2824"/>
    <cellStyle name="60% - 强调文字颜色 5 5 2 4" xfId="2825"/>
    <cellStyle name="60% - 强调文字颜色 5 5 2 4 2" xfId="2826"/>
    <cellStyle name="60% - 强调文字颜色 5 5 2 5" xfId="2827"/>
    <cellStyle name="60% - 强调文字颜色 5 5 20" xfId="2828"/>
    <cellStyle name="60% - 强调文字颜色 5 5 21" xfId="2829"/>
    <cellStyle name="60% - 强调文字颜色 5 5 22" xfId="2830"/>
    <cellStyle name="60% - 强调文字颜色 5 5 23" xfId="2831"/>
    <cellStyle name="60% - 强调文字颜色 5 5 3" xfId="2832"/>
    <cellStyle name="60% - 强调文字颜色 5 5 4" xfId="2833"/>
    <cellStyle name="60% - 强调文字颜色 5 5 5" xfId="2834"/>
    <cellStyle name="60% - 强调文字颜色 5 5 6" xfId="2835"/>
    <cellStyle name="60% - 强调文字颜色 5 5 7" xfId="2836"/>
    <cellStyle name="60% - 强调文字颜色 5 5 8" xfId="2837"/>
    <cellStyle name="60% - 强调文字颜色 5 5 9" xfId="2838"/>
    <cellStyle name="60% - 强调文字颜色 5 6" xfId="2839"/>
    <cellStyle name="60% - 强调文字颜色 5 6 10" xfId="2840"/>
    <cellStyle name="60% - 强调文字颜色 5 6 11" xfId="2841"/>
    <cellStyle name="60% - 强调文字颜色 5 6 12" xfId="2842"/>
    <cellStyle name="60% - 强调文字颜色 5 6 13" xfId="2843"/>
    <cellStyle name="60% - 强调文字颜色 5 6 14" xfId="2844"/>
    <cellStyle name="60% - 强调文字颜色 5 6 15" xfId="2845"/>
    <cellStyle name="60% - 强调文字颜色 5 6 16" xfId="2846"/>
    <cellStyle name="60% - 强调文字颜色 5 6 17" xfId="2847"/>
    <cellStyle name="60% - 强调文字颜色 5 6 18" xfId="2848"/>
    <cellStyle name="60% - 强调文字颜色 5 6 19" xfId="2849"/>
    <cellStyle name="60% - 强调文字颜色 5 6 2" xfId="2850"/>
    <cellStyle name="60% - 强调文字颜色 5 6 2 2" xfId="2851"/>
    <cellStyle name="60% - 强调文字颜色 5 6 2 3" xfId="2852"/>
    <cellStyle name="60% - 强调文字颜色 5 6 2 4" xfId="2853"/>
    <cellStyle name="60% - 强调文字颜色 5 6 2 4 2" xfId="2854"/>
    <cellStyle name="60% - 强调文字颜色 5 6 2 5" xfId="2855"/>
    <cellStyle name="60% - 强调文字颜色 5 6 20" xfId="2856"/>
    <cellStyle name="60% - 强调文字颜色 5 6 21" xfId="2857"/>
    <cellStyle name="60% - 强调文字颜色 5 6 22" xfId="2858"/>
    <cellStyle name="60% - 强调文字颜色 5 6 23" xfId="2859"/>
    <cellStyle name="60% - 强调文字颜色 5 6 3" xfId="2860"/>
    <cellStyle name="60% - 强调文字颜色 5 6 4" xfId="2861"/>
    <cellStyle name="60% - 强调文字颜色 5 6 5" xfId="2862"/>
    <cellStyle name="60% - 强调文字颜色 5 6 6" xfId="2863"/>
    <cellStyle name="60% - 强调文字颜色 5 6 7" xfId="2864"/>
    <cellStyle name="60% - 强调文字颜色 5 6 8" xfId="2865"/>
    <cellStyle name="60% - 强调文字颜色 5 6 9" xfId="2866"/>
    <cellStyle name="60% - 强调文字颜色 5 7" xfId="2867"/>
    <cellStyle name="60% - 强调文字颜色 5 7 10" xfId="2868"/>
    <cellStyle name="60% - 强调文字颜色 5 7 11" xfId="2869"/>
    <cellStyle name="60% - 强调文字颜色 5 7 12" xfId="2870"/>
    <cellStyle name="60% - 强调文字颜色 5 7 13" xfId="2871"/>
    <cellStyle name="60% - 强调文字颜色 5 7 14" xfId="2872"/>
    <cellStyle name="60% - 强调文字颜色 5 7 15" xfId="2873"/>
    <cellStyle name="60% - 强调文字颜色 5 7 16" xfId="2874"/>
    <cellStyle name="60% - 强调文字颜色 5 7 17" xfId="2875"/>
    <cellStyle name="60% - 强调文字颜色 5 7 18" xfId="2876"/>
    <cellStyle name="60% - 强调文字颜色 5 7 19" xfId="2877"/>
    <cellStyle name="60% - 强调文字颜色 5 7 2" xfId="2878"/>
    <cellStyle name="60% - 强调文字颜色 5 7 2 2" xfId="2879"/>
    <cellStyle name="60% - 强调文字颜色 5 7 2 3" xfId="2880"/>
    <cellStyle name="60% - 强调文字颜色 5 7 2 4" xfId="2881"/>
    <cellStyle name="60% - 强调文字颜色 5 7 2 4 2" xfId="2882"/>
    <cellStyle name="60% - 强调文字颜色 5 7 2 5" xfId="2883"/>
    <cellStyle name="60% - 强调文字颜色 5 7 20" xfId="2884"/>
    <cellStyle name="60% - 强调文字颜色 5 7 21" xfId="2885"/>
    <cellStyle name="60% - 强调文字颜色 5 7 22" xfId="2886"/>
    <cellStyle name="60% - 强调文字颜色 5 7 23" xfId="2887"/>
    <cellStyle name="60% - 强调文字颜色 5 7 3" xfId="2888"/>
    <cellStyle name="60% - 强调文字颜色 5 7 4" xfId="2889"/>
    <cellStyle name="60% - 强调文字颜色 5 7 5" xfId="2890"/>
    <cellStyle name="60% - 强调文字颜色 5 7 6" xfId="2891"/>
    <cellStyle name="60% - 强调文字颜色 5 7 7" xfId="2892"/>
    <cellStyle name="60% - 强调文字颜色 5 7 8" xfId="2893"/>
    <cellStyle name="60% - 强调文字颜色 5 7 9" xfId="2894"/>
    <cellStyle name="60% - 强调文字颜色 6 2" xfId="2895"/>
    <cellStyle name="60% - 强调文字颜色 6 2 10" xfId="2896"/>
    <cellStyle name="60% - 强调文字颜色 6 2 11" xfId="2897"/>
    <cellStyle name="60% - 强调文字颜色 6 2 12" xfId="2898"/>
    <cellStyle name="60% - 强调文字颜色 6 2 13" xfId="2899"/>
    <cellStyle name="60% - 强调文字颜色 6 2 14" xfId="2900"/>
    <cellStyle name="60% - 强调文字颜色 6 2 15" xfId="2901"/>
    <cellStyle name="60% - 强调文字颜色 6 2 16" xfId="2902"/>
    <cellStyle name="60% - 强调文字颜色 6 2 17" xfId="2903"/>
    <cellStyle name="60% - 强调文字颜色 6 2 18" xfId="2904"/>
    <cellStyle name="60% - 强调文字颜色 6 2 19" xfId="2905"/>
    <cellStyle name="60% - 强调文字颜色 6 2 2" xfId="2906"/>
    <cellStyle name="60% - 强调文字颜色 6 2 2 2" xfId="2907"/>
    <cellStyle name="60% - 强调文字颜色 6 2 2 3" xfId="2908"/>
    <cellStyle name="60% - 强调文字颜色 6 2 2 4" xfId="2909"/>
    <cellStyle name="60% - 强调文字颜色 6 2 2 4 2" xfId="2910"/>
    <cellStyle name="60% - 强调文字颜色 6 2 2 5" xfId="2911"/>
    <cellStyle name="60% - 强调文字颜色 6 2 20" xfId="2912"/>
    <cellStyle name="60% - 强调文字颜色 6 2 21" xfId="2913"/>
    <cellStyle name="60% - 强调文字颜色 6 2 22" xfId="2914"/>
    <cellStyle name="60% - 强调文字颜色 6 2 23" xfId="2915"/>
    <cellStyle name="60% - 强调文字颜色 6 2 3" xfId="2916"/>
    <cellStyle name="60% - 强调文字颜色 6 2 4" xfId="2917"/>
    <cellStyle name="60% - 强调文字颜色 6 2 5" xfId="2918"/>
    <cellStyle name="60% - 强调文字颜色 6 2 6" xfId="2919"/>
    <cellStyle name="60% - 强调文字颜色 6 2 7" xfId="2920"/>
    <cellStyle name="60% - 强调文字颜色 6 2 8" xfId="2921"/>
    <cellStyle name="60% - 强调文字颜色 6 2 9" xfId="2922"/>
    <cellStyle name="60% - 强调文字颜色 6 3" xfId="2923"/>
    <cellStyle name="60% - 强调文字颜色 6 3 10" xfId="2924"/>
    <cellStyle name="60% - 强调文字颜色 6 3 11" xfId="2925"/>
    <cellStyle name="60% - 强调文字颜色 6 3 12" xfId="2926"/>
    <cellStyle name="60% - 强调文字颜色 6 3 13" xfId="2927"/>
    <cellStyle name="60% - 强调文字颜色 6 3 14" xfId="2928"/>
    <cellStyle name="60% - 强调文字颜色 6 3 15" xfId="2929"/>
    <cellStyle name="60% - 强调文字颜色 6 3 16" xfId="2930"/>
    <cellStyle name="60% - 强调文字颜色 6 3 17" xfId="2931"/>
    <cellStyle name="60% - 强调文字颜色 6 3 18" xfId="2932"/>
    <cellStyle name="60% - 强调文字颜色 6 3 19" xfId="2933"/>
    <cellStyle name="60% - 强调文字颜色 6 3 2" xfId="2934"/>
    <cellStyle name="60% - 强调文字颜色 6 3 2 2" xfId="2935"/>
    <cellStyle name="60% - 强调文字颜色 6 3 2 3" xfId="2936"/>
    <cellStyle name="60% - 强调文字颜色 6 3 2 4" xfId="2937"/>
    <cellStyle name="60% - 强调文字颜色 6 3 2 4 2" xfId="2938"/>
    <cellStyle name="60% - 强调文字颜色 6 3 2 5" xfId="2939"/>
    <cellStyle name="60% - 强调文字颜色 6 3 20" xfId="2940"/>
    <cellStyle name="60% - 强调文字颜色 6 3 21" xfId="2941"/>
    <cellStyle name="60% - 强调文字颜色 6 3 22" xfId="2942"/>
    <cellStyle name="60% - 强调文字颜色 6 3 23" xfId="2943"/>
    <cellStyle name="60% - 强调文字颜色 6 3 3" xfId="2944"/>
    <cellStyle name="60% - 强调文字颜色 6 3 4" xfId="2945"/>
    <cellStyle name="60% - 强调文字颜色 6 3 5" xfId="2946"/>
    <cellStyle name="60% - 强调文字颜色 6 3 6" xfId="2947"/>
    <cellStyle name="60% - 强调文字颜色 6 3 7" xfId="2948"/>
    <cellStyle name="60% - 强调文字颜色 6 3 8" xfId="2949"/>
    <cellStyle name="60% - 强调文字颜色 6 3 9" xfId="2950"/>
    <cellStyle name="60% - 强调文字颜色 6 4" xfId="2951"/>
    <cellStyle name="60% - 强调文字颜色 6 4 10" xfId="2952"/>
    <cellStyle name="60% - 强调文字颜色 6 4 11" xfId="2953"/>
    <cellStyle name="60% - 强调文字颜色 6 4 12" xfId="2954"/>
    <cellStyle name="60% - 强调文字颜色 6 4 13" xfId="2955"/>
    <cellStyle name="60% - 强调文字颜色 6 4 14" xfId="2956"/>
    <cellStyle name="60% - 强调文字颜色 6 4 15" xfId="2957"/>
    <cellStyle name="60% - 强调文字颜色 6 4 16" xfId="2958"/>
    <cellStyle name="60% - 强调文字颜色 6 4 17" xfId="2959"/>
    <cellStyle name="60% - 强调文字颜色 6 4 18" xfId="2960"/>
    <cellStyle name="60% - 强调文字颜色 6 4 19" xfId="2961"/>
    <cellStyle name="60% - 强调文字颜色 6 4 2" xfId="2962"/>
    <cellStyle name="60% - 强调文字颜色 6 4 2 2" xfId="2963"/>
    <cellStyle name="60% - 强调文字颜色 6 4 2 3" xfId="2964"/>
    <cellStyle name="60% - 强调文字颜色 6 4 2 4" xfId="2965"/>
    <cellStyle name="60% - 强调文字颜色 6 4 2 4 2" xfId="2966"/>
    <cellStyle name="60% - 强调文字颜色 6 4 2 5" xfId="2967"/>
    <cellStyle name="60% - 强调文字颜色 6 4 20" xfId="2968"/>
    <cellStyle name="60% - 强调文字颜色 6 4 21" xfId="2969"/>
    <cellStyle name="60% - 强调文字颜色 6 4 22" xfId="2970"/>
    <cellStyle name="60% - 强调文字颜色 6 4 23" xfId="2971"/>
    <cellStyle name="60% - 强调文字颜色 6 4 3" xfId="2972"/>
    <cellStyle name="60% - 强调文字颜色 6 4 4" xfId="2973"/>
    <cellStyle name="60% - 强调文字颜色 6 4 5" xfId="2974"/>
    <cellStyle name="60% - 强调文字颜色 6 4 6" xfId="2975"/>
    <cellStyle name="60% - 强调文字颜色 6 4 7" xfId="2976"/>
    <cellStyle name="60% - 强调文字颜色 6 4 8" xfId="2977"/>
    <cellStyle name="60% - 强调文字颜色 6 4 9" xfId="2978"/>
    <cellStyle name="60% - 强调文字颜色 6 5" xfId="2979"/>
    <cellStyle name="60% - 强调文字颜色 6 5 10" xfId="2980"/>
    <cellStyle name="60% - 强调文字颜色 6 5 11" xfId="2981"/>
    <cellStyle name="60% - 强调文字颜色 6 5 12" xfId="2982"/>
    <cellStyle name="60% - 强调文字颜色 6 5 13" xfId="2983"/>
    <cellStyle name="60% - 强调文字颜色 6 5 14" xfId="2984"/>
    <cellStyle name="60% - 强调文字颜色 6 5 15" xfId="2985"/>
    <cellStyle name="60% - 强调文字颜色 6 5 16" xfId="2986"/>
    <cellStyle name="60% - 强调文字颜色 6 5 17" xfId="2987"/>
    <cellStyle name="60% - 强调文字颜色 6 5 18" xfId="2988"/>
    <cellStyle name="60% - 强调文字颜色 6 5 19" xfId="2989"/>
    <cellStyle name="60% - 强调文字颜色 6 5 2" xfId="2990"/>
    <cellStyle name="60% - 强调文字颜色 6 5 2 2" xfId="2991"/>
    <cellStyle name="60% - 强调文字颜色 6 5 2 3" xfId="2992"/>
    <cellStyle name="60% - 强调文字颜色 6 5 2 4" xfId="2993"/>
    <cellStyle name="60% - 强调文字颜色 6 5 2 4 2" xfId="2994"/>
    <cellStyle name="60% - 强调文字颜色 6 5 2 5" xfId="2995"/>
    <cellStyle name="60% - 强调文字颜色 6 5 20" xfId="2996"/>
    <cellStyle name="60% - 强调文字颜色 6 5 21" xfId="2997"/>
    <cellStyle name="60% - 强调文字颜色 6 5 22" xfId="2998"/>
    <cellStyle name="60% - 强调文字颜色 6 5 23" xfId="2999"/>
    <cellStyle name="60% - 强调文字颜色 6 5 3" xfId="3000"/>
    <cellStyle name="60% - 强调文字颜色 6 5 4" xfId="3001"/>
    <cellStyle name="60% - 强调文字颜色 6 5 5" xfId="3002"/>
    <cellStyle name="60% - 强调文字颜色 6 5 6" xfId="3003"/>
    <cellStyle name="60% - 强调文字颜色 6 5 7" xfId="3004"/>
    <cellStyle name="60% - 强调文字颜色 6 5 8" xfId="3005"/>
    <cellStyle name="60% - 强调文字颜色 6 5 9" xfId="3006"/>
    <cellStyle name="60% - 强调文字颜色 6 6" xfId="3007"/>
    <cellStyle name="60% - 强调文字颜色 6 6 10" xfId="3008"/>
    <cellStyle name="60% - 强调文字颜色 6 6 11" xfId="3009"/>
    <cellStyle name="60% - 强调文字颜色 6 6 12" xfId="3010"/>
    <cellStyle name="60% - 强调文字颜色 6 6 13" xfId="3011"/>
    <cellStyle name="60% - 强调文字颜色 6 6 14" xfId="3012"/>
    <cellStyle name="60% - 强调文字颜色 6 6 15" xfId="3013"/>
    <cellStyle name="60% - 强调文字颜色 6 6 16" xfId="3014"/>
    <cellStyle name="60% - 强调文字颜色 6 6 17" xfId="3015"/>
    <cellStyle name="60% - 强调文字颜色 6 6 18" xfId="3016"/>
    <cellStyle name="60% - 强调文字颜色 6 6 19" xfId="3017"/>
    <cellStyle name="60% - 强调文字颜色 6 6 2" xfId="3018"/>
    <cellStyle name="60% - 强调文字颜色 6 6 2 2" xfId="3019"/>
    <cellStyle name="60% - 强调文字颜色 6 6 2 3" xfId="3020"/>
    <cellStyle name="60% - 强调文字颜色 6 6 2 4" xfId="3021"/>
    <cellStyle name="60% - 强调文字颜色 6 6 2 4 2" xfId="3022"/>
    <cellStyle name="60% - 强调文字颜色 6 6 2 5" xfId="3023"/>
    <cellStyle name="60% - 强调文字颜色 6 6 20" xfId="3024"/>
    <cellStyle name="60% - 强调文字颜色 6 6 21" xfId="3025"/>
    <cellStyle name="60% - 强调文字颜色 6 6 22" xfId="3026"/>
    <cellStyle name="60% - 强调文字颜色 6 6 23" xfId="3027"/>
    <cellStyle name="60% - 强调文字颜色 6 6 3" xfId="3028"/>
    <cellStyle name="60% - 强调文字颜色 6 6 4" xfId="3029"/>
    <cellStyle name="60% - 强调文字颜色 6 6 5" xfId="3030"/>
    <cellStyle name="60% - 强调文字颜色 6 6 6" xfId="3031"/>
    <cellStyle name="60% - 强调文字颜色 6 6 7" xfId="3032"/>
    <cellStyle name="60% - 强调文字颜色 6 6 8" xfId="3033"/>
    <cellStyle name="60% - 强调文字颜色 6 6 9" xfId="3034"/>
    <cellStyle name="60% - 强调文字颜色 6 7" xfId="3035"/>
    <cellStyle name="60% - 强调文字颜色 6 7 10" xfId="3036"/>
    <cellStyle name="60% - 强调文字颜色 6 7 11" xfId="3037"/>
    <cellStyle name="60% - 强调文字颜色 6 7 12" xfId="3038"/>
    <cellStyle name="60% - 强调文字颜色 6 7 13" xfId="3039"/>
    <cellStyle name="60% - 强调文字颜色 6 7 14" xfId="3040"/>
    <cellStyle name="60% - 强调文字颜色 6 7 15" xfId="3041"/>
    <cellStyle name="60% - 强调文字颜色 6 7 16" xfId="3042"/>
    <cellStyle name="60% - 强调文字颜色 6 7 17" xfId="3043"/>
    <cellStyle name="60% - 强调文字颜色 6 7 18" xfId="3044"/>
    <cellStyle name="60% - 强调文字颜色 6 7 19" xfId="3045"/>
    <cellStyle name="60% - 强调文字颜色 6 7 2" xfId="3046"/>
    <cellStyle name="60% - 强调文字颜色 6 7 2 2" xfId="3047"/>
    <cellStyle name="60% - 强调文字颜色 6 7 2 3" xfId="3048"/>
    <cellStyle name="60% - 强调文字颜色 6 7 2 4" xfId="3049"/>
    <cellStyle name="60% - 强调文字颜色 6 7 2 4 2" xfId="3050"/>
    <cellStyle name="60% - 强调文字颜色 6 7 2 5" xfId="3051"/>
    <cellStyle name="60% - 强调文字颜色 6 7 20" xfId="3052"/>
    <cellStyle name="60% - 强调文字颜色 6 7 21" xfId="3053"/>
    <cellStyle name="60% - 强调文字颜色 6 7 22" xfId="3054"/>
    <cellStyle name="60% - 强调文字颜色 6 7 23" xfId="3055"/>
    <cellStyle name="60% - 强调文字颜色 6 7 3" xfId="3056"/>
    <cellStyle name="60% - 强调文字颜色 6 7 4" xfId="3057"/>
    <cellStyle name="60% - 强调文字颜色 6 7 5" xfId="3058"/>
    <cellStyle name="60% - 强调文字颜色 6 7 6" xfId="3059"/>
    <cellStyle name="60% - 强调文字颜色 6 7 7" xfId="3060"/>
    <cellStyle name="60% - 强调文字颜色 6 7 8" xfId="3061"/>
    <cellStyle name="60% - 强调文字颜色 6 7 9" xfId="3062"/>
    <cellStyle name="Normal" xfId="21"/>
    <cellStyle name="百分比 2" xfId="14"/>
    <cellStyle name="百分比 3" xfId="19"/>
    <cellStyle name="标题 1 2" xfId="3063"/>
    <cellStyle name="标题 1 2 10" xfId="3064"/>
    <cellStyle name="标题 1 2 11" xfId="3065"/>
    <cellStyle name="标题 1 2 12" xfId="3066"/>
    <cellStyle name="标题 1 2 13" xfId="3067"/>
    <cellStyle name="标题 1 2 14" xfId="3068"/>
    <cellStyle name="标题 1 2 15" xfId="3069"/>
    <cellStyle name="标题 1 2 16" xfId="3070"/>
    <cellStyle name="标题 1 2 17" xfId="3071"/>
    <cellStyle name="标题 1 2 18" xfId="3072"/>
    <cellStyle name="标题 1 2 19" xfId="3073"/>
    <cellStyle name="标题 1 2 2" xfId="3074"/>
    <cellStyle name="标题 1 2 2 2" xfId="3075"/>
    <cellStyle name="标题 1 2 2 3" xfId="3076"/>
    <cellStyle name="标题 1 2 2 4" xfId="3077"/>
    <cellStyle name="标题 1 2 2 4 2" xfId="3078"/>
    <cellStyle name="标题 1 2 2 5" xfId="3079"/>
    <cellStyle name="标题 1 2 20" xfId="3080"/>
    <cellStyle name="标题 1 2 21" xfId="3081"/>
    <cellStyle name="标题 1 2 22" xfId="3082"/>
    <cellStyle name="标题 1 2 23" xfId="3083"/>
    <cellStyle name="标题 1 2 3" xfId="3084"/>
    <cellStyle name="标题 1 2 4" xfId="3085"/>
    <cellStyle name="标题 1 2 5" xfId="3086"/>
    <cellStyle name="标题 1 2 6" xfId="3087"/>
    <cellStyle name="标题 1 2 7" xfId="3088"/>
    <cellStyle name="标题 1 2 8" xfId="3089"/>
    <cellStyle name="标题 1 2 9" xfId="3090"/>
    <cellStyle name="标题 1 3" xfId="3091"/>
    <cellStyle name="标题 1 3 10" xfId="3092"/>
    <cellStyle name="标题 1 3 11" xfId="3093"/>
    <cellStyle name="标题 1 3 12" xfId="3094"/>
    <cellStyle name="标题 1 3 13" xfId="3095"/>
    <cellStyle name="标题 1 3 14" xfId="3096"/>
    <cellStyle name="标题 1 3 15" xfId="3097"/>
    <cellStyle name="标题 1 3 16" xfId="3098"/>
    <cellStyle name="标题 1 3 17" xfId="3099"/>
    <cellStyle name="标题 1 3 18" xfId="3100"/>
    <cellStyle name="标题 1 3 19" xfId="3101"/>
    <cellStyle name="标题 1 3 2" xfId="3102"/>
    <cellStyle name="标题 1 3 2 2" xfId="3103"/>
    <cellStyle name="标题 1 3 2 3" xfId="3104"/>
    <cellStyle name="标题 1 3 2 4" xfId="3105"/>
    <cellStyle name="标题 1 3 2 4 2" xfId="3106"/>
    <cellStyle name="标题 1 3 2 5" xfId="3107"/>
    <cellStyle name="标题 1 3 20" xfId="3108"/>
    <cellStyle name="标题 1 3 21" xfId="3109"/>
    <cellStyle name="标题 1 3 22" xfId="3110"/>
    <cellStyle name="标题 1 3 23" xfId="3111"/>
    <cellStyle name="标题 1 3 3" xfId="3112"/>
    <cellStyle name="标题 1 3 4" xfId="3113"/>
    <cellStyle name="标题 1 3 5" xfId="3114"/>
    <cellStyle name="标题 1 3 6" xfId="3115"/>
    <cellStyle name="标题 1 3 7" xfId="3116"/>
    <cellStyle name="标题 1 3 8" xfId="3117"/>
    <cellStyle name="标题 1 3 9" xfId="3118"/>
    <cellStyle name="标题 1 4" xfId="3119"/>
    <cellStyle name="标题 1 4 10" xfId="3120"/>
    <cellStyle name="标题 1 4 11" xfId="3121"/>
    <cellStyle name="标题 1 4 12" xfId="3122"/>
    <cellStyle name="标题 1 4 13" xfId="3123"/>
    <cellStyle name="标题 1 4 14" xfId="3124"/>
    <cellStyle name="标题 1 4 15" xfId="3125"/>
    <cellStyle name="标题 1 4 16" xfId="3126"/>
    <cellStyle name="标题 1 4 17" xfId="3127"/>
    <cellStyle name="标题 1 4 18" xfId="3128"/>
    <cellStyle name="标题 1 4 19" xfId="3129"/>
    <cellStyle name="标题 1 4 2" xfId="3130"/>
    <cellStyle name="标题 1 4 2 2" xfId="3131"/>
    <cellStyle name="标题 1 4 2 3" xfId="3132"/>
    <cellStyle name="标题 1 4 2 4" xfId="3133"/>
    <cellStyle name="标题 1 4 2 4 2" xfId="3134"/>
    <cellStyle name="标题 1 4 2 5" xfId="3135"/>
    <cellStyle name="标题 1 4 20" xfId="3136"/>
    <cellStyle name="标题 1 4 21" xfId="3137"/>
    <cellStyle name="标题 1 4 22" xfId="3138"/>
    <cellStyle name="标题 1 4 23" xfId="3139"/>
    <cellStyle name="标题 1 4 3" xfId="3140"/>
    <cellStyle name="标题 1 4 4" xfId="3141"/>
    <cellStyle name="标题 1 4 5" xfId="3142"/>
    <cellStyle name="标题 1 4 6" xfId="3143"/>
    <cellStyle name="标题 1 4 7" xfId="3144"/>
    <cellStyle name="标题 1 4 8" xfId="3145"/>
    <cellStyle name="标题 1 4 9" xfId="3146"/>
    <cellStyle name="标题 1 5" xfId="3147"/>
    <cellStyle name="标题 1 5 10" xfId="3148"/>
    <cellStyle name="标题 1 5 11" xfId="3149"/>
    <cellStyle name="标题 1 5 12" xfId="3150"/>
    <cellStyle name="标题 1 5 13" xfId="3151"/>
    <cellStyle name="标题 1 5 14" xfId="3152"/>
    <cellStyle name="标题 1 5 15" xfId="3153"/>
    <cellStyle name="标题 1 5 16" xfId="3154"/>
    <cellStyle name="标题 1 5 17" xfId="3155"/>
    <cellStyle name="标题 1 5 18" xfId="3156"/>
    <cellStyle name="标题 1 5 19" xfId="3157"/>
    <cellStyle name="标题 1 5 2" xfId="3158"/>
    <cellStyle name="标题 1 5 2 2" xfId="3159"/>
    <cellStyle name="标题 1 5 2 3" xfId="3160"/>
    <cellStyle name="标题 1 5 2 4" xfId="3161"/>
    <cellStyle name="标题 1 5 2 4 2" xfId="3162"/>
    <cellStyle name="标题 1 5 2 5" xfId="3163"/>
    <cellStyle name="标题 1 5 20" xfId="3164"/>
    <cellStyle name="标题 1 5 21" xfId="3165"/>
    <cellStyle name="标题 1 5 22" xfId="3166"/>
    <cellStyle name="标题 1 5 23" xfId="3167"/>
    <cellStyle name="标题 1 5 3" xfId="3168"/>
    <cellStyle name="标题 1 5 4" xfId="3169"/>
    <cellStyle name="标题 1 5 5" xfId="3170"/>
    <cellStyle name="标题 1 5 6" xfId="3171"/>
    <cellStyle name="标题 1 5 7" xfId="3172"/>
    <cellStyle name="标题 1 5 8" xfId="3173"/>
    <cellStyle name="标题 1 5 9" xfId="3174"/>
    <cellStyle name="标题 1 6" xfId="3175"/>
    <cellStyle name="标题 1 6 10" xfId="3176"/>
    <cellStyle name="标题 1 6 11" xfId="3177"/>
    <cellStyle name="标题 1 6 12" xfId="3178"/>
    <cellStyle name="标题 1 6 13" xfId="3179"/>
    <cellStyle name="标题 1 6 14" xfId="3180"/>
    <cellStyle name="标题 1 6 15" xfId="3181"/>
    <cellStyle name="标题 1 6 16" xfId="3182"/>
    <cellStyle name="标题 1 6 17" xfId="3183"/>
    <cellStyle name="标题 1 6 18" xfId="3184"/>
    <cellStyle name="标题 1 6 19" xfId="3185"/>
    <cellStyle name="标题 1 6 2" xfId="3186"/>
    <cellStyle name="标题 1 6 2 2" xfId="3187"/>
    <cellStyle name="标题 1 6 2 3" xfId="3188"/>
    <cellStyle name="标题 1 6 2 4" xfId="3189"/>
    <cellStyle name="标题 1 6 2 4 2" xfId="3190"/>
    <cellStyle name="标题 1 6 2 5" xfId="3191"/>
    <cellStyle name="标题 1 6 20" xfId="3192"/>
    <cellStyle name="标题 1 6 21" xfId="3193"/>
    <cellStyle name="标题 1 6 22" xfId="3194"/>
    <cellStyle name="标题 1 6 23" xfId="3195"/>
    <cellStyle name="标题 1 6 3" xfId="3196"/>
    <cellStyle name="标题 1 6 4" xfId="3197"/>
    <cellStyle name="标题 1 6 5" xfId="3198"/>
    <cellStyle name="标题 1 6 6" xfId="3199"/>
    <cellStyle name="标题 1 6 7" xfId="3200"/>
    <cellStyle name="标题 1 6 8" xfId="3201"/>
    <cellStyle name="标题 1 6 9" xfId="3202"/>
    <cellStyle name="标题 1 7" xfId="3203"/>
    <cellStyle name="标题 1 7 10" xfId="3204"/>
    <cellStyle name="标题 1 7 11" xfId="3205"/>
    <cellStyle name="标题 1 7 12" xfId="3206"/>
    <cellStyle name="标题 1 7 13" xfId="3207"/>
    <cellStyle name="标题 1 7 14" xfId="3208"/>
    <cellStyle name="标题 1 7 15" xfId="3209"/>
    <cellStyle name="标题 1 7 16" xfId="3210"/>
    <cellStyle name="标题 1 7 17" xfId="3211"/>
    <cellStyle name="标题 1 7 18" xfId="3212"/>
    <cellStyle name="标题 1 7 19" xfId="3213"/>
    <cellStyle name="标题 1 7 2" xfId="3214"/>
    <cellStyle name="标题 1 7 2 2" xfId="3215"/>
    <cellStyle name="标题 1 7 2 3" xfId="3216"/>
    <cellStyle name="标题 1 7 2 4" xfId="3217"/>
    <cellStyle name="标题 1 7 2 4 2" xfId="3218"/>
    <cellStyle name="标题 1 7 2 5" xfId="3219"/>
    <cellStyle name="标题 1 7 20" xfId="3220"/>
    <cellStyle name="标题 1 7 21" xfId="3221"/>
    <cellStyle name="标题 1 7 22" xfId="3222"/>
    <cellStyle name="标题 1 7 23" xfId="3223"/>
    <cellStyle name="标题 1 7 3" xfId="3224"/>
    <cellStyle name="标题 1 7 4" xfId="3225"/>
    <cellStyle name="标题 1 7 5" xfId="3226"/>
    <cellStyle name="标题 1 7 6" xfId="3227"/>
    <cellStyle name="标题 1 7 7" xfId="3228"/>
    <cellStyle name="标题 1 7 8" xfId="3229"/>
    <cellStyle name="标题 1 7 9" xfId="3230"/>
    <cellStyle name="标题 10" xfId="3231"/>
    <cellStyle name="标题 10 10" xfId="3232"/>
    <cellStyle name="标题 10 11" xfId="3233"/>
    <cellStyle name="标题 10 12" xfId="3234"/>
    <cellStyle name="标题 10 13" xfId="3235"/>
    <cellStyle name="标题 10 14" xfId="3236"/>
    <cellStyle name="标题 10 15" xfId="3237"/>
    <cellStyle name="标题 10 16" xfId="3238"/>
    <cellStyle name="标题 10 17" xfId="3239"/>
    <cellStyle name="标题 10 18" xfId="3240"/>
    <cellStyle name="标题 10 19" xfId="3241"/>
    <cellStyle name="标题 10 2" xfId="3242"/>
    <cellStyle name="标题 10 2 2" xfId="3243"/>
    <cellStyle name="标题 10 2 3" xfId="3244"/>
    <cellStyle name="标题 10 2 4" xfId="3245"/>
    <cellStyle name="标题 10 2 4 2" xfId="3246"/>
    <cellStyle name="标题 10 2 5" xfId="3247"/>
    <cellStyle name="标题 10 20" xfId="3248"/>
    <cellStyle name="标题 10 21" xfId="3249"/>
    <cellStyle name="标题 10 22" xfId="3250"/>
    <cellStyle name="标题 10 23" xfId="3251"/>
    <cellStyle name="标题 10 3" xfId="3252"/>
    <cellStyle name="标题 10 4" xfId="3253"/>
    <cellStyle name="标题 10 5" xfId="3254"/>
    <cellStyle name="标题 10 6" xfId="3255"/>
    <cellStyle name="标题 10 7" xfId="3256"/>
    <cellStyle name="标题 10 8" xfId="3257"/>
    <cellStyle name="标题 10 9" xfId="3258"/>
    <cellStyle name="标题 2 2" xfId="3259"/>
    <cellStyle name="标题 2 2 10" xfId="3260"/>
    <cellStyle name="标题 2 2 11" xfId="3261"/>
    <cellStyle name="标题 2 2 12" xfId="3262"/>
    <cellStyle name="标题 2 2 13" xfId="3263"/>
    <cellStyle name="标题 2 2 14" xfId="3264"/>
    <cellStyle name="标题 2 2 15" xfId="3265"/>
    <cellStyle name="标题 2 2 16" xfId="3266"/>
    <cellStyle name="标题 2 2 17" xfId="3267"/>
    <cellStyle name="标题 2 2 18" xfId="3268"/>
    <cellStyle name="标题 2 2 19" xfId="3269"/>
    <cellStyle name="标题 2 2 2" xfId="3270"/>
    <cellStyle name="标题 2 2 2 2" xfId="3271"/>
    <cellStyle name="标题 2 2 2 3" xfId="3272"/>
    <cellStyle name="标题 2 2 2 4" xfId="3273"/>
    <cellStyle name="标题 2 2 2 4 2" xfId="3274"/>
    <cellStyle name="标题 2 2 2 5" xfId="3275"/>
    <cellStyle name="标题 2 2 20" xfId="3276"/>
    <cellStyle name="标题 2 2 21" xfId="3277"/>
    <cellStyle name="标题 2 2 22" xfId="3278"/>
    <cellStyle name="标题 2 2 23" xfId="3279"/>
    <cellStyle name="标题 2 2 3" xfId="3280"/>
    <cellStyle name="标题 2 2 4" xfId="3281"/>
    <cellStyle name="标题 2 2 5" xfId="3282"/>
    <cellStyle name="标题 2 2 6" xfId="3283"/>
    <cellStyle name="标题 2 2 7" xfId="3284"/>
    <cellStyle name="标题 2 2 8" xfId="3285"/>
    <cellStyle name="标题 2 2 9" xfId="3286"/>
    <cellStyle name="标题 2 3" xfId="3287"/>
    <cellStyle name="标题 2 3 10" xfId="3288"/>
    <cellStyle name="标题 2 3 11" xfId="3289"/>
    <cellStyle name="标题 2 3 12" xfId="3290"/>
    <cellStyle name="标题 2 3 13" xfId="3291"/>
    <cellStyle name="标题 2 3 14" xfId="3292"/>
    <cellStyle name="标题 2 3 15" xfId="3293"/>
    <cellStyle name="标题 2 3 16" xfId="3294"/>
    <cellStyle name="标题 2 3 17" xfId="3295"/>
    <cellStyle name="标题 2 3 18" xfId="3296"/>
    <cellStyle name="标题 2 3 19" xfId="3297"/>
    <cellStyle name="标题 2 3 2" xfId="3298"/>
    <cellStyle name="标题 2 3 2 2" xfId="3299"/>
    <cellStyle name="标题 2 3 2 3" xfId="3300"/>
    <cellStyle name="标题 2 3 2 4" xfId="3301"/>
    <cellStyle name="标题 2 3 2 4 2" xfId="3302"/>
    <cellStyle name="标题 2 3 2 5" xfId="3303"/>
    <cellStyle name="标题 2 3 20" xfId="3304"/>
    <cellStyle name="标题 2 3 21" xfId="3305"/>
    <cellStyle name="标题 2 3 22" xfId="3306"/>
    <cellStyle name="标题 2 3 23" xfId="3307"/>
    <cellStyle name="标题 2 3 3" xfId="3308"/>
    <cellStyle name="标题 2 3 4" xfId="3309"/>
    <cellStyle name="标题 2 3 5" xfId="3310"/>
    <cellStyle name="标题 2 3 6" xfId="3311"/>
    <cellStyle name="标题 2 3 7" xfId="3312"/>
    <cellStyle name="标题 2 3 8" xfId="3313"/>
    <cellStyle name="标题 2 3 9" xfId="3314"/>
    <cellStyle name="标题 2 4" xfId="3315"/>
    <cellStyle name="标题 2 4 10" xfId="3316"/>
    <cellStyle name="标题 2 4 11" xfId="3317"/>
    <cellStyle name="标题 2 4 12" xfId="3318"/>
    <cellStyle name="标题 2 4 13" xfId="3319"/>
    <cellStyle name="标题 2 4 14" xfId="3320"/>
    <cellStyle name="标题 2 4 15" xfId="3321"/>
    <cellStyle name="标题 2 4 16" xfId="3322"/>
    <cellStyle name="标题 2 4 17" xfId="3323"/>
    <cellStyle name="标题 2 4 18" xfId="3324"/>
    <cellStyle name="标题 2 4 19" xfId="3325"/>
    <cellStyle name="标题 2 4 2" xfId="3326"/>
    <cellStyle name="标题 2 4 2 2" xfId="3327"/>
    <cellStyle name="标题 2 4 2 3" xfId="3328"/>
    <cellStyle name="标题 2 4 2 4" xfId="3329"/>
    <cellStyle name="标题 2 4 2 4 2" xfId="3330"/>
    <cellStyle name="标题 2 4 2 5" xfId="3331"/>
    <cellStyle name="标题 2 4 20" xfId="3332"/>
    <cellStyle name="标题 2 4 21" xfId="3333"/>
    <cellStyle name="标题 2 4 22" xfId="3334"/>
    <cellStyle name="标题 2 4 23" xfId="3335"/>
    <cellStyle name="标题 2 4 3" xfId="3336"/>
    <cellStyle name="标题 2 4 4" xfId="3337"/>
    <cellStyle name="标题 2 4 5" xfId="3338"/>
    <cellStyle name="标题 2 4 6" xfId="3339"/>
    <cellStyle name="标题 2 4 7" xfId="3340"/>
    <cellStyle name="标题 2 4 8" xfId="3341"/>
    <cellStyle name="标题 2 4 9" xfId="3342"/>
    <cellStyle name="标题 2 5" xfId="3343"/>
    <cellStyle name="标题 2 5 10" xfId="3344"/>
    <cellStyle name="标题 2 5 11" xfId="3345"/>
    <cellStyle name="标题 2 5 12" xfId="3346"/>
    <cellStyle name="标题 2 5 13" xfId="3347"/>
    <cellStyle name="标题 2 5 14" xfId="3348"/>
    <cellStyle name="标题 2 5 15" xfId="3349"/>
    <cellStyle name="标题 2 5 16" xfId="3350"/>
    <cellStyle name="标题 2 5 17" xfId="3351"/>
    <cellStyle name="标题 2 5 18" xfId="3352"/>
    <cellStyle name="标题 2 5 19" xfId="3353"/>
    <cellStyle name="标题 2 5 2" xfId="3354"/>
    <cellStyle name="标题 2 5 2 2" xfId="3355"/>
    <cellStyle name="标题 2 5 2 3" xfId="3356"/>
    <cellStyle name="标题 2 5 2 4" xfId="3357"/>
    <cellStyle name="标题 2 5 2 4 2" xfId="3358"/>
    <cellStyle name="标题 2 5 2 5" xfId="3359"/>
    <cellStyle name="标题 2 5 20" xfId="3360"/>
    <cellStyle name="标题 2 5 21" xfId="3361"/>
    <cellStyle name="标题 2 5 22" xfId="3362"/>
    <cellStyle name="标题 2 5 23" xfId="3363"/>
    <cellStyle name="标题 2 5 3" xfId="3364"/>
    <cellStyle name="标题 2 5 4" xfId="3365"/>
    <cellStyle name="标题 2 5 5" xfId="3366"/>
    <cellStyle name="标题 2 5 6" xfId="3367"/>
    <cellStyle name="标题 2 5 7" xfId="3368"/>
    <cellStyle name="标题 2 5 8" xfId="3369"/>
    <cellStyle name="标题 2 5 9" xfId="3370"/>
    <cellStyle name="标题 2 6" xfId="3371"/>
    <cellStyle name="标题 2 6 10" xfId="3372"/>
    <cellStyle name="标题 2 6 11" xfId="3373"/>
    <cellStyle name="标题 2 6 12" xfId="3374"/>
    <cellStyle name="标题 2 6 13" xfId="3375"/>
    <cellStyle name="标题 2 6 14" xfId="3376"/>
    <cellStyle name="标题 2 6 15" xfId="3377"/>
    <cellStyle name="标题 2 6 16" xfId="3378"/>
    <cellStyle name="标题 2 6 17" xfId="3379"/>
    <cellStyle name="标题 2 6 18" xfId="3380"/>
    <cellStyle name="标题 2 6 19" xfId="3381"/>
    <cellStyle name="标题 2 6 2" xfId="3382"/>
    <cellStyle name="标题 2 6 2 2" xfId="3383"/>
    <cellStyle name="标题 2 6 2 3" xfId="3384"/>
    <cellStyle name="标题 2 6 2 4" xfId="3385"/>
    <cellStyle name="标题 2 6 2 4 2" xfId="3386"/>
    <cellStyle name="标题 2 6 2 5" xfId="3387"/>
    <cellStyle name="标题 2 6 20" xfId="3388"/>
    <cellStyle name="标题 2 6 21" xfId="3389"/>
    <cellStyle name="标题 2 6 22" xfId="3390"/>
    <cellStyle name="标题 2 6 23" xfId="3391"/>
    <cellStyle name="标题 2 6 3" xfId="3392"/>
    <cellStyle name="标题 2 6 4" xfId="3393"/>
    <cellStyle name="标题 2 6 5" xfId="3394"/>
    <cellStyle name="标题 2 6 6" xfId="3395"/>
    <cellStyle name="标题 2 6 7" xfId="3396"/>
    <cellStyle name="标题 2 6 8" xfId="3397"/>
    <cellStyle name="标题 2 6 9" xfId="3398"/>
    <cellStyle name="标题 2 7" xfId="3399"/>
    <cellStyle name="标题 2 7 10" xfId="3400"/>
    <cellStyle name="标题 2 7 11" xfId="3401"/>
    <cellStyle name="标题 2 7 12" xfId="3402"/>
    <cellStyle name="标题 2 7 13" xfId="3403"/>
    <cellStyle name="标题 2 7 14" xfId="3404"/>
    <cellStyle name="标题 2 7 15" xfId="3405"/>
    <cellStyle name="标题 2 7 16" xfId="3406"/>
    <cellStyle name="标题 2 7 17" xfId="3407"/>
    <cellStyle name="标题 2 7 18" xfId="3408"/>
    <cellStyle name="标题 2 7 19" xfId="3409"/>
    <cellStyle name="标题 2 7 2" xfId="3410"/>
    <cellStyle name="标题 2 7 2 2" xfId="3411"/>
    <cellStyle name="标题 2 7 2 3" xfId="3412"/>
    <cellStyle name="标题 2 7 2 4" xfId="3413"/>
    <cellStyle name="标题 2 7 2 4 2" xfId="3414"/>
    <cellStyle name="标题 2 7 2 5" xfId="3415"/>
    <cellStyle name="标题 2 7 20" xfId="3416"/>
    <cellStyle name="标题 2 7 21" xfId="3417"/>
    <cellStyle name="标题 2 7 22" xfId="3418"/>
    <cellStyle name="标题 2 7 23" xfId="3419"/>
    <cellStyle name="标题 2 7 3" xfId="3420"/>
    <cellStyle name="标题 2 7 4" xfId="3421"/>
    <cellStyle name="标题 2 7 5" xfId="3422"/>
    <cellStyle name="标题 2 7 6" xfId="3423"/>
    <cellStyle name="标题 2 7 7" xfId="3424"/>
    <cellStyle name="标题 2 7 8" xfId="3425"/>
    <cellStyle name="标题 2 7 9" xfId="3426"/>
    <cellStyle name="标题 3 2" xfId="3427"/>
    <cellStyle name="标题 3 2 10" xfId="3428"/>
    <cellStyle name="标题 3 2 11" xfId="3429"/>
    <cellStyle name="标题 3 2 12" xfId="3430"/>
    <cellStyle name="标题 3 2 13" xfId="3431"/>
    <cellStyle name="标题 3 2 14" xfId="3432"/>
    <cellStyle name="标题 3 2 15" xfId="3433"/>
    <cellStyle name="标题 3 2 16" xfId="3434"/>
    <cellStyle name="标题 3 2 17" xfId="3435"/>
    <cellStyle name="标题 3 2 18" xfId="3436"/>
    <cellStyle name="标题 3 2 19" xfId="3437"/>
    <cellStyle name="标题 3 2 2" xfId="3438"/>
    <cellStyle name="标题 3 2 2 2" xfId="3439"/>
    <cellStyle name="标题 3 2 2 3" xfId="3440"/>
    <cellStyle name="标题 3 2 2 4" xfId="3441"/>
    <cellStyle name="标题 3 2 2 4 2" xfId="3442"/>
    <cellStyle name="标题 3 2 2 5" xfId="3443"/>
    <cellStyle name="标题 3 2 20" xfId="3444"/>
    <cellStyle name="标题 3 2 21" xfId="3445"/>
    <cellStyle name="标题 3 2 22" xfId="3446"/>
    <cellStyle name="标题 3 2 23" xfId="3447"/>
    <cellStyle name="标题 3 2 3" xfId="3448"/>
    <cellStyle name="标题 3 2 4" xfId="3449"/>
    <cellStyle name="标题 3 2 5" xfId="3450"/>
    <cellStyle name="标题 3 2 6" xfId="3451"/>
    <cellStyle name="标题 3 2 7" xfId="3452"/>
    <cellStyle name="标题 3 2 8" xfId="3453"/>
    <cellStyle name="标题 3 2 9" xfId="3454"/>
    <cellStyle name="标题 3 3" xfId="3455"/>
    <cellStyle name="标题 3 3 10" xfId="3456"/>
    <cellStyle name="标题 3 3 11" xfId="3457"/>
    <cellStyle name="标题 3 3 12" xfId="3458"/>
    <cellStyle name="标题 3 3 13" xfId="3459"/>
    <cellStyle name="标题 3 3 14" xfId="3460"/>
    <cellStyle name="标题 3 3 15" xfId="3461"/>
    <cellStyle name="标题 3 3 16" xfId="3462"/>
    <cellStyle name="标题 3 3 17" xfId="3463"/>
    <cellStyle name="标题 3 3 18" xfId="3464"/>
    <cellStyle name="标题 3 3 19" xfId="3465"/>
    <cellStyle name="标题 3 3 2" xfId="3466"/>
    <cellStyle name="标题 3 3 2 2" xfId="3467"/>
    <cellStyle name="标题 3 3 2 3" xfId="3468"/>
    <cellStyle name="标题 3 3 2 4" xfId="3469"/>
    <cellStyle name="标题 3 3 2 4 2" xfId="3470"/>
    <cellStyle name="标题 3 3 2 5" xfId="3471"/>
    <cellStyle name="标题 3 3 20" xfId="3472"/>
    <cellStyle name="标题 3 3 21" xfId="3473"/>
    <cellStyle name="标题 3 3 22" xfId="3474"/>
    <cellStyle name="标题 3 3 23" xfId="3475"/>
    <cellStyle name="标题 3 3 3" xfId="3476"/>
    <cellStyle name="标题 3 3 4" xfId="3477"/>
    <cellStyle name="标题 3 3 5" xfId="3478"/>
    <cellStyle name="标题 3 3 6" xfId="3479"/>
    <cellStyle name="标题 3 3 7" xfId="3480"/>
    <cellStyle name="标题 3 3 8" xfId="3481"/>
    <cellStyle name="标题 3 3 9" xfId="3482"/>
    <cellStyle name="标题 3 4" xfId="3483"/>
    <cellStyle name="标题 3 4 10" xfId="3484"/>
    <cellStyle name="标题 3 4 11" xfId="3485"/>
    <cellStyle name="标题 3 4 12" xfId="3486"/>
    <cellStyle name="标题 3 4 13" xfId="3487"/>
    <cellStyle name="标题 3 4 14" xfId="3488"/>
    <cellStyle name="标题 3 4 15" xfId="3489"/>
    <cellStyle name="标题 3 4 16" xfId="3490"/>
    <cellStyle name="标题 3 4 17" xfId="3491"/>
    <cellStyle name="标题 3 4 18" xfId="3492"/>
    <cellStyle name="标题 3 4 19" xfId="3493"/>
    <cellStyle name="标题 3 4 2" xfId="3494"/>
    <cellStyle name="标题 3 4 2 2" xfId="3495"/>
    <cellStyle name="标题 3 4 2 3" xfId="3496"/>
    <cellStyle name="标题 3 4 2 4" xfId="3497"/>
    <cellStyle name="标题 3 4 2 4 2" xfId="3498"/>
    <cellStyle name="标题 3 4 2 5" xfId="3499"/>
    <cellStyle name="标题 3 4 20" xfId="3500"/>
    <cellStyle name="标题 3 4 21" xfId="3501"/>
    <cellStyle name="标题 3 4 22" xfId="3502"/>
    <cellStyle name="标题 3 4 23" xfId="3503"/>
    <cellStyle name="标题 3 4 3" xfId="3504"/>
    <cellStyle name="标题 3 4 4" xfId="3505"/>
    <cellStyle name="标题 3 4 5" xfId="3506"/>
    <cellStyle name="标题 3 4 6" xfId="3507"/>
    <cellStyle name="标题 3 4 7" xfId="3508"/>
    <cellStyle name="标题 3 4 8" xfId="3509"/>
    <cellStyle name="标题 3 4 9" xfId="3510"/>
    <cellStyle name="标题 3 5" xfId="3511"/>
    <cellStyle name="标题 3 5 10" xfId="3512"/>
    <cellStyle name="标题 3 5 11" xfId="3513"/>
    <cellStyle name="标题 3 5 12" xfId="3514"/>
    <cellStyle name="标题 3 5 13" xfId="3515"/>
    <cellStyle name="标题 3 5 14" xfId="3516"/>
    <cellStyle name="标题 3 5 15" xfId="3517"/>
    <cellStyle name="标题 3 5 16" xfId="3518"/>
    <cellStyle name="标题 3 5 17" xfId="3519"/>
    <cellStyle name="标题 3 5 18" xfId="3520"/>
    <cellStyle name="标题 3 5 19" xfId="3521"/>
    <cellStyle name="标题 3 5 2" xfId="3522"/>
    <cellStyle name="标题 3 5 2 2" xfId="3523"/>
    <cellStyle name="标题 3 5 2 3" xfId="3524"/>
    <cellStyle name="标题 3 5 2 4" xfId="3525"/>
    <cellStyle name="标题 3 5 2 4 2" xfId="3526"/>
    <cellStyle name="标题 3 5 2 5" xfId="3527"/>
    <cellStyle name="标题 3 5 20" xfId="3528"/>
    <cellStyle name="标题 3 5 21" xfId="3529"/>
    <cellStyle name="标题 3 5 22" xfId="3530"/>
    <cellStyle name="标题 3 5 23" xfId="3531"/>
    <cellStyle name="标题 3 5 3" xfId="3532"/>
    <cellStyle name="标题 3 5 4" xfId="3533"/>
    <cellStyle name="标题 3 5 5" xfId="3534"/>
    <cellStyle name="标题 3 5 6" xfId="3535"/>
    <cellStyle name="标题 3 5 7" xfId="3536"/>
    <cellStyle name="标题 3 5 8" xfId="3537"/>
    <cellStyle name="标题 3 5 9" xfId="3538"/>
    <cellStyle name="标题 3 6" xfId="3539"/>
    <cellStyle name="标题 3 6 10" xfId="3540"/>
    <cellStyle name="标题 3 6 11" xfId="3541"/>
    <cellStyle name="标题 3 6 12" xfId="3542"/>
    <cellStyle name="标题 3 6 13" xfId="3543"/>
    <cellStyle name="标题 3 6 14" xfId="3544"/>
    <cellStyle name="标题 3 6 15" xfId="3545"/>
    <cellStyle name="标题 3 6 16" xfId="3546"/>
    <cellStyle name="标题 3 6 17" xfId="3547"/>
    <cellStyle name="标题 3 6 18" xfId="3548"/>
    <cellStyle name="标题 3 6 19" xfId="3549"/>
    <cellStyle name="标题 3 6 2" xfId="3550"/>
    <cellStyle name="标题 3 6 2 2" xfId="3551"/>
    <cellStyle name="标题 3 6 2 3" xfId="3552"/>
    <cellStyle name="标题 3 6 2 4" xfId="3553"/>
    <cellStyle name="标题 3 6 2 4 2" xfId="3554"/>
    <cellStyle name="标题 3 6 2 5" xfId="3555"/>
    <cellStyle name="标题 3 6 20" xfId="3556"/>
    <cellStyle name="标题 3 6 21" xfId="3557"/>
    <cellStyle name="标题 3 6 22" xfId="3558"/>
    <cellStyle name="标题 3 6 23" xfId="3559"/>
    <cellStyle name="标题 3 6 3" xfId="3560"/>
    <cellStyle name="标题 3 6 4" xfId="3561"/>
    <cellStyle name="标题 3 6 5" xfId="3562"/>
    <cellStyle name="标题 3 6 6" xfId="3563"/>
    <cellStyle name="标题 3 6 7" xfId="3564"/>
    <cellStyle name="标题 3 6 8" xfId="3565"/>
    <cellStyle name="标题 3 6 9" xfId="3566"/>
    <cellStyle name="标题 3 7" xfId="3567"/>
    <cellStyle name="标题 3 7 10" xfId="3568"/>
    <cellStyle name="标题 3 7 11" xfId="3569"/>
    <cellStyle name="标题 3 7 12" xfId="3570"/>
    <cellStyle name="标题 3 7 13" xfId="3571"/>
    <cellStyle name="标题 3 7 14" xfId="3572"/>
    <cellStyle name="标题 3 7 15" xfId="3573"/>
    <cellStyle name="标题 3 7 16" xfId="3574"/>
    <cellStyle name="标题 3 7 17" xfId="3575"/>
    <cellStyle name="标题 3 7 18" xfId="3576"/>
    <cellStyle name="标题 3 7 19" xfId="3577"/>
    <cellStyle name="标题 3 7 2" xfId="3578"/>
    <cellStyle name="标题 3 7 2 2" xfId="3579"/>
    <cellStyle name="标题 3 7 2 3" xfId="3580"/>
    <cellStyle name="标题 3 7 2 4" xfId="3581"/>
    <cellStyle name="标题 3 7 2 4 2" xfId="3582"/>
    <cellStyle name="标题 3 7 2 5" xfId="3583"/>
    <cellStyle name="标题 3 7 20" xfId="3584"/>
    <cellStyle name="标题 3 7 21" xfId="3585"/>
    <cellStyle name="标题 3 7 22" xfId="3586"/>
    <cellStyle name="标题 3 7 23" xfId="3587"/>
    <cellStyle name="标题 3 7 3" xfId="3588"/>
    <cellStyle name="标题 3 7 4" xfId="3589"/>
    <cellStyle name="标题 3 7 5" xfId="3590"/>
    <cellStyle name="标题 3 7 6" xfId="3591"/>
    <cellStyle name="标题 3 7 7" xfId="3592"/>
    <cellStyle name="标题 3 7 8" xfId="3593"/>
    <cellStyle name="标题 3 7 9" xfId="3594"/>
    <cellStyle name="标题 4 2" xfId="3595"/>
    <cellStyle name="标题 4 2 10" xfId="3596"/>
    <cellStyle name="标题 4 2 11" xfId="3597"/>
    <cellStyle name="标题 4 2 12" xfId="3598"/>
    <cellStyle name="标题 4 2 13" xfId="3599"/>
    <cellStyle name="标题 4 2 14" xfId="3600"/>
    <cellStyle name="标题 4 2 15" xfId="3601"/>
    <cellStyle name="标题 4 2 16" xfId="3602"/>
    <cellStyle name="标题 4 2 17" xfId="3603"/>
    <cellStyle name="标题 4 2 18" xfId="3604"/>
    <cellStyle name="标题 4 2 19" xfId="3605"/>
    <cellStyle name="标题 4 2 2" xfId="3606"/>
    <cellStyle name="标题 4 2 2 2" xfId="3607"/>
    <cellStyle name="标题 4 2 2 3" xfId="3608"/>
    <cellStyle name="标题 4 2 2 4" xfId="3609"/>
    <cellStyle name="标题 4 2 2 4 2" xfId="3610"/>
    <cellStyle name="标题 4 2 2 5" xfId="3611"/>
    <cellStyle name="标题 4 2 20" xfId="3612"/>
    <cellStyle name="标题 4 2 21" xfId="3613"/>
    <cellStyle name="标题 4 2 22" xfId="3614"/>
    <cellStyle name="标题 4 2 23" xfId="3615"/>
    <cellStyle name="标题 4 2 3" xfId="3616"/>
    <cellStyle name="标题 4 2 4" xfId="3617"/>
    <cellStyle name="标题 4 2 5" xfId="3618"/>
    <cellStyle name="标题 4 2 6" xfId="3619"/>
    <cellStyle name="标题 4 2 7" xfId="3620"/>
    <cellStyle name="标题 4 2 8" xfId="3621"/>
    <cellStyle name="标题 4 2 9" xfId="3622"/>
    <cellStyle name="标题 4 3" xfId="3623"/>
    <cellStyle name="标题 4 3 10" xfId="3624"/>
    <cellStyle name="标题 4 3 11" xfId="3625"/>
    <cellStyle name="标题 4 3 12" xfId="3626"/>
    <cellStyle name="标题 4 3 13" xfId="3627"/>
    <cellStyle name="标题 4 3 14" xfId="3628"/>
    <cellStyle name="标题 4 3 15" xfId="3629"/>
    <cellStyle name="标题 4 3 16" xfId="3630"/>
    <cellStyle name="标题 4 3 17" xfId="3631"/>
    <cellStyle name="标题 4 3 18" xfId="3632"/>
    <cellStyle name="标题 4 3 19" xfId="3633"/>
    <cellStyle name="标题 4 3 2" xfId="3634"/>
    <cellStyle name="标题 4 3 2 2" xfId="3635"/>
    <cellStyle name="标题 4 3 2 3" xfId="3636"/>
    <cellStyle name="标题 4 3 2 4" xfId="3637"/>
    <cellStyle name="标题 4 3 2 4 2" xfId="3638"/>
    <cellStyle name="标题 4 3 2 5" xfId="3639"/>
    <cellStyle name="标题 4 3 20" xfId="3640"/>
    <cellStyle name="标题 4 3 21" xfId="3641"/>
    <cellStyle name="标题 4 3 22" xfId="3642"/>
    <cellStyle name="标题 4 3 23" xfId="3643"/>
    <cellStyle name="标题 4 3 3" xfId="3644"/>
    <cellStyle name="标题 4 3 4" xfId="3645"/>
    <cellStyle name="标题 4 3 5" xfId="3646"/>
    <cellStyle name="标题 4 3 6" xfId="3647"/>
    <cellStyle name="标题 4 3 7" xfId="3648"/>
    <cellStyle name="标题 4 3 8" xfId="3649"/>
    <cellStyle name="标题 4 3 9" xfId="3650"/>
    <cellStyle name="标题 4 4" xfId="3651"/>
    <cellStyle name="标题 4 4 10" xfId="3652"/>
    <cellStyle name="标题 4 4 11" xfId="3653"/>
    <cellStyle name="标题 4 4 12" xfId="3654"/>
    <cellStyle name="标题 4 4 13" xfId="3655"/>
    <cellStyle name="标题 4 4 14" xfId="3656"/>
    <cellStyle name="标题 4 4 15" xfId="3657"/>
    <cellStyle name="标题 4 4 16" xfId="3658"/>
    <cellStyle name="标题 4 4 17" xfId="3659"/>
    <cellStyle name="标题 4 4 18" xfId="3660"/>
    <cellStyle name="标题 4 4 19" xfId="3661"/>
    <cellStyle name="标题 4 4 2" xfId="3662"/>
    <cellStyle name="标题 4 4 2 2" xfId="3663"/>
    <cellStyle name="标题 4 4 2 3" xfId="3664"/>
    <cellStyle name="标题 4 4 2 4" xfId="3665"/>
    <cellStyle name="标题 4 4 2 4 2" xfId="3666"/>
    <cellStyle name="标题 4 4 2 5" xfId="3667"/>
    <cellStyle name="标题 4 4 20" xfId="3668"/>
    <cellStyle name="标题 4 4 21" xfId="3669"/>
    <cellStyle name="标题 4 4 22" xfId="3670"/>
    <cellStyle name="标题 4 4 23" xfId="3671"/>
    <cellStyle name="标题 4 4 3" xfId="3672"/>
    <cellStyle name="标题 4 4 4" xfId="3673"/>
    <cellStyle name="标题 4 4 5" xfId="3674"/>
    <cellStyle name="标题 4 4 6" xfId="3675"/>
    <cellStyle name="标题 4 4 7" xfId="3676"/>
    <cellStyle name="标题 4 4 8" xfId="3677"/>
    <cellStyle name="标题 4 4 9" xfId="3678"/>
    <cellStyle name="标题 4 5" xfId="3679"/>
    <cellStyle name="标题 4 5 10" xfId="3680"/>
    <cellStyle name="标题 4 5 11" xfId="3681"/>
    <cellStyle name="标题 4 5 12" xfId="3682"/>
    <cellStyle name="标题 4 5 13" xfId="3683"/>
    <cellStyle name="标题 4 5 14" xfId="3684"/>
    <cellStyle name="标题 4 5 15" xfId="3685"/>
    <cellStyle name="标题 4 5 16" xfId="3686"/>
    <cellStyle name="标题 4 5 17" xfId="3687"/>
    <cellStyle name="标题 4 5 18" xfId="3688"/>
    <cellStyle name="标题 4 5 19" xfId="3689"/>
    <cellStyle name="标题 4 5 2" xfId="3690"/>
    <cellStyle name="标题 4 5 2 2" xfId="3691"/>
    <cellStyle name="标题 4 5 2 3" xfId="3692"/>
    <cellStyle name="标题 4 5 2 4" xfId="3693"/>
    <cellStyle name="标题 4 5 2 4 2" xfId="3694"/>
    <cellStyle name="标题 4 5 2 5" xfId="3695"/>
    <cellStyle name="标题 4 5 20" xfId="3696"/>
    <cellStyle name="标题 4 5 21" xfId="3697"/>
    <cellStyle name="标题 4 5 22" xfId="3698"/>
    <cellStyle name="标题 4 5 23" xfId="3699"/>
    <cellStyle name="标题 4 5 3" xfId="3700"/>
    <cellStyle name="标题 4 5 4" xfId="3701"/>
    <cellStyle name="标题 4 5 5" xfId="3702"/>
    <cellStyle name="标题 4 5 6" xfId="3703"/>
    <cellStyle name="标题 4 5 7" xfId="3704"/>
    <cellStyle name="标题 4 5 8" xfId="3705"/>
    <cellStyle name="标题 4 5 9" xfId="3706"/>
    <cellStyle name="标题 4 6" xfId="3707"/>
    <cellStyle name="标题 4 6 10" xfId="3708"/>
    <cellStyle name="标题 4 6 11" xfId="3709"/>
    <cellStyle name="标题 4 6 12" xfId="3710"/>
    <cellStyle name="标题 4 6 13" xfId="3711"/>
    <cellStyle name="标题 4 6 14" xfId="3712"/>
    <cellStyle name="标题 4 6 15" xfId="3713"/>
    <cellStyle name="标题 4 6 16" xfId="3714"/>
    <cellStyle name="标题 4 6 17" xfId="3715"/>
    <cellStyle name="标题 4 6 18" xfId="3716"/>
    <cellStyle name="标题 4 6 19" xfId="3717"/>
    <cellStyle name="标题 4 6 2" xfId="3718"/>
    <cellStyle name="标题 4 6 2 2" xfId="3719"/>
    <cellStyle name="标题 4 6 2 3" xfId="3720"/>
    <cellStyle name="标题 4 6 2 4" xfId="3721"/>
    <cellStyle name="标题 4 6 2 4 2" xfId="3722"/>
    <cellStyle name="标题 4 6 2 5" xfId="3723"/>
    <cellStyle name="标题 4 6 20" xfId="3724"/>
    <cellStyle name="标题 4 6 21" xfId="3725"/>
    <cellStyle name="标题 4 6 22" xfId="3726"/>
    <cellStyle name="标题 4 6 23" xfId="3727"/>
    <cellStyle name="标题 4 6 3" xfId="3728"/>
    <cellStyle name="标题 4 6 4" xfId="3729"/>
    <cellStyle name="标题 4 6 5" xfId="3730"/>
    <cellStyle name="标题 4 6 6" xfId="3731"/>
    <cellStyle name="标题 4 6 7" xfId="3732"/>
    <cellStyle name="标题 4 6 8" xfId="3733"/>
    <cellStyle name="标题 4 6 9" xfId="3734"/>
    <cellStyle name="标题 4 7" xfId="3735"/>
    <cellStyle name="标题 4 7 10" xfId="3736"/>
    <cellStyle name="标题 4 7 11" xfId="3737"/>
    <cellStyle name="标题 4 7 12" xfId="3738"/>
    <cellStyle name="标题 4 7 13" xfId="3739"/>
    <cellStyle name="标题 4 7 14" xfId="3740"/>
    <cellStyle name="标题 4 7 15" xfId="3741"/>
    <cellStyle name="标题 4 7 16" xfId="3742"/>
    <cellStyle name="标题 4 7 17" xfId="3743"/>
    <cellStyle name="标题 4 7 18" xfId="3744"/>
    <cellStyle name="标题 4 7 19" xfId="3745"/>
    <cellStyle name="标题 4 7 2" xfId="3746"/>
    <cellStyle name="标题 4 7 2 2" xfId="3747"/>
    <cellStyle name="标题 4 7 2 3" xfId="3748"/>
    <cellStyle name="标题 4 7 2 4" xfId="3749"/>
    <cellStyle name="标题 4 7 2 4 2" xfId="3750"/>
    <cellStyle name="标题 4 7 2 5" xfId="3751"/>
    <cellStyle name="标题 4 7 20" xfId="3752"/>
    <cellStyle name="标题 4 7 21" xfId="3753"/>
    <cellStyle name="标题 4 7 22" xfId="3754"/>
    <cellStyle name="标题 4 7 23" xfId="3755"/>
    <cellStyle name="标题 4 7 3" xfId="3756"/>
    <cellStyle name="标题 4 7 4" xfId="3757"/>
    <cellStyle name="标题 4 7 5" xfId="3758"/>
    <cellStyle name="标题 4 7 6" xfId="3759"/>
    <cellStyle name="标题 4 7 7" xfId="3760"/>
    <cellStyle name="标题 4 7 8" xfId="3761"/>
    <cellStyle name="标题 4 7 9" xfId="3762"/>
    <cellStyle name="标题 5" xfId="3763"/>
    <cellStyle name="标题 5 10" xfId="3764"/>
    <cellStyle name="标题 5 11" xfId="3765"/>
    <cellStyle name="标题 5 12" xfId="3766"/>
    <cellStyle name="标题 5 13" xfId="3767"/>
    <cellStyle name="标题 5 14" xfId="3768"/>
    <cellStyle name="标题 5 15" xfId="3769"/>
    <cellStyle name="标题 5 16" xfId="3770"/>
    <cellStyle name="标题 5 17" xfId="3771"/>
    <cellStyle name="标题 5 18" xfId="3772"/>
    <cellStyle name="标题 5 19" xfId="3773"/>
    <cellStyle name="标题 5 2" xfId="3774"/>
    <cellStyle name="标题 5 2 2" xfId="3775"/>
    <cellStyle name="标题 5 2 3" xfId="3776"/>
    <cellStyle name="标题 5 2 4" xfId="3777"/>
    <cellStyle name="标题 5 2 4 2" xfId="3778"/>
    <cellStyle name="标题 5 2 5" xfId="3779"/>
    <cellStyle name="标题 5 20" xfId="3780"/>
    <cellStyle name="标题 5 21" xfId="3781"/>
    <cellStyle name="标题 5 22" xfId="3782"/>
    <cellStyle name="标题 5 23" xfId="3783"/>
    <cellStyle name="标题 5 3" xfId="3784"/>
    <cellStyle name="标题 5 4" xfId="3785"/>
    <cellStyle name="标题 5 5" xfId="3786"/>
    <cellStyle name="标题 5 6" xfId="3787"/>
    <cellStyle name="标题 5 7" xfId="3788"/>
    <cellStyle name="标题 5 8" xfId="3789"/>
    <cellStyle name="标题 5 9" xfId="3790"/>
    <cellStyle name="标题 6" xfId="3791"/>
    <cellStyle name="标题 6 10" xfId="3792"/>
    <cellStyle name="标题 6 11" xfId="3793"/>
    <cellStyle name="标题 6 12" xfId="3794"/>
    <cellStyle name="标题 6 13" xfId="3795"/>
    <cellStyle name="标题 6 14" xfId="3796"/>
    <cellStyle name="标题 6 15" xfId="3797"/>
    <cellStyle name="标题 6 16" xfId="3798"/>
    <cellStyle name="标题 6 17" xfId="3799"/>
    <cellStyle name="标题 6 18" xfId="3800"/>
    <cellStyle name="标题 6 19" xfId="3801"/>
    <cellStyle name="标题 6 2" xfId="3802"/>
    <cellStyle name="标题 6 2 2" xfId="3803"/>
    <cellStyle name="标题 6 2 3" xfId="3804"/>
    <cellStyle name="标题 6 2 4" xfId="3805"/>
    <cellStyle name="标题 6 2 4 2" xfId="3806"/>
    <cellStyle name="标题 6 2 5" xfId="3807"/>
    <cellStyle name="标题 6 20" xfId="3808"/>
    <cellStyle name="标题 6 21" xfId="3809"/>
    <cellStyle name="标题 6 22" xfId="3810"/>
    <cellStyle name="标题 6 23" xfId="3811"/>
    <cellStyle name="标题 6 3" xfId="3812"/>
    <cellStyle name="标题 6 4" xfId="3813"/>
    <cellStyle name="标题 6 5" xfId="3814"/>
    <cellStyle name="标题 6 6" xfId="3815"/>
    <cellStyle name="标题 6 7" xfId="3816"/>
    <cellStyle name="标题 6 8" xfId="3817"/>
    <cellStyle name="标题 6 9" xfId="3818"/>
    <cellStyle name="标题 7" xfId="3819"/>
    <cellStyle name="标题 7 10" xfId="3820"/>
    <cellStyle name="标题 7 11" xfId="3821"/>
    <cellStyle name="标题 7 12" xfId="3822"/>
    <cellStyle name="标题 7 13" xfId="3823"/>
    <cellStyle name="标题 7 14" xfId="3824"/>
    <cellStyle name="标题 7 15" xfId="3825"/>
    <cellStyle name="标题 7 16" xfId="3826"/>
    <cellStyle name="标题 7 17" xfId="3827"/>
    <cellStyle name="标题 7 18" xfId="3828"/>
    <cellStyle name="标题 7 19" xfId="3829"/>
    <cellStyle name="标题 7 2" xfId="3830"/>
    <cellStyle name="标题 7 2 2" xfId="3831"/>
    <cellStyle name="标题 7 2 3" xfId="3832"/>
    <cellStyle name="标题 7 2 4" xfId="3833"/>
    <cellStyle name="标题 7 2 4 2" xfId="3834"/>
    <cellStyle name="标题 7 2 5" xfId="3835"/>
    <cellStyle name="标题 7 20" xfId="3836"/>
    <cellStyle name="标题 7 21" xfId="3837"/>
    <cellStyle name="标题 7 22" xfId="3838"/>
    <cellStyle name="标题 7 23" xfId="3839"/>
    <cellStyle name="标题 7 3" xfId="3840"/>
    <cellStyle name="标题 7 4" xfId="3841"/>
    <cellStyle name="标题 7 5" xfId="3842"/>
    <cellStyle name="标题 7 6" xfId="3843"/>
    <cellStyle name="标题 7 7" xfId="3844"/>
    <cellStyle name="标题 7 8" xfId="3845"/>
    <cellStyle name="标题 7 9" xfId="3846"/>
    <cellStyle name="标题 8" xfId="3847"/>
    <cellStyle name="标题 8 10" xfId="3848"/>
    <cellStyle name="标题 8 11" xfId="3849"/>
    <cellStyle name="标题 8 12" xfId="3850"/>
    <cellStyle name="标题 8 13" xfId="3851"/>
    <cellStyle name="标题 8 14" xfId="3852"/>
    <cellStyle name="标题 8 15" xfId="3853"/>
    <cellStyle name="标题 8 16" xfId="3854"/>
    <cellStyle name="标题 8 17" xfId="3855"/>
    <cellStyle name="标题 8 18" xfId="3856"/>
    <cellStyle name="标题 8 19" xfId="3857"/>
    <cellStyle name="标题 8 2" xfId="3858"/>
    <cellStyle name="标题 8 2 2" xfId="3859"/>
    <cellStyle name="标题 8 2 3" xfId="3860"/>
    <cellStyle name="标题 8 2 4" xfId="3861"/>
    <cellStyle name="标题 8 2 4 2" xfId="3862"/>
    <cellStyle name="标题 8 2 5" xfId="3863"/>
    <cellStyle name="标题 8 20" xfId="3864"/>
    <cellStyle name="标题 8 21" xfId="3865"/>
    <cellStyle name="标题 8 22" xfId="3866"/>
    <cellStyle name="标题 8 23" xfId="3867"/>
    <cellStyle name="标题 8 3" xfId="3868"/>
    <cellStyle name="标题 8 4" xfId="3869"/>
    <cellStyle name="标题 8 5" xfId="3870"/>
    <cellStyle name="标题 8 6" xfId="3871"/>
    <cellStyle name="标题 8 7" xfId="3872"/>
    <cellStyle name="标题 8 8" xfId="3873"/>
    <cellStyle name="标题 8 9" xfId="3874"/>
    <cellStyle name="标题 9" xfId="3875"/>
    <cellStyle name="标题 9 10" xfId="3876"/>
    <cellStyle name="标题 9 11" xfId="3877"/>
    <cellStyle name="标题 9 12" xfId="3878"/>
    <cellStyle name="标题 9 13" xfId="3879"/>
    <cellStyle name="标题 9 14" xfId="3880"/>
    <cellStyle name="标题 9 15" xfId="3881"/>
    <cellStyle name="标题 9 16" xfId="3882"/>
    <cellStyle name="标题 9 17" xfId="3883"/>
    <cellStyle name="标题 9 18" xfId="3884"/>
    <cellStyle name="标题 9 19" xfId="3885"/>
    <cellStyle name="标题 9 2" xfId="3886"/>
    <cellStyle name="标题 9 2 2" xfId="3887"/>
    <cellStyle name="标题 9 2 3" xfId="3888"/>
    <cellStyle name="标题 9 2 4" xfId="3889"/>
    <cellStyle name="标题 9 2 4 2" xfId="3890"/>
    <cellStyle name="标题 9 2 5" xfId="3891"/>
    <cellStyle name="标题 9 20" xfId="3892"/>
    <cellStyle name="标题 9 21" xfId="3893"/>
    <cellStyle name="标题 9 22" xfId="3894"/>
    <cellStyle name="标题 9 23" xfId="3895"/>
    <cellStyle name="标题 9 3" xfId="3896"/>
    <cellStyle name="标题 9 4" xfId="3897"/>
    <cellStyle name="标题 9 5" xfId="3898"/>
    <cellStyle name="标题 9 6" xfId="3899"/>
    <cellStyle name="标题 9 7" xfId="3900"/>
    <cellStyle name="标题 9 8" xfId="3901"/>
    <cellStyle name="标题 9 9" xfId="3902"/>
    <cellStyle name="差 2" xfId="3903"/>
    <cellStyle name="差 2 10" xfId="3904"/>
    <cellStyle name="差 2 11" xfId="3905"/>
    <cellStyle name="差 2 12" xfId="3906"/>
    <cellStyle name="差 2 13" xfId="3907"/>
    <cellStyle name="差 2 14" xfId="3908"/>
    <cellStyle name="差 2 15" xfId="3909"/>
    <cellStyle name="差 2 16" xfId="3910"/>
    <cellStyle name="差 2 17" xfId="3911"/>
    <cellStyle name="差 2 18" xfId="3912"/>
    <cellStyle name="差 2 19" xfId="3913"/>
    <cellStyle name="差 2 2" xfId="3914"/>
    <cellStyle name="差 2 2 2" xfId="3915"/>
    <cellStyle name="差 2 2 3" xfId="3916"/>
    <cellStyle name="差 2 2 4" xfId="3917"/>
    <cellStyle name="差 2 2 4 2" xfId="3918"/>
    <cellStyle name="差 2 2 5" xfId="3919"/>
    <cellStyle name="差 2 20" xfId="3920"/>
    <cellStyle name="差 2 21" xfId="3921"/>
    <cellStyle name="差 2 22" xfId="3922"/>
    <cellStyle name="差 2 23" xfId="3923"/>
    <cellStyle name="差 2 3" xfId="3924"/>
    <cellStyle name="差 2 4" xfId="3925"/>
    <cellStyle name="差 2 5" xfId="3926"/>
    <cellStyle name="差 2 6" xfId="3927"/>
    <cellStyle name="差 2 7" xfId="3928"/>
    <cellStyle name="差 2 8" xfId="3929"/>
    <cellStyle name="差 2 9" xfId="3930"/>
    <cellStyle name="差 3" xfId="3931"/>
    <cellStyle name="差 3 10" xfId="3932"/>
    <cellStyle name="差 3 11" xfId="3933"/>
    <cellStyle name="差 3 12" xfId="3934"/>
    <cellStyle name="差 3 13" xfId="3935"/>
    <cellStyle name="差 3 14" xfId="3936"/>
    <cellStyle name="差 3 15" xfId="3937"/>
    <cellStyle name="差 3 16" xfId="3938"/>
    <cellStyle name="差 3 17" xfId="3939"/>
    <cellStyle name="差 3 18" xfId="3940"/>
    <cellStyle name="差 3 19" xfId="3941"/>
    <cellStyle name="差 3 2" xfId="3942"/>
    <cellStyle name="差 3 2 2" xfId="3943"/>
    <cellStyle name="差 3 2 3" xfId="3944"/>
    <cellStyle name="差 3 2 4" xfId="3945"/>
    <cellStyle name="差 3 2 4 2" xfId="3946"/>
    <cellStyle name="差 3 2 5" xfId="3947"/>
    <cellStyle name="差 3 20" xfId="3948"/>
    <cellStyle name="差 3 21" xfId="3949"/>
    <cellStyle name="差 3 22" xfId="3950"/>
    <cellStyle name="差 3 23" xfId="3951"/>
    <cellStyle name="差 3 3" xfId="3952"/>
    <cellStyle name="差 3 4" xfId="3953"/>
    <cellStyle name="差 3 5" xfId="3954"/>
    <cellStyle name="差 3 6" xfId="3955"/>
    <cellStyle name="差 3 7" xfId="3956"/>
    <cellStyle name="差 3 8" xfId="3957"/>
    <cellStyle name="差 3 9" xfId="3958"/>
    <cellStyle name="差 4" xfId="3959"/>
    <cellStyle name="差 4 10" xfId="3960"/>
    <cellStyle name="差 4 11" xfId="3961"/>
    <cellStyle name="差 4 12" xfId="3962"/>
    <cellStyle name="差 4 13" xfId="3963"/>
    <cellStyle name="差 4 14" xfId="3964"/>
    <cellStyle name="差 4 15" xfId="3965"/>
    <cellStyle name="差 4 16" xfId="3966"/>
    <cellStyle name="差 4 17" xfId="3967"/>
    <cellStyle name="差 4 18" xfId="3968"/>
    <cellStyle name="差 4 19" xfId="3969"/>
    <cellStyle name="差 4 2" xfId="3970"/>
    <cellStyle name="差 4 2 2" xfId="3971"/>
    <cellStyle name="差 4 2 3" xfId="3972"/>
    <cellStyle name="差 4 2 4" xfId="3973"/>
    <cellStyle name="差 4 2 4 2" xfId="3974"/>
    <cellStyle name="差 4 2 5" xfId="3975"/>
    <cellStyle name="差 4 20" xfId="3976"/>
    <cellStyle name="差 4 21" xfId="3977"/>
    <cellStyle name="差 4 22" xfId="3978"/>
    <cellStyle name="差 4 23" xfId="3979"/>
    <cellStyle name="差 4 3" xfId="3980"/>
    <cellStyle name="差 4 4" xfId="3981"/>
    <cellStyle name="差 4 5" xfId="3982"/>
    <cellStyle name="差 4 6" xfId="3983"/>
    <cellStyle name="差 4 7" xfId="3984"/>
    <cellStyle name="差 4 8" xfId="3985"/>
    <cellStyle name="差 4 9" xfId="3986"/>
    <cellStyle name="差 5" xfId="3987"/>
    <cellStyle name="差 5 10" xfId="3988"/>
    <cellStyle name="差 5 11" xfId="3989"/>
    <cellStyle name="差 5 12" xfId="3990"/>
    <cellStyle name="差 5 13" xfId="3991"/>
    <cellStyle name="差 5 14" xfId="3992"/>
    <cellStyle name="差 5 15" xfId="3993"/>
    <cellStyle name="差 5 16" xfId="3994"/>
    <cellStyle name="差 5 17" xfId="3995"/>
    <cellStyle name="差 5 18" xfId="3996"/>
    <cellStyle name="差 5 19" xfId="3997"/>
    <cellStyle name="差 5 2" xfId="3998"/>
    <cellStyle name="差 5 2 2" xfId="3999"/>
    <cellStyle name="差 5 2 3" xfId="4000"/>
    <cellStyle name="差 5 2 4" xfId="4001"/>
    <cellStyle name="差 5 2 4 2" xfId="4002"/>
    <cellStyle name="差 5 2 5" xfId="4003"/>
    <cellStyle name="差 5 20" xfId="4004"/>
    <cellStyle name="差 5 21" xfId="4005"/>
    <cellStyle name="差 5 22" xfId="4006"/>
    <cellStyle name="差 5 23" xfId="4007"/>
    <cellStyle name="差 5 3" xfId="4008"/>
    <cellStyle name="差 5 4" xfId="4009"/>
    <cellStyle name="差 5 5" xfId="4010"/>
    <cellStyle name="差 5 6" xfId="4011"/>
    <cellStyle name="差 5 7" xfId="4012"/>
    <cellStyle name="差 5 8" xfId="4013"/>
    <cellStyle name="差 5 9" xfId="4014"/>
    <cellStyle name="差 6" xfId="4015"/>
    <cellStyle name="差 6 10" xfId="4016"/>
    <cellStyle name="差 6 11" xfId="4017"/>
    <cellStyle name="差 6 12" xfId="4018"/>
    <cellStyle name="差 6 13" xfId="4019"/>
    <cellStyle name="差 6 14" xfId="4020"/>
    <cellStyle name="差 6 15" xfId="4021"/>
    <cellStyle name="差 6 16" xfId="4022"/>
    <cellStyle name="差 6 17" xfId="4023"/>
    <cellStyle name="差 6 18" xfId="4024"/>
    <cellStyle name="差 6 19" xfId="4025"/>
    <cellStyle name="差 6 2" xfId="4026"/>
    <cellStyle name="差 6 2 2" xfId="4027"/>
    <cellStyle name="差 6 2 3" xfId="4028"/>
    <cellStyle name="差 6 2 4" xfId="4029"/>
    <cellStyle name="差 6 2 4 2" xfId="4030"/>
    <cellStyle name="差 6 2 5" xfId="4031"/>
    <cellStyle name="差 6 20" xfId="4032"/>
    <cellStyle name="差 6 21" xfId="4033"/>
    <cellStyle name="差 6 22" xfId="4034"/>
    <cellStyle name="差 6 23" xfId="4035"/>
    <cellStyle name="差 6 3" xfId="4036"/>
    <cellStyle name="差 6 4" xfId="4037"/>
    <cellStyle name="差 6 5" xfId="4038"/>
    <cellStyle name="差 6 6" xfId="4039"/>
    <cellStyle name="差 6 7" xfId="4040"/>
    <cellStyle name="差 6 8" xfId="4041"/>
    <cellStyle name="差 6 9" xfId="4042"/>
    <cellStyle name="差 7" xfId="4043"/>
    <cellStyle name="差 7 10" xfId="4044"/>
    <cellStyle name="差 7 11" xfId="4045"/>
    <cellStyle name="差 7 12" xfId="4046"/>
    <cellStyle name="差 7 13" xfId="4047"/>
    <cellStyle name="差 7 14" xfId="4048"/>
    <cellStyle name="差 7 15" xfId="4049"/>
    <cellStyle name="差 7 16" xfId="4050"/>
    <cellStyle name="差 7 17" xfId="4051"/>
    <cellStyle name="差 7 18" xfId="4052"/>
    <cellStyle name="差 7 19" xfId="4053"/>
    <cellStyle name="差 7 2" xfId="4054"/>
    <cellStyle name="差 7 2 2" xfId="4055"/>
    <cellStyle name="差 7 2 3" xfId="4056"/>
    <cellStyle name="差 7 2 4" xfId="4057"/>
    <cellStyle name="差 7 2 4 2" xfId="4058"/>
    <cellStyle name="差 7 2 5" xfId="4059"/>
    <cellStyle name="差 7 20" xfId="4060"/>
    <cellStyle name="差 7 21" xfId="4061"/>
    <cellStyle name="差 7 22" xfId="4062"/>
    <cellStyle name="差 7 23" xfId="4063"/>
    <cellStyle name="差 7 3" xfId="4064"/>
    <cellStyle name="差 7 4" xfId="4065"/>
    <cellStyle name="差 7 5" xfId="4066"/>
    <cellStyle name="差 7 6" xfId="4067"/>
    <cellStyle name="差 7 7" xfId="4068"/>
    <cellStyle name="差 7 8" xfId="4069"/>
    <cellStyle name="差 7 9" xfId="4070"/>
    <cellStyle name="差_未放款明细18#19#8.6" xfId="4071"/>
    <cellStyle name="差_未放款明细18#19#8.6 10" xfId="4072"/>
    <cellStyle name="差_未放款明细18#19#8.6 11" xfId="4073"/>
    <cellStyle name="差_未放款明细18#19#8.6 12" xfId="4074"/>
    <cellStyle name="差_未放款明细18#19#8.6 13" xfId="4075"/>
    <cellStyle name="差_未放款明细18#19#8.6 14" xfId="4076"/>
    <cellStyle name="差_未放款明细18#19#8.6 15" xfId="4077"/>
    <cellStyle name="差_未放款明细18#19#8.6 16" xfId="4078"/>
    <cellStyle name="差_未放款明细18#19#8.6 17" xfId="4079"/>
    <cellStyle name="差_未放款明细18#19#8.6 18" xfId="4080"/>
    <cellStyle name="差_未放款明细18#19#8.6 19" xfId="4081"/>
    <cellStyle name="差_未放款明细18#19#8.6 2" xfId="4082"/>
    <cellStyle name="差_未放款明细18#19#8.6 2 2" xfId="4083"/>
    <cellStyle name="差_未放款明细18#19#8.6 2 3" xfId="4084"/>
    <cellStyle name="差_未放款明细18#19#8.6 2 4" xfId="4085"/>
    <cellStyle name="差_未放款明细18#19#8.6 2 4 2" xfId="4086"/>
    <cellStyle name="差_未放款明细18#19#8.6 2 5" xfId="4087"/>
    <cellStyle name="差_未放款明细18#19#8.6 20" xfId="4088"/>
    <cellStyle name="差_未放款明细18#19#8.6 21" xfId="4089"/>
    <cellStyle name="差_未放款明细18#19#8.6 22" xfId="4090"/>
    <cellStyle name="差_未放款明细18#19#8.6 23" xfId="4091"/>
    <cellStyle name="差_未放款明细18#19#8.6 3" xfId="4092"/>
    <cellStyle name="差_未放款明细18#19#8.6 4" xfId="4093"/>
    <cellStyle name="差_未放款明细18#19#8.6 5" xfId="4094"/>
    <cellStyle name="差_未放款明细18#19#8.6 6" xfId="4095"/>
    <cellStyle name="差_未放款明细18#19#8.6 7" xfId="4096"/>
    <cellStyle name="差_未放款明细18#19#8.6 8" xfId="4097"/>
    <cellStyle name="差_未放款明细18#19#8.6 9" xfId="4098"/>
    <cellStyle name="差_未放款明细7.26" xfId="4099"/>
    <cellStyle name="差_未放款明细7.26 10" xfId="4100"/>
    <cellStyle name="差_未放款明细7.26 11" xfId="4101"/>
    <cellStyle name="差_未放款明细7.26 12" xfId="4102"/>
    <cellStyle name="差_未放款明细7.26 13" xfId="4103"/>
    <cellStyle name="差_未放款明细7.26 14" xfId="4104"/>
    <cellStyle name="差_未放款明细7.26 15" xfId="4105"/>
    <cellStyle name="差_未放款明细7.26 16" xfId="4106"/>
    <cellStyle name="差_未放款明细7.26 17" xfId="4107"/>
    <cellStyle name="差_未放款明细7.26 18" xfId="4108"/>
    <cellStyle name="差_未放款明细7.26 19" xfId="4109"/>
    <cellStyle name="差_未放款明细7.26 2" xfId="4110"/>
    <cellStyle name="差_未放款明细7.26 2 2" xfId="4111"/>
    <cellStyle name="差_未放款明细7.26 2 3" xfId="4112"/>
    <cellStyle name="差_未放款明细7.26 2 4" xfId="4113"/>
    <cellStyle name="差_未放款明细7.26 2 4 2" xfId="4114"/>
    <cellStyle name="差_未放款明细7.26 2 5" xfId="4115"/>
    <cellStyle name="差_未放款明细7.26 20" xfId="4116"/>
    <cellStyle name="差_未放款明细7.26 21" xfId="4117"/>
    <cellStyle name="差_未放款明细7.26 22" xfId="4118"/>
    <cellStyle name="差_未放款明细7.26 23" xfId="4119"/>
    <cellStyle name="差_未放款明细7.26 3" xfId="4120"/>
    <cellStyle name="差_未放款明细7.26 4" xfId="4121"/>
    <cellStyle name="差_未放款明细7.26 5" xfId="4122"/>
    <cellStyle name="差_未放款明细7.26 6" xfId="4123"/>
    <cellStyle name="差_未放款明细7.26 7" xfId="4124"/>
    <cellStyle name="差_未放款明细7.26 8" xfId="4125"/>
    <cellStyle name="差_未放款明细7.26 9" xfId="4126"/>
    <cellStyle name="常规" xfId="0" builtinId="0"/>
    <cellStyle name="常规 10" xfId="17"/>
    <cellStyle name="常规 10 10" xfId="4127"/>
    <cellStyle name="常规 10 10 10" xfId="4128"/>
    <cellStyle name="常规 10 10 11" xfId="4129"/>
    <cellStyle name="常规 10 10 12" xfId="4130"/>
    <cellStyle name="常规 10 10 13" xfId="4131"/>
    <cellStyle name="常规 10 10 14" xfId="4132"/>
    <cellStyle name="常规 10 10 15" xfId="4133"/>
    <cellStyle name="常规 10 10 16" xfId="4134"/>
    <cellStyle name="常规 10 10 17" xfId="4135"/>
    <cellStyle name="常规 10 10 18" xfId="4136"/>
    <cellStyle name="常规 10 10 19" xfId="4137"/>
    <cellStyle name="常规 10 10 2" xfId="4138"/>
    <cellStyle name="常规 10 10 2 2" xfId="4139"/>
    <cellStyle name="常规 10 10 2 3" xfId="4140"/>
    <cellStyle name="常规 10 10 2 4" xfId="4141"/>
    <cellStyle name="常规 10 10 2 4 2" xfId="4142"/>
    <cellStyle name="常规 10 10 2 5" xfId="4143"/>
    <cellStyle name="常规 10 10 20" xfId="4144"/>
    <cellStyle name="常规 10 10 21" xfId="4145"/>
    <cellStyle name="常规 10 10 22" xfId="4146"/>
    <cellStyle name="常规 10 10 23" xfId="4147"/>
    <cellStyle name="常规 10 10 3" xfId="4148"/>
    <cellStyle name="常规 10 10 4" xfId="4149"/>
    <cellStyle name="常规 10 10 5" xfId="4150"/>
    <cellStyle name="常规 10 10 6" xfId="4151"/>
    <cellStyle name="常规 10 10 7" xfId="4152"/>
    <cellStyle name="常规 10 10 8" xfId="4153"/>
    <cellStyle name="常规 10 10 9" xfId="4154"/>
    <cellStyle name="常规 10 11" xfId="4155"/>
    <cellStyle name="常规 10 11 10" xfId="4156"/>
    <cellStyle name="常规 10 11 11" xfId="4157"/>
    <cellStyle name="常规 10 11 12" xfId="4158"/>
    <cellStyle name="常规 10 11 13" xfId="4159"/>
    <cellStyle name="常规 10 11 14" xfId="4160"/>
    <cellStyle name="常规 10 11 15" xfId="4161"/>
    <cellStyle name="常规 10 11 16" xfId="4162"/>
    <cellStyle name="常规 10 11 17" xfId="4163"/>
    <cellStyle name="常规 10 11 18" xfId="4164"/>
    <cellStyle name="常规 10 11 19" xfId="4165"/>
    <cellStyle name="常规 10 11 2" xfId="4166"/>
    <cellStyle name="常规 10 11 2 2" xfId="4167"/>
    <cellStyle name="常规 10 11 2 3" xfId="4168"/>
    <cellStyle name="常规 10 11 2 4" xfId="4169"/>
    <cellStyle name="常规 10 11 2 4 2" xfId="4170"/>
    <cellStyle name="常规 10 11 2 5" xfId="4171"/>
    <cellStyle name="常规 10 11 20" xfId="4172"/>
    <cellStyle name="常规 10 11 21" xfId="4173"/>
    <cellStyle name="常规 10 11 22" xfId="4174"/>
    <cellStyle name="常规 10 11 23" xfId="4175"/>
    <cellStyle name="常规 10 11 3" xfId="4176"/>
    <cellStyle name="常规 10 11 4" xfId="4177"/>
    <cellStyle name="常规 10 11 5" xfId="4178"/>
    <cellStyle name="常规 10 11 6" xfId="4179"/>
    <cellStyle name="常规 10 11 7" xfId="4180"/>
    <cellStyle name="常规 10 11 8" xfId="4181"/>
    <cellStyle name="常规 10 11 9" xfId="4182"/>
    <cellStyle name="常规 10 12" xfId="4183"/>
    <cellStyle name="常规 10 12 10" xfId="4184"/>
    <cellStyle name="常规 10 12 11" xfId="4185"/>
    <cellStyle name="常规 10 12 12" xfId="4186"/>
    <cellStyle name="常规 10 12 13" xfId="4187"/>
    <cellStyle name="常规 10 12 14" xfId="4188"/>
    <cellStyle name="常规 10 12 15" xfId="4189"/>
    <cellStyle name="常规 10 12 16" xfId="4190"/>
    <cellStyle name="常规 10 12 17" xfId="4191"/>
    <cellStyle name="常规 10 12 18" xfId="4192"/>
    <cellStyle name="常规 10 12 19" xfId="4193"/>
    <cellStyle name="常规 10 12 2" xfId="4194"/>
    <cellStyle name="常规 10 12 2 2" xfId="4195"/>
    <cellStyle name="常规 10 12 2 3" xfId="4196"/>
    <cellStyle name="常规 10 12 2 4" xfId="4197"/>
    <cellStyle name="常规 10 12 2 4 2" xfId="4198"/>
    <cellStyle name="常规 10 12 2 5" xfId="4199"/>
    <cellStyle name="常规 10 12 20" xfId="4200"/>
    <cellStyle name="常规 10 12 21" xfId="4201"/>
    <cellStyle name="常规 10 12 22" xfId="4202"/>
    <cellStyle name="常规 10 12 23" xfId="4203"/>
    <cellStyle name="常规 10 12 3" xfId="4204"/>
    <cellStyle name="常规 10 12 4" xfId="4205"/>
    <cellStyle name="常规 10 12 5" xfId="4206"/>
    <cellStyle name="常规 10 12 6" xfId="4207"/>
    <cellStyle name="常规 10 12 7" xfId="4208"/>
    <cellStyle name="常规 10 12 8" xfId="4209"/>
    <cellStyle name="常规 10 12 9" xfId="4210"/>
    <cellStyle name="常规 10 13" xfId="4211"/>
    <cellStyle name="常规 10 13 10" xfId="4212"/>
    <cellStyle name="常规 10 13 11" xfId="4213"/>
    <cellStyle name="常规 10 13 12" xfId="4214"/>
    <cellStyle name="常规 10 13 13" xfId="4215"/>
    <cellStyle name="常规 10 13 14" xfId="4216"/>
    <cellStyle name="常规 10 13 15" xfId="4217"/>
    <cellStyle name="常规 10 13 16" xfId="4218"/>
    <cellStyle name="常规 10 13 17" xfId="4219"/>
    <cellStyle name="常规 10 13 18" xfId="4220"/>
    <cellStyle name="常规 10 13 19" xfId="4221"/>
    <cellStyle name="常规 10 13 2" xfId="4222"/>
    <cellStyle name="常规 10 13 2 2" xfId="4223"/>
    <cellStyle name="常规 10 13 2 3" xfId="4224"/>
    <cellStyle name="常规 10 13 2 4" xfId="4225"/>
    <cellStyle name="常规 10 13 2 4 2" xfId="4226"/>
    <cellStyle name="常规 10 13 2 5" xfId="4227"/>
    <cellStyle name="常规 10 13 20" xfId="4228"/>
    <cellStyle name="常规 10 13 21" xfId="4229"/>
    <cellStyle name="常规 10 13 22" xfId="4230"/>
    <cellStyle name="常规 10 13 23" xfId="4231"/>
    <cellStyle name="常规 10 13 3" xfId="4232"/>
    <cellStyle name="常规 10 13 4" xfId="4233"/>
    <cellStyle name="常规 10 13 5" xfId="4234"/>
    <cellStyle name="常规 10 13 6" xfId="4235"/>
    <cellStyle name="常规 10 13 7" xfId="4236"/>
    <cellStyle name="常规 10 13 8" xfId="4237"/>
    <cellStyle name="常规 10 13 9" xfId="4238"/>
    <cellStyle name="常规 10 14" xfId="4239"/>
    <cellStyle name="常规 10 14 2" xfId="4240"/>
    <cellStyle name="常规 10 14 3" xfId="4241"/>
    <cellStyle name="常规 10 14 4" xfId="4242"/>
    <cellStyle name="常规 10 14 4 2" xfId="4243"/>
    <cellStyle name="常规 10 14 5" xfId="4244"/>
    <cellStyle name="常规 10 15" xfId="4245"/>
    <cellStyle name="常规 10 16" xfId="4246"/>
    <cellStyle name="常规 10 17" xfId="4247"/>
    <cellStyle name="常规 10 18" xfId="4248"/>
    <cellStyle name="常规 10 19" xfId="4249"/>
    <cellStyle name="常规 10 2" xfId="4250"/>
    <cellStyle name="常规 10 2 10" xfId="4251"/>
    <cellStyle name="常规 10 2 11" xfId="4252"/>
    <cellStyle name="常规 10 2 12" xfId="4253"/>
    <cellStyle name="常规 10 2 13" xfId="4254"/>
    <cellStyle name="常规 10 2 14" xfId="4255"/>
    <cellStyle name="常规 10 2 15" xfId="4256"/>
    <cellStyle name="常规 10 2 16" xfId="4257"/>
    <cellStyle name="常规 10 2 17" xfId="4258"/>
    <cellStyle name="常规 10 2 18" xfId="4259"/>
    <cellStyle name="常规 10 2 19" xfId="4260"/>
    <cellStyle name="常规 10 2 2" xfId="4261"/>
    <cellStyle name="常规 10 2 2 10" xfId="4262"/>
    <cellStyle name="常规 10 2 2 11" xfId="4263"/>
    <cellStyle name="常规 10 2 2 12" xfId="4264"/>
    <cellStyle name="常规 10 2 2 13" xfId="4265"/>
    <cellStyle name="常规 10 2 2 14" xfId="4266"/>
    <cellStyle name="常规 10 2 2 15" xfId="4267"/>
    <cellStyle name="常规 10 2 2 16" xfId="4268"/>
    <cellStyle name="常规 10 2 2 17" xfId="4269"/>
    <cellStyle name="常规 10 2 2 18" xfId="4270"/>
    <cellStyle name="常规 10 2 2 19" xfId="4271"/>
    <cellStyle name="常规 10 2 2 2" xfId="4272"/>
    <cellStyle name="常规 10 2 2 2 2" xfId="4273"/>
    <cellStyle name="常规 10 2 2 2 3" xfId="4274"/>
    <cellStyle name="常规 10 2 2 2 4" xfId="4275"/>
    <cellStyle name="常规 10 2 2 2 4 2" xfId="4276"/>
    <cellStyle name="常规 10 2 2 2 5" xfId="4277"/>
    <cellStyle name="常规 10 2 2 20" xfId="4278"/>
    <cellStyle name="常规 10 2 2 21" xfId="4279"/>
    <cellStyle name="常规 10 2 2 22" xfId="4280"/>
    <cellStyle name="常规 10 2 2 23" xfId="4281"/>
    <cellStyle name="常规 10 2 2 3" xfId="4282"/>
    <cellStyle name="常规 10 2 2 4" xfId="4283"/>
    <cellStyle name="常规 10 2 2 5" xfId="4284"/>
    <cellStyle name="常规 10 2 2 6" xfId="4285"/>
    <cellStyle name="常规 10 2 2 7" xfId="4286"/>
    <cellStyle name="常规 10 2 2 8" xfId="4287"/>
    <cellStyle name="常规 10 2 2 9" xfId="4288"/>
    <cellStyle name="常规 10 2 20" xfId="4289"/>
    <cellStyle name="常规 10 2 21" xfId="4290"/>
    <cellStyle name="常规 10 2 22" xfId="4291"/>
    <cellStyle name="常规 10 2 23" xfId="4292"/>
    <cellStyle name="常规 10 2 24" xfId="4293"/>
    <cellStyle name="常规 10 2 3" xfId="4294"/>
    <cellStyle name="常规 10 2 3 2" xfId="4295"/>
    <cellStyle name="常规 10 2 3 3" xfId="4296"/>
    <cellStyle name="常规 10 2 3 4" xfId="4297"/>
    <cellStyle name="常规 10 2 3 4 2" xfId="4298"/>
    <cellStyle name="常规 10 2 3 5" xfId="4299"/>
    <cellStyle name="常规 10 2 4" xfId="4300"/>
    <cellStyle name="常规 10 2 5" xfId="4301"/>
    <cellStyle name="常规 10 2 6" xfId="4302"/>
    <cellStyle name="常规 10 2 7" xfId="4303"/>
    <cellStyle name="常规 10 2 8" xfId="4304"/>
    <cellStyle name="常规 10 2 9" xfId="4305"/>
    <cellStyle name="常规 10 20" xfId="4306"/>
    <cellStyle name="常规 10 21" xfId="4307"/>
    <cellStyle name="常规 10 22" xfId="4308"/>
    <cellStyle name="常规 10 23" xfId="4309"/>
    <cellStyle name="常规 10 24" xfId="4310"/>
    <cellStyle name="常规 10 25" xfId="4311"/>
    <cellStyle name="常规 10 26" xfId="4312"/>
    <cellStyle name="常规 10 27" xfId="4313"/>
    <cellStyle name="常规 10 28" xfId="4314"/>
    <cellStyle name="常规 10 29" xfId="4315"/>
    <cellStyle name="常规 10 3" xfId="4316"/>
    <cellStyle name="常规 10 3 10" xfId="4317"/>
    <cellStyle name="常规 10 3 11" xfId="4318"/>
    <cellStyle name="常规 10 3 12" xfId="4319"/>
    <cellStyle name="常规 10 3 13" xfId="4320"/>
    <cellStyle name="常规 10 3 14" xfId="4321"/>
    <cellStyle name="常规 10 3 15" xfId="4322"/>
    <cellStyle name="常规 10 3 16" xfId="4323"/>
    <cellStyle name="常规 10 3 17" xfId="4324"/>
    <cellStyle name="常规 10 3 18" xfId="4325"/>
    <cellStyle name="常规 10 3 19" xfId="4326"/>
    <cellStyle name="常规 10 3 2" xfId="4327"/>
    <cellStyle name="常规 10 3 2 2" xfId="4328"/>
    <cellStyle name="常规 10 3 2 3" xfId="4329"/>
    <cellStyle name="常规 10 3 2 4" xfId="4330"/>
    <cellStyle name="常规 10 3 2 4 2" xfId="4331"/>
    <cellStyle name="常规 10 3 2 5" xfId="4332"/>
    <cellStyle name="常规 10 3 20" xfId="4333"/>
    <cellStyle name="常规 10 3 21" xfId="4334"/>
    <cellStyle name="常规 10 3 22" xfId="4335"/>
    <cellStyle name="常规 10 3 23" xfId="4336"/>
    <cellStyle name="常规 10 3 3" xfId="4337"/>
    <cellStyle name="常规 10 3 4" xfId="4338"/>
    <cellStyle name="常规 10 3 5" xfId="4339"/>
    <cellStyle name="常规 10 3 6" xfId="4340"/>
    <cellStyle name="常规 10 3 7" xfId="4341"/>
    <cellStyle name="常规 10 3 8" xfId="4342"/>
    <cellStyle name="常规 10 3 9" xfId="4343"/>
    <cellStyle name="常规 10 30" xfId="4344"/>
    <cellStyle name="常规 10 31" xfId="4345"/>
    <cellStyle name="常规 10 32" xfId="4346"/>
    <cellStyle name="常规 10 33" xfId="4347"/>
    <cellStyle name="常规 10 34" xfId="4348"/>
    <cellStyle name="常规 10 35" xfId="4349"/>
    <cellStyle name="常规 10 4" xfId="4350"/>
    <cellStyle name="常规 10 4 10" xfId="4351"/>
    <cellStyle name="常规 10 4 11" xfId="4352"/>
    <cellStyle name="常规 10 4 12" xfId="4353"/>
    <cellStyle name="常规 10 4 13" xfId="4354"/>
    <cellStyle name="常规 10 4 14" xfId="4355"/>
    <cellStyle name="常规 10 4 15" xfId="4356"/>
    <cellStyle name="常规 10 4 16" xfId="4357"/>
    <cellStyle name="常规 10 4 17" xfId="4358"/>
    <cellStyle name="常规 10 4 18" xfId="4359"/>
    <cellStyle name="常规 10 4 19" xfId="4360"/>
    <cellStyle name="常规 10 4 2" xfId="4361"/>
    <cellStyle name="常规 10 4 2 2" xfId="4362"/>
    <cellStyle name="常规 10 4 2 3" xfId="4363"/>
    <cellStyle name="常规 10 4 2 4" xfId="4364"/>
    <cellStyle name="常规 10 4 2 4 2" xfId="4365"/>
    <cellStyle name="常规 10 4 2 5" xfId="4366"/>
    <cellStyle name="常规 10 4 20" xfId="4367"/>
    <cellStyle name="常规 10 4 21" xfId="4368"/>
    <cellStyle name="常规 10 4 22" xfId="4369"/>
    <cellStyle name="常规 10 4 23" xfId="4370"/>
    <cellStyle name="常规 10 4 3" xfId="4371"/>
    <cellStyle name="常规 10 4 4" xfId="4372"/>
    <cellStyle name="常规 10 4 5" xfId="4373"/>
    <cellStyle name="常规 10 4 6" xfId="4374"/>
    <cellStyle name="常规 10 4 7" xfId="4375"/>
    <cellStyle name="常规 10 4 8" xfId="4376"/>
    <cellStyle name="常规 10 4 9" xfId="4377"/>
    <cellStyle name="常规 10 5" xfId="4378"/>
    <cellStyle name="常规 10 5 10" xfId="4379"/>
    <cellStyle name="常规 10 5 11" xfId="4380"/>
    <cellStyle name="常规 10 5 12" xfId="4381"/>
    <cellStyle name="常规 10 5 13" xfId="4382"/>
    <cellStyle name="常规 10 5 14" xfId="4383"/>
    <cellStyle name="常规 10 5 15" xfId="4384"/>
    <cellStyle name="常规 10 5 16" xfId="4385"/>
    <cellStyle name="常规 10 5 17" xfId="4386"/>
    <cellStyle name="常规 10 5 18" xfId="4387"/>
    <cellStyle name="常规 10 5 19" xfId="4388"/>
    <cellStyle name="常规 10 5 2" xfId="4389"/>
    <cellStyle name="常规 10 5 2 2" xfId="4390"/>
    <cellStyle name="常规 10 5 2 3" xfId="4391"/>
    <cellStyle name="常规 10 5 2 4" xfId="4392"/>
    <cellStyle name="常规 10 5 2 4 2" xfId="4393"/>
    <cellStyle name="常规 10 5 2 5" xfId="4394"/>
    <cellStyle name="常规 10 5 20" xfId="4395"/>
    <cellStyle name="常规 10 5 21" xfId="4396"/>
    <cellStyle name="常规 10 5 22" xfId="4397"/>
    <cellStyle name="常规 10 5 23" xfId="4398"/>
    <cellStyle name="常规 10 5 3" xfId="4399"/>
    <cellStyle name="常规 10 5 4" xfId="4400"/>
    <cellStyle name="常规 10 5 5" xfId="4401"/>
    <cellStyle name="常规 10 5 6" xfId="4402"/>
    <cellStyle name="常规 10 5 7" xfId="4403"/>
    <cellStyle name="常规 10 5 8" xfId="4404"/>
    <cellStyle name="常规 10 5 9" xfId="4405"/>
    <cellStyle name="常规 10 6" xfId="4406"/>
    <cellStyle name="常规 10 6 10" xfId="4407"/>
    <cellStyle name="常规 10 6 11" xfId="4408"/>
    <cellStyle name="常规 10 6 12" xfId="4409"/>
    <cellStyle name="常规 10 6 13" xfId="4410"/>
    <cellStyle name="常规 10 6 14" xfId="4411"/>
    <cellStyle name="常规 10 6 15" xfId="4412"/>
    <cellStyle name="常规 10 6 16" xfId="4413"/>
    <cellStyle name="常规 10 6 17" xfId="4414"/>
    <cellStyle name="常规 10 6 18" xfId="4415"/>
    <cellStyle name="常规 10 6 19" xfId="4416"/>
    <cellStyle name="常规 10 6 2" xfId="4417"/>
    <cellStyle name="常规 10 6 2 2" xfId="4418"/>
    <cellStyle name="常规 10 6 2 3" xfId="4419"/>
    <cellStyle name="常规 10 6 2 4" xfId="4420"/>
    <cellStyle name="常规 10 6 2 4 2" xfId="4421"/>
    <cellStyle name="常规 10 6 2 5" xfId="4422"/>
    <cellStyle name="常规 10 6 20" xfId="4423"/>
    <cellStyle name="常规 10 6 21" xfId="4424"/>
    <cellStyle name="常规 10 6 22" xfId="4425"/>
    <cellStyle name="常规 10 6 23" xfId="4426"/>
    <cellStyle name="常规 10 6 3" xfId="4427"/>
    <cellStyle name="常规 10 6 4" xfId="4428"/>
    <cellStyle name="常规 10 6 5" xfId="4429"/>
    <cellStyle name="常规 10 6 6" xfId="4430"/>
    <cellStyle name="常规 10 6 7" xfId="4431"/>
    <cellStyle name="常规 10 6 8" xfId="4432"/>
    <cellStyle name="常规 10 6 9" xfId="4433"/>
    <cellStyle name="常规 10 7" xfId="4434"/>
    <cellStyle name="常规 10 7 10" xfId="4435"/>
    <cellStyle name="常规 10 7 11" xfId="4436"/>
    <cellStyle name="常规 10 7 12" xfId="4437"/>
    <cellStyle name="常规 10 7 13" xfId="4438"/>
    <cellStyle name="常规 10 7 14" xfId="4439"/>
    <cellStyle name="常规 10 7 15" xfId="4440"/>
    <cellStyle name="常规 10 7 16" xfId="4441"/>
    <cellStyle name="常规 10 7 17" xfId="4442"/>
    <cellStyle name="常规 10 7 18" xfId="4443"/>
    <cellStyle name="常规 10 7 19" xfId="4444"/>
    <cellStyle name="常规 10 7 2" xfId="4445"/>
    <cellStyle name="常规 10 7 2 2" xfId="4446"/>
    <cellStyle name="常规 10 7 2 3" xfId="4447"/>
    <cellStyle name="常规 10 7 2 4" xfId="4448"/>
    <cellStyle name="常规 10 7 2 4 2" xfId="4449"/>
    <cellStyle name="常规 10 7 2 5" xfId="4450"/>
    <cellStyle name="常规 10 7 20" xfId="4451"/>
    <cellStyle name="常规 10 7 21" xfId="4452"/>
    <cellStyle name="常规 10 7 22" xfId="4453"/>
    <cellStyle name="常规 10 7 23" xfId="4454"/>
    <cellStyle name="常规 10 7 3" xfId="4455"/>
    <cellStyle name="常规 10 7 4" xfId="4456"/>
    <cellStyle name="常规 10 7 5" xfId="4457"/>
    <cellStyle name="常规 10 7 6" xfId="4458"/>
    <cellStyle name="常规 10 7 7" xfId="4459"/>
    <cellStyle name="常规 10 7 8" xfId="4460"/>
    <cellStyle name="常规 10 7 9" xfId="4461"/>
    <cellStyle name="常规 10 8" xfId="4462"/>
    <cellStyle name="常规 10 8 10" xfId="4463"/>
    <cellStyle name="常规 10 8 11" xfId="4464"/>
    <cellStyle name="常规 10 8 12" xfId="4465"/>
    <cellStyle name="常规 10 8 13" xfId="4466"/>
    <cellStyle name="常规 10 8 14" xfId="4467"/>
    <cellStyle name="常规 10 8 15" xfId="4468"/>
    <cellStyle name="常规 10 8 16" xfId="4469"/>
    <cellStyle name="常规 10 8 17" xfId="4470"/>
    <cellStyle name="常规 10 8 18" xfId="4471"/>
    <cellStyle name="常规 10 8 19" xfId="4472"/>
    <cellStyle name="常规 10 8 2" xfId="4473"/>
    <cellStyle name="常规 10 8 2 2" xfId="4474"/>
    <cellStyle name="常规 10 8 2 3" xfId="4475"/>
    <cellStyle name="常规 10 8 2 4" xfId="4476"/>
    <cellStyle name="常规 10 8 2 4 2" xfId="4477"/>
    <cellStyle name="常规 10 8 2 5" xfId="4478"/>
    <cellStyle name="常规 10 8 20" xfId="4479"/>
    <cellStyle name="常规 10 8 21" xfId="4480"/>
    <cellStyle name="常规 10 8 22" xfId="4481"/>
    <cellStyle name="常规 10 8 23" xfId="4482"/>
    <cellStyle name="常规 10 8 3" xfId="4483"/>
    <cellStyle name="常规 10 8 4" xfId="4484"/>
    <cellStyle name="常规 10 8 5" xfId="4485"/>
    <cellStyle name="常规 10 8 6" xfId="4486"/>
    <cellStyle name="常规 10 8 7" xfId="4487"/>
    <cellStyle name="常规 10 8 8" xfId="4488"/>
    <cellStyle name="常规 10 8 9" xfId="4489"/>
    <cellStyle name="常规 10 9" xfId="4490"/>
    <cellStyle name="常规 10 9 10" xfId="4491"/>
    <cellStyle name="常规 10 9 11" xfId="4492"/>
    <cellStyle name="常规 10 9 12" xfId="4493"/>
    <cellStyle name="常规 10 9 13" xfId="4494"/>
    <cellStyle name="常规 10 9 14" xfId="4495"/>
    <cellStyle name="常规 10 9 15" xfId="4496"/>
    <cellStyle name="常规 10 9 16" xfId="4497"/>
    <cellStyle name="常规 10 9 17" xfId="4498"/>
    <cellStyle name="常规 10 9 18" xfId="4499"/>
    <cellStyle name="常规 10 9 19" xfId="4500"/>
    <cellStyle name="常规 10 9 2" xfId="4501"/>
    <cellStyle name="常规 10 9 2 2" xfId="4502"/>
    <cellStyle name="常规 10 9 2 3" xfId="4503"/>
    <cellStyle name="常规 10 9 2 4" xfId="4504"/>
    <cellStyle name="常规 10 9 2 4 2" xfId="4505"/>
    <cellStyle name="常规 10 9 2 5" xfId="4506"/>
    <cellStyle name="常规 10 9 20" xfId="4507"/>
    <cellStyle name="常规 10 9 21" xfId="4508"/>
    <cellStyle name="常规 10 9 22" xfId="4509"/>
    <cellStyle name="常规 10 9 23" xfId="4510"/>
    <cellStyle name="常规 10 9 3" xfId="4511"/>
    <cellStyle name="常规 10 9 4" xfId="4512"/>
    <cellStyle name="常规 10 9 5" xfId="4513"/>
    <cellStyle name="常规 10 9 6" xfId="4514"/>
    <cellStyle name="常规 10 9 7" xfId="4515"/>
    <cellStyle name="常规 10 9 8" xfId="4516"/>
    <cellStyle name="常规 10 9 9" xfId="4517"/>
    <cellStyle name="常规 100" xfId="24"/>
    <cellStyle name="常规 100 10" xfId="4518"/>
    <cellStyle name="常规 100 11" xfId="4519"/>
    <cellStyle name="常规 100 12" xfId="4520"/>
    <cellStyle name="常规 100 13" xfId="4521"/>
    <cellStyle name="常规 100 14" xfId="4522"/>
    <cellStyle name="常规 100 15" xfId="4523"/>
    <cellStyle name="常规 100 16" xfId="4524"/>
    <cellStyle name="常规 100 17" xfId="4525"/>
    <cellStyle name="常规 100 18" xfId="4526"/>
    <cellStyle name="常规 100 19" xfId="4527"/>
    <cellStyle name="常规 100 2" xfId="4528"/>
    <cellStyle name="常规 100 2 2" xfId="4529"/>
    <cellStyle name="常规 100 2 3" xfId="4530"/>
    <cellStyle name="常规 100 2 4" xfId="4531"/>
    <cellStyle name="常规 100 2 4 2" xfId="4532"/>
    <cellStyle name="常规 100 20" xfId="4533"/>
    <cellStyle name="常规 100 21" xfId="4534"/>
    <cellStyle name="常规 100 22" xfId="4535"/>
    <cellStyle name="常规 100 23" xfId="4536"/>
    <cellStyle name="常规 100 3" xfId="4537"/>
    <cellStyle name="常规 100 3 2" xfId="4538"/>
    <cellStyle name="常规 100 3 3" xfId="4539"/>
    <cellStyle name="常规 100 4" xfId="4540"/>
    <cellStyle name="常规 100 5" xfId="4541"/>
    <cellStyle name="常规 100 6" xfId="4542"/>
    <cellStyle name="常规 100 7" xfId="4543"/>
    <cellStyle name="常规 100 8" xfId="4544"/>
    <cellStyle name="常规 100 9" xfId="4545"/>
    <cellStyle name="常规 101" xfId="4546"/>
    <cellStyle name="常规 102" xfId="25"/>
    <cellStyle name="常规 102 2" xfId="4547"/>
    <cellStyle name="常规 102 3" xfId="4548"/>
    <cellStyle name="常规 103" xfId="4549"/>
    <cellStyle name="常规 103 2" xfId="4550"/>
    <cellStyle name="常规 103 3" xfId="4551"/>
    <cellStyle name="常规 104" xfId="4552"/>
    <cellStyle name="常规 105" xfId="4553"/>
    <cellStyle name="常规 105 2" xfId="4554"/>
    <cellStyle name="常规 106" xfId="4555"/>
    <cellStyle name="常规 106 2" xfId="4556"/>
    <cellStyle name="常规 107" xfId="4557"/>
    <cellStyle name="常规 107 2" xfId="4558"/>
    <cellStyle name="常规 108" xfId="4559"/>
    <cellStyle name="常规 108 2" xfId="4560"/>
    <cellStyle name="常规 109" xfId="4561"/>
    <cellStyle name="常规 109 2" xfId="4562"/>
    <cellStyle name="常规 11" xfId="20"/>
    <cellStyle name="常规 11 10" xfId="4563"/>
    <cellStyle name="常规 11 10 10" xfId="4564"/>
    <cellStyle name="常规 11 10 11" xfId="4565"/>
    <cellStyle name="常规 11 10 12" xfId="4566"/>
    <cellStyle name="常规 11 10 13" xfId="4567"/>
    <cellStyle name="常规 11 10 14" xfId="4568"/>
    <cellStyle name="常规 11 10 15" xfId="4569"/>
    <cellStyle name="常规 11 10 16" xfId="4570"/>
    <cellStyle name="常规 11 10 17" xfId="4571"/>
    <cellStyle name="常规 11 10 18" xfId="4572"/>
    <cellStyle name="常规 11 10 19" xfId="4573"/>
    <cellStyle name="常规 11 10 2" xfId="4574"/>
    <cellStyle name="常规 11 10 2 2" xfId="4575"/>
    <cellStyle name="常规 11 10 2 3" xfId="4576"/>
    <cellStyle name="常规 11 10 2 4" xfId="4577"/>
    <cellStyle name="常规 11 10 2 4 2" xfId="4578"/>
    <cellStyle name="常规 11 10 2 5" xfId="4579"/>
    <cellStyle name="常规 11 10 20" xfId="4580"/>
    <cellStyle name="常规 11 10 21" xfId="4581"/>
    <cellStyle name="常规 11 10 22" xfId="4582"/>
    <cellStyle name="常规 11 10 23" xfId="4583"/>
    <cellStyle name="常规 11 10 3" xfId="4584"/>
    <cellStyle name="常规 11 10 4" xfId="4585"/>
    <cellStyle name="常规 11 10 5" xfId="4586"/>
    <cellStyle name="常规 11 10 6" xfId="4587"/>
    <cellStyle name="常规 11 10 7" xfId="4588"/>
    <cellStyle name="常规 11 10 8" xfId="4589"/>
    <cellStyle name="常规 11 10 9" xfId="4590"/>
    <cellStyle name="常规 11 11" xfId="4591"/>
    <cellStyle name="常规 11 11 10" xfId="4592"/>
    <cellStyle name="常规 11 11 11" xfId="4593"/>
    <cellStyle name="常规 11 11 12" xfId="4594"/>
    <cellStyle name="常规 11 11 13" xfId="4595"/>
    <cellStyle name="常规 11 11 14" xfId="4596"/>
    <cellStyle name="常规 11 11 15" xfId="4597"/>
    <cellStyle name="常规 11 11 16" xfId="4598"/>
    <cellStyle name="常规 11 11 17" xfId="4599"/>
    <cellStyle name="常规 11 11 18" xfId="4600"/>
    <cellStyle name="常规 11 11 19" xfId="4601"/>
    <cellStyle name="常规 11 11 2" xfId="4602"/>
    <cellStyle name="常规 11 11 2 2" xfId="4603"/>
    <cellStyle name="常规 11 11 2 3" xfId="4604"/>
    <cellStyle name="常规 11 11 2 4" xfId="4605"/>
    <cellStyle name="常规 11 11 2 4 2" xfId="4606"/>
    <cellStyle name="常规 11 11 2 5" xfId="4607"/>
    <cellStyle name="常规 11 11 20" xfId="4608"/>
    <cellStyle name="常规 11 11 21" xfId="4609"/>
    <cellStyle name="常规 11 11 22" xfId="4610"/>
    <cellStyle name="常规 11 11 23" xfId="4611"/>
    <cellStyle name="常规 11 11 3" xfId="4612"/>
    <cellStyle name="常规 11 11 4" xfId="4613"/>
    <cellStyle name="常规 11 11 5" xfId="4614"/>
    <cellStyle name="常规 11 11 6" xfId="4615"/>
    <cellStyle name="常规 11 11 7" xfId="4616"/>
    <cellStyle name="常规 11 11 8" xfId="4617"/>
    <cellStyle name="常规 11 11 9" xfId="4618"/>
    <cellStyle name="常规 11 12" xfId="4619"/>
    <cellStyle name="常规 11 12 10" xfId="4620"/>
    <cellStyle name="常规 11 12 11" xfId="4621"/>
    <cellStyle name="常规 11 12 12" xfId="4622"/>
    <cellStyle name="常规 11 12 13" xfId="4623"/>
    <cellStyle name="常规 11 12 14" xfId="4624"/>
    <cellStyle name="常规 11 12 15" xfId="4625"/>
    <cellStyle name="常规 11 12 16" xfId="4626"/>
    <cellStyle name="常规 11 12 17" xfId="4627"/>
    <cellStyle name="常规 11 12 18" xfId="4628"/>
    <cellStyle name="常规 11 12 19" xfId="4629"/>
    <cellStyle name="常规 11 12 2" xfId="4630"/>
    <cellStyle name="常规 11 12 2 2" xfId="4631"/>
    <cellStyle name="常规 11 12 2 3" xfId="4632"/>
    <cellStyle name="常规 11 12 2 4" xfId="4633"/>
    <cellStyle name="常规 11 12 2 4 2" xfId="4634"/>
    <cellStyle name="常规 11 12 2 5" xfId="4635"/>
    <cellStyle name="常规 11 12 20" xfId="4636"/>
    <cellStyle name="常规 11 12 21" xfId="4637"/>
    <cellStyle name="常规 11 12 22" xfId="4638"/>
    <cellStyle name="常规 11 12 23" xfId="4639"/>
    <cellStyle name="常规 11 12 3" xfId="4640"/>
    <cellStyle name="常规 11 12 4" xfId="4641"/>
    <cellStyle name="常规 11 12 5" xfId="4642"/>
    <cellStyle name="常规 11 12 6" xfId="4643"/>
    <cellStyle name="常规 11 12 7" xfId="4644"/>
    <cellStyle name="常规 11 12 8" xfId="4645"/>
    <cellStyle name="常规 11 12 9" xfId="4646"/>
    <cellStyle name="常规 11 13" xfId="4647"/>
    <cellStyle name="常规 11 13 10" xfId="4648"/>
    <cellStyle name="常规 11 13 11" xfId="4649"/>
    <cellStyle name="常规 11 13 12" xfId="4650"/>
    <cellStyle name="常规 11 13 13" xfId="4651"/>
    <cellStyle name="常规 11 13 14" xfId="4652"/>
    <cellStyle name="常规 11 13 15" xfId="4653"/>
    <cellStyle name="常规 11 13 16" xfId="4654"/>
    <cellStyle name="常规 11 13 17" xfId="4655"/>
    <cellStyle name="常规 11 13 18" xfId="4656"/>
    <cellStyle name="常规 11 13 19" xfId="4657"/>
    <cellStyle name="常规 11 13 2" xfId="4658"/>
    <cellStyle name="常规 11 13 2 2" xfId="4659"/>
    <cellStyle name="常规 11 13 2 3" xfId="4660"/>
    <cellStyle name="常规 11 13 2 4" xfId="4661"/>
    <cellStyle name="常规 11 13 2 4 2" xfId="4662"/>
    <cellStyle name="常规 11 13 2 5" xfId="4663"/>
    <cellStyle name="常规 11 13 20" xfId="4664"/>
    <cellStyle name="常规 11 13 21" xfId="4665"/>
    <cellStyle name="常规 11 13 22" xfId="4666"/>
    <cellStyle name="常规 11 13 23" xfId="4667"/>
    <cellStyle name="常规 11 13 3" xfId="4668"/>
    <cellStyle name="常规 11 13 4" xfId="4669"/>
    <cellStyle name="常规 11 13 5" xfId="4670"/>
    <cellStyle name="常规 11 13 6" xfId="4671"/>
    <cellStyle name="常规 11 13 7" xfId="4672"/>
    <cellStyle name="常规 11 13 8" xfId="4673"/>
    <cellStyle name="常规 11 13 9" xfId="4674"/>
    <cellStyle name="常规 11 14" xfId="4675"/>
    <cellStyle name="常规 11 14 2" xfId="4676"/>
    <cellStyle name="常规 11 14 3" xfId="4677"/>
    <cellStyle name="常规 11 14 4" xfId="4678"/>
    <cellStyle name="常规 11 14 4 2" xfId="4679"/>
    <cellStyle name="常规 11 14 5" xfId="4680"/>
    <cellStyle name="常规 11 15" xfId="4681"/>
    <cellStyle name="常规 11 16" xfId="4682"/>
    <cellStyle name="常规 11 17" xfId="4683"/>
    <cellStyle name="常规 11 18" xfId="4684"/>
    <cellStyle name="常规 11 19" xfId="4685"/>
    <cellStyle name="常规 11 2" xfId="4686"/>
    <cellStyle name="常规 11 2 10" xfId="4687"/>
    <cellStyle name="常规 11 2 11" xfId="4688"/>
    <cellStyle name="常规 11 2 12" xfId="4689"/>
    <cellStyle name="常规 11 2 13" xfId="4690"/>
    <cellStyle name="常规 11 2 14" xfId="4691"/>
    <cellStyle name="常规 11 2 15" xfId="4692"/>
    <cellStyle name="常规 11 2 16" xfId="4693"/>
    <cellStyle name="常规 11 2 17" xfId="4694"/>
    <cellStyle name="常规 11 2 18" xfId="4695"/>
    <cellStyle name="常规 11 2 19" xfId="4696"/>
    <cellStyle name="常规 11 2 2" xfId="4697"/>
    <cellStyle name="常规 11 2 2 2" xfId="4698"/>
    <cellStyle name="常规 11 2 2 3" xfId="4699"/>
    <cellStyle name="常规 11 2 2 4" xfId="4700"/>
    <cellStyle name="常规 11 2 2 4 2" xfId="4701"/>
    <cellStyle name="常规 11 2 2 5" xfId="4702"/>
    <cellStyle name="常规 11 2 20" xfId="4703"/>
    <cellStyle name="常规 11 2 21" xfId="4704"/>
    <cellStyle name="常规 11 2 22" xfId="4705"/>
    <cellStyle name="常规 11 2 23" xfId="4706"/>
    <cellStyle name="常规 11 2 3" xfId="4707"/>
    <cellStyle name="常规 11 2 4" xfId="4708"/>
    <cellStyle name="常规 11 2 5" xfId="4709"/>
    <cellStyle name="常规 11 2 6" xfId="4710"/>
    <cellStyle name="常规 11 2 7" xfId="4711"/>
    <cellStyle name="常规 11 2 8" xfId="4712"/>
    <cellStyle name="常规 11 2 9" xfId="4713"/>
    <cellStyle name="常规 11 20" xfId="4714"/>
    <cellStyle name="常规 11 21" xfId="4715"/>
    <cellStyle name="常规 11 22" xfId="4716"/>
    <cellStyle name="常规 11 23" xfId="4717"/>
    <cellStyle name="常规 11 24" xfId="4718"/>
    <cellStyle name="常规 11 25" xfId="4719"/>
    <cellStyle name="常规 11 26" xfId="4720"/>
    <cellStyle name="常规 11 27" xfId="4721"/>
    <cellStyle name="常规 11 28" xfId="4722"/>
    <cellStyle name="常规 11 29" xfId="4723"/>
    <cellStyle name="常规 11 3" xfId="4724"/>
    <cellStyle name="常规 11 3 10" xfId="4725"/>
    <cellStyle name="常规 11 3 11" xfId="4726"/>
    <cellStyle name="常规 11 3 12" xfId="4727"/>
    <cellStyle name="常规 11 3 13" xfId="4728"/>
    <cellStyle name="常规 11 3 14" xfId="4729"/>
    <cellStyle name="常规 11 3 15" xfId="4730"/>
    <cellStyle name="常规 11 3 16" xfId="4731"/>
    <cellStyle name="常规 11 3 17" xfId="4732"/>
    <cellStyle name="常规 11 3 18" xfId="4733"/>
    <cellStyle name="常规 11 3 19" xfId="4734"/>
    <cellStyle name="常规 11 3 2" xfId="4735"/>
    <cellStyle name="常规 11 3 2 2" xfId="4736"/>
    <cellStyle name="常规 11 3 2 3" xfId="4737"/>
    <cellStyle name="常规 11 3 2 4" xfId="4738"/>
    <cellStyle name="常规 11 3 2 4 2" xfId="4739"/>
    <cellStyle name="常规 11 3 2 5" xfId="4740"/>
    <cellStyle name="常规 11 3 20" xfId="4741"/>
    <cellStyle name="常规 11 3 21" xfId="4742"/>
    <cellStyle name="常规 11 3 22" xfId="4743"/>
    <cellStyle name="常规 11 3 23" xfId="4744"/>
    <cellStyle name="常规 11 3 3" xfId="4745"/>
    <cellStyle name="常规 11 3 4" xfId="4746"/>
    <cellStyle name="常规 11 3 5" xfId="4747"/>
    <cellStyle name="常规 11 3 6" xfId="4748"/>
    <cellStyle name="常规 11 3 7" xfId="4749"/>
    <cellStyle name="常规 11 3 8" xfId="4750"/>
    <cellStyle name="常规 11 3 9" xfId="4751"/>
    <cellStyle name="常规 11 30" xfId="4752"/>
    <cellStyle name="常规 11 31" xfId="4753"/>
    <cellStyle name="常规 11 32" xfId="4754"/>
    <cellStyle name="常规 11 33" xfId="4755"/>
    <cellStyle name="常规 11 34" xfId="4756"/>
    <cellStyle name="常规 11 35" xfId="4757"/>
    <cellStyle name="常规 11 4" xfId="4758"/>
    <cellStyle name="常规 11 4 10" xfId="4759"/>
    <cellStyle name="常规 11 4 11" xfId="4760"/>
    <cellStyle name="常规 11 4 12" xfId="4761"/>
    <cellStyle name="常规 11 4 13" xfId="4762"/>
    <cellStyle name="常规 11 4 14" xfId="4763"/>
    <cellStyle name="常规 11 4 15" xfId="4764"/>
    <cellStyle name="常规 11 4 16" xfId="4765"/>
    <cellStyle name="常规 11 4 17" xfId="4766"/>
    <cellStyle name="常规 11 4 18" xfId="4767"/>
    <cellStyle name="常规 11 4 19" xfId="4768"/>
    <cellStyle name="常规 11 4 2" xfId="4769"/>
    <cellStyle name="常规 11 4 2 2" xfId="4770"/>
    <cellStyle name="常规 11 4 2 3" xfId="4771"/>
    <cellStyle name="常规 11 4 2 4" xfId="4772"/>
    <cellStyle name="常规 11 4 2 4 2" xfId="4773"/>
    <cellStyle name="常规 11 4 2 5" xfId="4774"/>
    <cellStyle name="常规 11 4 20" xfId="4775"/>
    <cellStyle name="常规 11 4 21" xfId="4776"/>
    <cellStyle name="常规 11 4 22" xfId="4777"/>
    <cellStyle name="常规 11 4 23" xfId="4778"/>
    <cellStyle name="常规 11 4 3" xfId="4779"/>
    <cellStyle name="常规 11 4 4" xfId="4780"/>
    <cellStyle name="常规 11 4 5" xfId="4781"/>
    <cellStyle name="常规 11 4 6" xfId="4782"/>
    <cellStyle name="常规 11 4 7" xfId="4783"/>
    <cellStyle name="常规 11 4 8" xfId="4784"/>
    <cellStyle name="常规 11 4 9" xfId="4785"/>
    <cellStyle name="常规 11 5" xfId="4786"/>
    <cellStyle name="常规 11 5 10" xfId="4787"/>
    <cellStyle name="常规 11 5 11" xfId="4788"/>
    <cellStyle name="常规 11 5 12" xfId="4789"/>
    <cellStyle name="常规 11 5 13" xfId="4790"/>
    <cellStyle name="常规 11 5 14" xfId="4791"/>
    <cellStyle name="常规 11 5 15" xfId="4792"/>
    <cellStyle name="常规 11 5 16" xfId="4793"/>
    <cellStyle name="常规 11 5 17" xfId="4794"/>
    <cellStyle name="常规 11 5 18" xfId="4795"/>
    <cellStyle name="常规 11 5 19" xfId="4796"/>
    <cellStyle name="常规 11 5 2" xfId="4797"/>
    <cellStyle name="常规 11 5 2 2" xfId="4798"/>
    <cellStyle name="常规 11 5 2 3" xfId="4799"/>
    <cellStyle name="常规 11 5 2 4" xfId="4800"/>
    <cellStyle name="常规 11 5 2 4 2" xfId="4801"/>
    <cellStyle name="常规 11 5 2 5" xfId="4802"/>
    <cellStyle name="常规 11 5 20" xfId="4803"/>
    <cellStyle name="常规 11 5 21" xfId="4804"/>
    <cellStyle name="常规 11 5 22" xfId="4805"/>
    <cellStyle name="常规 11 5 23" xfId="4806"/>
    <cellStyle name="常规 11 5 3" xfId="4807"/>
    <cellStyle name="常规 11 5 4" xfId="4808"/>
    <cellStyle name="常规 11 5 5" xfId="4809"/>
    <cellStyle name="常规 11 5 6" xfId="4810"/>
    <cellStyle name="常规 11 5 7" xfId="4811"/>
    <cellStyle name="常规 11 5 8" xfId="4812"/>
    <cellStyle name="常规 11 5 9" xfId="4813"/>
    <cellStyle name="常规 11 6" xfId="4814"/>
    <cellStyle name="常规 11 6 10" xfId="4815"/>
    <cellStyle name="常规 11 6 11" xfId="4816"/>
    <cellStyle name="常规 11 6 12" xfId="4817"/>
    <cellStyle name="常规 11 6 13" xfId="4818"/>
    <cellStyle name="常规 11 6 14" xfId="4819"/>
    <cellStyle name="常规 11 6 15" xfId="4820"/>
    <cellStyle name="常规 11 6 16" xfId="4821"/>
    <cellStyle name="常规 11 6 17" xfId="4822"/>
    <cellStyle name="常规 11 6 18" xfId="4823"/>
    <cellStyle name="常规 11 6 19" xfId="4824"/>
    <cellStyle name="常规 11 6 2" xfId="4825"/>
    <cellStyle name="常规 11 6 2 2" xfId="4826"/>
    <cellStyle name="常规 11 6 2 3" xfId="4827"/>
    <cellStyle name="常规 11 6 2 4" xfId="4828"/>
    <cellStyle name="常规 11 6 2 4 2" xfId="4829"/>
    <cellStyle name="常规 11 6 2 5" xfId="4830"/>
    <cellStyle name="常规 11 6 20" xfId="4831"/>
    <cellStyle name="常规 11 6 21" xfId="4832"/>
    <cellStyle name="常规 11 6 22" xfId="4833"/>
    <cellStyle name="常规 11 6 23" xfId="4834"/>
    <cellStyle name="常规 11 6 3" xfId="4835"/>
    <cellStyle name="常规 11 6 4" xfId="4836"/>
    <cellStyle name="常规 11 6 5" xfId="4837"/>
    <cellStyle name="常规 11 6 6" xfId="4838"/>
    <cellStyle name="常规 11 6 7" xfId="4839"/>
    <cellStyle name="常规 11 6 8" xfId="4840"/>
    <cellStyle name="常规 11 6 9" xfId="4841"/>
    <cellStyle name="常规 11 7" xfId="4842"/>
    <cellStyle name="常规 11 7 10" xfId="4843"/>
    <cellStyle name="常规 11 7 11" xfId="4844"/>
    <cellStyle name="常规 11 7 12" xfId="4845"/>
    <cellStyle name="常规 11 7 13" xfId="4846"/>
    <cellStyle name="常规 11 7 14" xfId="4847"/>
    <cellStyle name="常规 11 7 15" xfId="4848"/>
    <cellStyle name="常规 11 7 16" xfId="4849"/>
    <cellStyle name="常规 11 7 17" xfId="4850"/>
    <cellStyle name="常规 11 7 18" xfId="4851"/>
    <cellStyle name="常规 11 7 19" xfId="4852"/>
    <cellStyle name="常规 11 7 2" xfId="4853"/>
    <cellStyle name="常规 11 7 2 2" xfId="4854"/>
    <cellStyle name="常规 11 7 2 3" xfId="4855"/>
    <cellStyle name="常规 11 7 2 4" xfId="4856"/>
    <cellStyle name="常规 11 7 2 4 2" xfId="4857"/>
    <cellStyle name="常规 11 7 2 5" xfId="4858"/>
    <cellStyle name="常规 11 7 20" xfId="4859"/>
    <cellStyle name="常规 11 7 21" xfId="4860"/>
    <cellStyle name="常规 11 7 22" xfId="4861"/>
    <cellStyle name="常规 11 7 23" xfId="4862"/>
    <cellStyle name="常规 11 7 3" xfId="4863"/>
    <cellStyle name="常规 11 7 4" xfId="4864"/>
    <cellStyle name="常规 11 7 5" xfId="4865"/>
    <cellStyle name="常规 11 7 6" xfId="4866"/>
    <cellStyle name="常规 11 7 7" xfId="4867"/>
    <cellStyle name="常规 11 7 8" xfId="4868"/>
    <cellStyle name="常规 11 7 9" xfId="4869"/>
    <cellStyle name="常规 11 8" xfId="4870"/>
    <cellStyle name="常规 11 8 10" xfId="4871"/>
    <cellStyle name="常规 11 8 11" xfId="4872"/>
    <cellStyle name="常规 11 8 12" xfId="4873"/>
    <cellStyle name="常规 11 8 13" xfId="4874"/>
    <cellStyle name="常规 11 8 14" xfId="4875"/>
    <cellStyle name="常规 11 8 15" xfId="4876"/>
    <cellStyle name="常规 11 8 16" xfId="4877"/>
    <cellStyle name="常规 11 8 17" xfId="4878"/>
    <cellStyle name="常规 11 8 18" xfId="4879"/>
    <cellStyle name="常规 11 8 19" xfId="4880"/>
    <cellStyle name="常规 11 8 2" xfId="4881"/>
    <cellStyle name="常规 11 8 2 2" xfId="4882"/>
    <cellStyle name="常规 11 8 2 3" xfId="4883"/>
    <cellStyle name="常规 11 8 2 4" xfId="4884"/>
    <cellStyle name="常规 11 8 2 4 2" xfId="4885"/>
    <cellStyle name="常规 11 8 2 5" xfId="4886"/>
    <cellStyle name="常规 11 8 20" xfId="4887"/>
    <cellStyle name="常规 11 8 21" xfId="4888"/>
    <cellStyle name="常规 11 8 22" xfId="4889"/>
    <cellStyle name="常规 11 8 23" xfId="4890"/>
    <cellStyle name="常规 11 8 3" xfId="4891"/>
    <cellStyle name="常规 11 8 4" xfId="4892"/>
    <cellStyle name="常规 11 8 5" xfId="4893"/>
    <cellStyle name="常规 11 8 6" xfId="4894"/>
    <cellStyle name="常规 11 8 7" xfId="4895"/>
    <cellStyle name="常规 11 8 8" xfId="4896"/>
    <cellStyle name="常规 11 8 9" xfId="4897"/>
    <cellStyle name="常规 11 9" xfId="4898"/>
    <cellStyle name="常规 11 9 10" xfId="4899"/>
    <cellStyle name="常规 11 9 11" xfId="4900"/>
    <cellStyle name="常规 11 9 12" xfId="4901"/>
    <cellStyle name="常规 11 9 13" xfId="4902"/>
    <cellStyle name="常规 11 9 14" xfId="4903"/>
    <cellStyle name="常规 11 9 15" xfId="4904"/>
    <cellStyle name="常规 11 9 16" xfId="4905"/>
    <cellStyle name="常规 11 9 17" xfId="4906"/>
    <cellStyle name="常规 11 9 18" xfId="4907"/>
    <cellStyle name="常规 11 9 19" xfId="4908"/>
    <cellStyle name="常规 11 9 2" xfId="4909"/>
    <cellStyle name="常规 11 9 2 2" xfId="4910"/>
    <cellStyle name="常规 11 9 2 3" xfId="4911"/>
    <cellStyle name="常规 11 9 2 4" xfId="4912"/>
    <cellStyle name="常规 11 9 2 4 2" xfId="4913"/>
    <cellStyle name="常规 11 9 2 5" xfId="4914"/>
    <cellStyle name="常规 11 9 20" xfId="4915"/>
    <cellStyle name="常规 11 9 21" xfId="4916"/>
    <cellStyle name="常规 11 9 22" xfId="4917"/>
    <cellStyle name="常规 11 9 23" xfId="4918"/>
    <cellStyle name="常规 11 9 3" xfId="4919"/>
    <cellStyle name="常规 11 9 4" xfId="4920"/>
    <cellStyle name="常规 11 9 5" xfId="4921"/>
    <cellStyle name="常规 11 9 6" xfId="4922"/>
    <cellStyle name="常规 11 9 7" xfId="4923"/>
    <cellStyle name="常规 11 9 8" xfId="4924"/>
    <cellStyle name="常规 11 9 9" xfId="4925"/>
    <cellStyle name="常规 110" xfId="4926"/>
    <cellStyle name="常规 110 2" xfId="4927"/>
    <cellStyle name="常规 111" xfId="4928"/>
    <cellStyle name="常规 112" xfId="4929"/>
    <cellStyle name="常规 112 2" xfId="4930"/>
    <cellStyle name="常规 113" xfId="4931"/>
    <cellStyle name="常规 113 2" xfId="4932"/>
    <cellStyle name="常规 114" xfId="26"/>
    <cellStyle name="常规 115" xfId="22"/>
    <cellStyle name="常规 12" xfId="4933"/>
    <cellStyle name="常规 12 10" xfId="4934"/>
    <cellStyle name="常规 12 10 10" xfId="4935"/>
    <cellStyle name="常规 12 10 11" xfId="4936"/>
    <cellStyle name="常规 12 10 12" xfId="4937"/>
    <cellStyle name="常规 12 10 13" xfId="4938"/>
    <cellStyle name="常规 12 10 14" xfId="4939"/>
    <cellStyle name="常规 12 10 15" xfId="4940"/>
    <cellStyle name="常规 12 10 16" xfId="4941"/>
    <cellStyle name="常规 12 10 17" xfId="4942"/>
    <cellStyle name="常规 12 10 18" xfId="4943"/>
    <cellStyle name="常规 12 10 19" xfId="4944"/>
    <cellStyle name="常规 12 10 2" xfId="4945"/>
    <cellStyle name="常规 12 10 2 2" xfId="4946"/>
    <cellStyle name="常规 12 10 2 3" xfId="4947"/>
    <cellStyle name="常规 12 10 2 4" xfId="4948"/>
    <cellStyle name="常规 12 10 2 5" xfId="4949"/>
    <cellStyle name="常规 12 10 2 5 2" xfId="4950"/>
    <cellStyle name="常规 12 10 2 6" xfId="4951"/>
    <cellStyle name="常规 12 10 20" xfId="4952"/>
    <cellStyle name="常规 12 10 21" xfId="4953"/>
    <cellStyle name="常规 12 10 22" xfId="4954"/>
    <cellStyle name="常规 12 10 23" xfId="4955"/>
    <cellStyle name="常规 12 10 3" xfId="4956"/>
    <cellStyle name="常规 12 10 4" xfId="4957"/>
    <cellStyle name="常规 12 10 5" xfId="4958"/>
    <cellStyle name="常规 12 10 6" xfId="4959"/>
    <cellStyle name="常规 12 10 7" xfId="4960"/>
    <cellStyle name="常规 12 10 8" xfId="4961"/>
    <cellStyle name="常规 12 10 9" xfId="4962"/>
    <cellStyle name="常规 12 11" xfId="4963"/>
    <cellStyle name="常规 12 11 10" xfId="4964"/>
    <cellStyle name="常规 12 11 11" xfId="4965"/>
    <cellStyle name="常规 12 11 12" xfId="4966"/>
    <cellStyle name="常规 12 11 13" xfId="4967"/>
    <cellStyle name="常规 12 11 14" xfId="4968"/>
    <cellStyle name="常规 12 11 15" xfId="4969"/>
    <cellStyle name="常规 12 11 16" xfId="4970"/>
    <cellStyle name="常规 12 11 17" xfId="4971"/>
    <cellStyle name="常规 12 11 18" xfId="4972"/>
    <cellStyle name="常规 12 11 19" xfId="4973"/>
    <cellStyle name="常规 12 11 2" xfId="4974"/>
    <cellStyle name="常规 12 11 2 2" xfId="4975"/>
    <cellStyle name="常规 12 11 2 3" xfId="4976"/>
    <cellStyle name="常规 12 11 2 4" xfId="4977"/>
    <cellStyle name="常规 12 11 2 5" xfId="4978"/>
    <cellStyle name="常规 12 11 2 5 2" xfId="4979"/>
    <cellStyle name="常规 12 11 2 6" xfId="4980"/>
    <cellStyle name="常规 12 11 20" xfId="4981"/>
    <cellStyle name="常规 12 11 21" xfId="4982"/>
    <cellStyle name="常规 12 11 22" xfId="4983"/>
    <cellStyle name="常规 12 11 23" xfId="4984"/>
    <cellStyle name="常规 12 11 24" xfId="4985"/>
    <cellStyle name="常规 12 11 3" xfId="4986"/>
    <cellStyle name="常规 12 11 4" xfId="4987"/>
    <cellStyle name="常规 12 11 5" xfId="4988"/>
    <cellStyle name="常规 12 11 6" xfId="4989"/>
    <cellStyle name="常规 12 11 7" xfId="4990"/>
    <cellStyle name="常规 12 11 8" xfId="4991"/>
    <cellStyle name="常规 12 11 9" xfId="4992"/>
    <cellStyle name="常规 12 12" xfId="4993"/>
    <cellStyle name="常规 12 12 10" xfId="4994"/>
    <cellStyle name="常规 12 12 11" xfId="4995"/>
    <cellStyle name="常规 12 12 12" xfId="4996"/>
    <cellStyle name="常规 12 12 13" xfId="4997"/>
    <cellStyle name="常规 12 12 14" xfId="4998"/>
    <cellStyle name="常规 12 12 15" xfId="4999"/>
    <cellStyle name="常规 12 12 16" xfId="5000"/>
    <cellStyle name="常规 12 12 17" xfId="5001"/>
    <cellStyle name="常规 12 12 18" xfId="5002"/>
    <cellStyle name="常规 12 12 19" xfId="5003"/>
    <cellStyle name="常规 12 12 2" xfId="5004"/>
    <cellStyle name="常规 12 12 2 2" xfId="5005"/>
    <cellStyle name="常规 12 12 2 3" xfId="5006"/>
    <cellStyle name="常规 12 12 2 4" xfId="5007"/>
    <cellStyle name="常规 12 12 2 5" xfId="5008"/>
    <cellStyle name="常规 12 12 2 5 2" xfId="5009"/>
    <cellStyle name="常规 12 12 2 6" xfId="5010"/>
    <cellStyle name="常规 12 12 20" xfId="5011"/>
    <cellStyle name="常规 12 12 21" xfId="5012"/>
    <cellStyle name="常规 12 12 22" xfId="5013"/>
    <cellStyle name="常规 12 12 23" xfId="5014"/>
    <cellStyle name="常规 12 12 24" xfId="5015"/>
    <cellStyle name="常规 12 12 3" xfId="5016"/>
    <cellStyle name="常规 12 12 4" xfId="5017"/>
    <cellStyle name="常规 12 12 5" xfId="5018"/>
    <cellStyle name="常规 12 12 6" xfId="5019"/>
    <cellStyle name="常规 12 12 7" xfId="5020"/>
    <cellStyle name="常规 12 12 8" xfId="5021"/>
    <cellStyle name="常规 12 12 9" xfId="5022"/>
    <cellStyle name="常规 12 13" xfId="5023"/>
    <cellStyle name="常规 12 13 10" xfId="5024"/>
    <cellStyle name="常规 12 13 11" xfId="5025"/>
    <cellStyle name="常规 12 13 12" xfId="5026"/>
    <cellStyle name="常规 12 13 13" xfId="5027"/>
    <cellStyle name="常规 12 13 14" xfId="5028"/>
    <cellStyle name="常规 12 13 15" xfId="5029"/>
    <cellStyle name="常规 12 13 16" xfId="5030"/>
    <cellStyle name="常规 12 13 17" xfId="5031"/>
    <cellStyle name="常规 12 13 18" xfId="5032"/>
    <cellStyle name="常规 12 13 19" xfId="5033"/>
    <cellStyle name="常规 12 13 2" xfId="5034"/>
    <cellStyle name="常规 12 13 2 2" xfId="5035"/>
    <cellStyle name="常规 12 13 2 3" xfId="5036"/>
    <cellStyle name="常规 12 13 2 4" xfId="5037"/>
    <cellStyle name="常规 12 13 2 5" xfId="5038"/>
    <cellStyle name="常规 12 13 2 5 2" xfId="5039"/>
    <cellStyle name="常规 12 13 2 6" xfId="5040"/>
    <cellStyle name="常规 12 13 20" xfId="5041"/>
    <cellStyle name="常规 12 13 21" xfId="5042"/>
    <cellStyle name="常规 12 13 22" xfId="5043"/>
    <cellStyle name="常规 12 13 23" xfId="5044"/>
    <cellStyle name="常规 12 13 24" xfId="5045"/>
    <cellStyle name="常规 12 13 3" xfId="5046"/>
    <cellStyle name="常规 12 13 4" xfId="5047"/>
    <cellStyle name="常规 12 13 5" xfId="5048"/>
    <cellStyle name="常规 12 13 6" xfId="5049"/>
    <cellStyle name="常规 12 13 7" xfId="5050"/>
    <cellStyle name="常规 12 13 8" xfId="5051"/>
    <cellStyle name="常规 12 13 9" xfId="5052"/>
    <cellStyle name="常规 12 14" xfId="5053"/>
    <cellStyle name="常规 12 14 2" xfId="5054"/>
    <cellStyle name="常规 12 14 3" xfId="5055"/>
    <cellStyle name="常规 12 14 4" xfId="5056"/>
    <cellStyle name="常规 12 14 5" xfId="5057"/>
    <cellStyle name="常规 12 14 5 2" xfId="5058"/>
    <cellStyle name="常规 12 14 6" xfId="5059"/>
    <cellStyle name="常规 12 15" xfId="5060"/>
    <cellStyle name="常规 12 16" xfId="5061"/>
    <cellStyle name="常规 12 17" xfId="5062"/>
    <cellStyle name="常规 12 18" xfId="5063"/>
    <cellStyle name="常规 12 19" xfId="5064"/>
    <cellStyle name="常规 12 2" xfId="5065"/>
    <cellStyle name="常规 12 2 10" xfId="5066"/>
    <cellStyle name="常规 12 2 11" xfId="5067"/>
    <cellStyle name="常规 12 2 12" xfId="5068"/>
    <cellStyle name="常规 12 2 13" xfId="5069"/>
    <cellStyle name="常规 12 2 14" xfId="5070"/>
    <cellStyle name="常规 12 2 15" xfId="5071"/>
    <cellStyle name="常规 12 2 16" xfId="5072"/>
    <cellStyle name="常规 12 2 17" xfId="5073"/>
    <cellStyle name="常规 12 2 18" xfId="5074"/>
    <cellStyle name="常规 12 2 19" xfId="5075"/>
    <cellStyle name="常规 12 2 2" xfId="5076"/>
    <cellStyle name="常规 12 2 2 10" xfId="5077"/>
    <cellStyle name="常规 12 2 2 11" xfId="5078"/>
    <cellStyle name="常规 12 2 2 12" xfId="5079"/>
    <cellStyle name="常规 12 2 2 13" xfId="5080"/>
    <cellStyle name="常规 12 2 2 14" xfId="5081"/>
    <cellStyle name="常规 12 2 2 15" xfId="5082"/>
    <cellStyle name="常规 12 2 2 16" xfId="5083"/>
    <cellStyle name="常规 12 2 2 17" xfId="5084"/>
    <cellStyle name="常规 12 2 2 18" xfId="5085"/>
    <cellStyle name="常规 12 2 2 19" xfId="5086"/>
    <cellStyle name="常规 12 2 2 2" xfId="5087"/>
    <cellStyle name="常规 12 2 2 2 2" xfId="5088"/>
    <cellStyle name="常规 12 2 2 2 3" xfId="5089"/>
    <cellStyle name="常规 12 2 2 2 4" xfId="5090"/>
    <cellStyle name="常规 12 2 2 2 5" xfId="5091"/>
    <cellStyle name="常规 12 2 2 2 5 2" xfId="5092"/>
    <cellStyle name="常规 12 2 2 2 6" xfId="5093"/>
    <cellStyle name="常规 12 2 2 20" xfId="5094"/>
    <cellStyle name="常规 12 2 2 21" xfId="5095"/>
    <cellStyle name="常规 12 2 2 22" xfId="5096"/>
    <cellStyle name="常规 12 2 2 23" xfId="5097"/>
    <cellStyle name="常规 12 2 2 24" xfId="5098"/>
    <cellStyle name="常规 12 2 2 3" xfId="5099"/>
    <cellStyle name="常规 12 2 2 4" xfId="5100"/>
    <cellStyle name="常规 12 2 2 5" xfId="5101"/>
    <cellStyle name="常规 12 2 2 6" xfId="5102"/>
    <cellStyle name="常规 12 2 2 7" xfId="5103"/>
    <cellStyle name="常规 12 2 2 8" xfId="5104"/>
    <cellStyle name="常规 12 2 2 9" xfId="5105"/>
    <cellStyle name="常规 12 2 20" xfId="5106"/>
    <cellStyle name="常规 12 2 21" xfId="5107"/>
    <cellStyle name="常规 12 2 22" xfId="5108"/>
    <cellStyle name="常规 12 2 23" xfId="5109"/>
    <cellStyle name="常规 12 2 24" xfId="5110"/>
    <cellStyle name="常规 12 2 25" xfId="5111"/>
    <cellStyle name="常规 12 2 3" xfId="5112"/>
    <cellStyle name="常规 12 2 3 2" xfId="5113"/>
    <cellStyle name="常规 12 2 3 3" xfId="5114"/>
    <cellStyle name="常规 12 2 3 4" xfId="5115"/>
    <cellStyle name="常规 12 2 3 5" xfId="5116"/>
    <cellStyle name="常规 12 2 3 5 2" xfId="5117"/>
    <cellStyle name="常规 12 2 3 6" xfId="5118"/>
    <cellStyle name="常规 12 2 4" xfId="5119"/>
    <cellStyle name="常规 12 2 5" xfId="5120"/>
    <cellStyle name="常规 12 2 6" xfId="5121"/>
    <cellStyle name="常规 12 2 7" xfId="5122"/>
    <cellStyle name="常规 12 2 8" xfId="5123"/>
    <cellStyle name="常规 12 2 9" xfId="5124"/>
    <cellStyle name="常规 12 20" xfId="5125"/>
    <cellStyle name="常规 12 21" xfId="5126"/>
    <cellStyle name="常规 12 22" xfId="5127"/>
    <cellStyle name="常规 12 23" xfId="5128"/>
    <cellStyle name="常规 12 24" xfId="5129"/>
    <cellStyle name="常规 12 25" xfId="5130"/>
    <cellStyle name="常规 12 26" xfId="5131"/>
    <cellStyle name="常规 12 27" xfId="5132"/>
    <cellStyle name="常规 12 28" xfId="5133"/>
    <cellStyle name="常规 12 29" xfId="5134"/>
    <cellStyle name="常规 12 3" xfId="5135"/>
    <cellStyle name="常规 12 3 10" xfId="5136"/>
    <cellStyle name="常规 12 3 11" xfId="5137"/>
    <cellStyle name="常规 12 3 12" xfId="5138"/>
    <cellStyle name="常规 12 3 13" xfId="5139"/>
    <cellStyle name="常规 12 3 14" xfId="5140"/>
    <cellStyle name="常规 12 3 15" xfId="5141"/>
    <cellStyle name="常规 12 3 16" xfId="5142"/>
    <cellStyle name="常规 12 3 17" xfId="5143"/>
    <cellStyle name="常规 12 3 18" xfId="5144"/>
    <cellStyle name="常规 12 3 19" xfId="5145"/>
    <cellStyle name="常规 12 3 2" xfId="5146"/>
    <cellStyle name="常规 12 3 2 2" xfId="5147"/>
    <cellStyle name="常规 12 3 2 3" xfId="5148"/>
    <cellStyle name="常规 12 3 2 4" xfId="5149"/>
    <cellStyle name="常规 12 3 2 5" xfId="5150"/>
    <cellStyle name="常规 12 3 2 5 2" xfId="5151"/>
    <cellStyle name="常规 12 3 2 6" xfId="5152"/>
    <cellStyle name="常规 12 3 20" xfId="5153"/>
    <cellStyle name="常规 12 3 21" xfId="5154"/>
    <cellStyle name="常规 12 3 22" xfId="5155"/>
    <cellStyle name="常规 12 3 23" xfId="5156"/>
    <cellStyle name="常规 12 3 24" xfId="5157"/>
    <cellStyle name="常规 12 3 3" xfId="5158"/>
    <cellStyle name="常规 12 3 4" xfId="5159"/>
    <cellStyle name="常规 12 3 5" xfId="5160"/>
    <cellStyle name="常规 12 3 6" xfId="5161"/>
    <cellStyle name="常规 12 3 7" xfId="5162"/>
    <cellStyle name="常规 12 3 8" xfId="5163"/>
    <cellStyle name="常规 12 3 9" xfId="5164"/>
    <cellStyle name="常规 12 30" xfId="5165"/>
    <cellStyle name="常规 12 31" xfId="5166"/>
    <cellStyle name="常规 12 32" xfId="5167"/>
    <cellStyle name="常规 12 33" xfId="5168"/>
    <cellStyle name="常规 12 34" xfId="5169"/>
    <cellStyle name="常规 12 35" xfId="5170"/>
    <cellStyle name="常规 12 4" xfId="5171"/>
    <cellStyle name="常规 12 4 10" xfId="5172"/>
    <cellStyle name="常规 12 4 11" xfId="5173"/>
    <cellStyle name="常规 12 4 12" xfId="5174"/>
    <cellStyle name="常规 12 4 13" xfId="5175"/>
    <cellStyle name="常规 12 4 14" xfId="5176"/>
    <cellStyle name="常规 12 4 15" xfId="5177"/>
    <cellStyle name="常规 12 4 16" xfId="5178"/>
    <cellStyle name="常规 12 4 17" xfId="5179"/>
    <cellStyle name="常规 12 4 18" xfId="5180"/>
    <cellStyle name="常规 12 4 19" xfId="5181"/>
    <cellStyle name="常规 12 4 2" xfId="5182"/>
    <cellStyle name="常规 12 4 2 2" xfId="5183"/>
    <cellStyle name="常规 12 4 2 3" xfId="5184"/>
    <cellStyle name="常规 12 4 2 4" xfId="5185"/>
    <cellStyle name="常规 12 4 2 5" xfId="5186"/>
    <cellStyle name="常规 12 4 2 5 2" xfId="5187"/>
    <cellStyle name="常规 12 4 2 6" xfId="5188"/>
    <cellStyle name="常规 12 4 20" xfId="5189"/>
    <cellStyle name="常规 12 4 21" xfId="5190"/>
    <cellStyle name="常规 12 4 22" xfId="5191"/>
    <cellStyle name="常规 12 4 23" xfId="5192"/>
    <cellStyle name="常规 12 4 24" xfId="5193"/>
    <cellStyle name="常规 12 4 3" xfId="5194"/>
    <cellStyle name="常规 12 4 4" xfId="5195"/>
    <cellStyle name="常规 12 4 5" xfId="5196"/>
    <cellStyle name="常规 12 4 6" xfId="5197"/>
    <cellStyle name="常规 12 4 7" xfId="5198"/>
    <cellStyle name="常规 12 4 8" xfId="5199"/>
    <cellStyle name="常规 12 4 9" xfId="5200"/>
    <cellStyle name="常规 12 5" xfId="5201"/>
    <cellStyle name="常规 12 5 10" xfId="5202"/>
    <cellStyle name="常规 12 5 11" xfId="5203"/>
    <cellStyle name="常规 12 5 12" xfId="5204"/>
    <cellStyle name="常规 12 5 13" xfId="5205"/>
    <cellStyle name="常规 12 5 14" xfId="5206"/>
    <cellStyle name="常规 12 5 15" xfId="5207"/>
    <cellStyle name="常规 12 5 16" xfId="5208"/>
    <cellStyle name="常规 12 5 17" xfId="5209"/>
    <cellStyle name="常规 12 5 18" xfId="5210"/>
    <cellStyle name="常规 12 5 19" xfId="5211"/>
    <cellStyle name="常规 12 5 2" xfId="5212"/>
    <cellStyle name="常规 12 5 2 2" xfId="5213"/>
    <cellStyle name="常规 12 5 2 3" xfId="5214"/>
    <cellStyle name="常规 12 5 2 4" xfId="5215"/>
    <cellStyle name="常规 12 5 2 5" xfId="5216"/>
    <cellStyle name="常规 12 5 2 5 2" xfId="5217"/>
    <cellStyle name="常规 12 5 2 6" xfId="5218"/>
    <cellStyle name="常规 12 5 20" xfId="5219"/>
    <cellStyle name="常规 12 5 21" xfId="5220"/>
    <cellStyle name="常规 12 5 22" xfId="5221"/>
    <cellStyle name="常规 12 5 23" xfId="5222"/>
    <cellStyle name="常规 12 5 24" xfId="5223"/>
    <cellStyle name="常规 12 5 3" xfId="5224"/>
    <cellStyle name="常规 12 5 4" xfId="5225"/>
    <cellStyle name="常规 12 5 5" xfId="5226"/>
    <cellStyle name="常规 12 5 6" xfId="5227"/>
    <cellStyle name="常规 12 5 7" xfId="5228"/>
    <cellStyle name="常规 12 5 8" xfId="5229"/>
    <cellStyle name="常规 12 5 9" xfId="5230"/>
    <cellStyle name="常规 12 6" xfId="5231"/>
    <cellStyle name="常规 12 6 10" xfId="5232"/>
    <cellStyle name="常规 12 6 11" xfId="5233"/>
    <cellStyle name="常规 12 6 12" xfId="5234"/>
    <cellStyle name="常规 12 6 13" xfId="5235"/>
    <cellStyle name="常规 12 6 14" xfId="5236"/>
    <cellStyle name="常规 12 6 15" xfId="5237"/>
    <cellStyle name="常规 12 6 16" xfId="5238"/>
    <cellStyle name="常规 12 6 17" xfId="5239"/>
    <cellStyle name="常规 12 6 18" xfId="5240"/>
    <cellStyle name="常规 12 6 19" xfId="5241"/>
    <cellStyle name="常规 12 6 2" xfId="5242"/>
    <cellStyle name="常规 12 6 2 2" xfId="5243"/>
    <cellStyle name="常规 12 6 2 3" xfId="5244"/>
    <cellStyle name="常规 12 6 2 4" xfId="5245"/>
    <cellStyle name="常规 12 6 2 5" xfId="5246"/>
    <cellStyle name="常规 12 6 2 5 2" xfId="5247"/>
    <cellStyle name="常规 12 6 2 6" xfId="5248"/>
    <cellStyle name="常规 12 6 20" xfId="5249"/>
    <cellStyle name="常规 12 6 21" xfId="5250"/>
    <cellStyle name="常规 12 6 22" xfId="5251"/>
    <cellStyle name="常规 12 6 23" xfId="5252"/>
    <cellStyle name="常规 12 6 24" xfId="5253"/>
    <cellStyle name="常规 12 6 3" xfId="5254"/>
    <cellStyle name="常规 12 6 4" xfId="5255"/>
    <cellStyle name="常规 12 6 5" xfId="5256"/>
    <cellStyle name="常规 12 6 6" xfId="5257"/>
    <cellStyle name="常规 12 6 7" xfId="5258"/>
    <cellStyle name="常规 12 6 8" xfId="5259"/>
    <cellStyle name="常规 12 6 9" xfId="5260"/>
    <cellStyle name="常规 12 7" xfId="5261"/>
    <cellStyle name="常规 12 7 10" xfId="5262"/>
    <cellStyle name="常规 12 7 11" xfId="5263"/>
    <cellStyle name="常规 12 7 12" xfId="5264"/>
    <cellStyle name="常规 12 7 13" xfId="5265"/>
    <cellStyle name="常规 12 7 14" xfId="5266"/>
    <cellStyle name="常规 12 7 15" xfId="5267"/>
    <cellStyle name="常规 12 7 16" xfId="5268"/>
    <cellStyle name="常规 12 7 17" xfId="5269"/>
    <cellStyle name="常规 12 7 18" xfId="5270"/>
    <cellStyle name="常规 12 7 19" xfId="5271"/>
    <cellStyle name="常规 12 7 2" xfId="5272"/>
    <cellStyle name="常规 12 7 2 2" xfId="5273"/>
    <cellStyle name="常规 12 7 2 3" xfId="5274"/>
    <cellStyle name="常规 12 7 2 4" xfId="5275"/>
    <cellStyle name="常规 12 7 2 5" xfId="5276"/>
    <cellStyle name="常规 12 7 2 5 2" xfId="5277"/>
    <cellStyle name="常规 12 7 2 6" xfId="5278"/>
    <cellStyle name="常规 12 7 20" xfId="5279"/>
    <cellStyle name="常规 12 7 21" xfId="5280"/>
    <cellStyle name="常规 12 7 22" xfId="5281"/>
    <cellStyle name="常规 12 7 23" xfId="5282"/>
    <cellStyle name="常规 12 7 24" xfId="5283"/>
    <cellStyle name="常规 12 7 3" xfId="5284"/>
    <cellStyle name="常规 12 7 4" xfId="5285"/>
    <cellStyle name="常规 12 7 5" xfId="5286"/>
    <cellStyle name="常规 12 7 6" xfId="5287"/>
    <cellStyle name="常规 12 7 7" xfId="5288"/>
    <cellStyle name="常规 12 7 8" xfId="5289"/>
    <cellStyle name="常规 12 7 9" xfId="5290"/>
    <cellStyle name="常规 12 8" xfId="5291"/>
    <cellStyle name="常规 12 8 10" xfId="5292"/>
    <cellStyle name="常规 12 8 11" xfId="5293"/>
    <cellStyle name="常规 12 8 12" xfId="5294"/>
    <cellStyle name="常规 12 8 13" xfId="5295"/>
    <cellStyle name="常规 12 8 14" xfId="5296"/>
    <cellStyle name="常规 12 8 15" xfId="5297"/>
    <cellStyle name="常规 12 8 16" xfId="5298"/>
    <cellStyle name="常规 12 8 17" xfId="5299"/>
    <cellStyle name="常规 12 8 18" xfId="5300"/>
    <cellStyle name="常规 12 8 19" xfId="5301"/>
    <cellStyle name="常规 12 8 2" xfId="5302"/>
    <cellStyle name="常规 12 8 2 2" xfId="5303"/>
    <cellStyle name="常规 12 8 2 3" xfId="5304"/>
    <cellStyle name="常规 12 8 2 4" xfId="5305"/>
    <cellStyle name="常规 12 8 2 5" xfId="5306"/>
    <cellStyle name="常规 12 8 2 5 2" xfId="5307"/>
    <cellStyle name="常规 12 8 2 6" xfId="5308"/>
    <cellStyle name="常规 12 8 20" xfId="5309"/>
    <cellStyle name="常规 12 8 21" xfId="5310"/>
    <cellStyle name="常规 12 8 22" xfId="5311"/>
    <cellStyle name="常规 12 8 23" xfId="5312"/>
    <cellStyle name="常规 12 8 24" xfId="5313"/>
    <cellStyle name="常规 12 8 3" xfId="5314"/>
    <cellStyle name="常规 12 8 4" xfId="5315"/>
    <cellStyle name="常规 12 8 5" xfId="5316"/>
    <cellStyle name="常规 12 8 6" xfId="5317"/>
    <cellStyle name="常规 12 8 7" xfId="5318"/>
    <cellStyle name="常规 12 8 8" xfId="5319"/>
    <cellStyle name="常规 12 8 9" xfId="5320"/>
    <cellStyle name="常规 12 9" xfId="5321"/>
    <cellStyle name="常规 12 9 10" xfId="5322"/>
    <cellStyle name="常规 12 9 11" xfId="5323"/>
    <cellStyle name="常规 12 9 12" xfId="5324"/>
    <cellStyle name="常规 12 9 13" xfId="5325"/>
    <cellStyle name="常规 12 9 14" xfId="5326"/>
    <cellStyle name="常规 12 9 15" xfId="5327"/>
    <cellStyle name="常规 12 9 16" xfId="5328"/>
    <cellStyle name="常规 12 9 17" xfId="5329"/>
    <cellStyle name="常规 12 9 18" xfId="5330"/>
    <cellStyle name="常规 12 9 19" xfId="5331"/>
    <cellStyle name="常规 12 9 2" xfId="5332"/>
    <cellStyle name="常规 12 9 2 2" xfId="5333"/>
    <cellStyle name="常规 12 9 2 3" xfId="5334"/>
    <cellStyle name="常规 12 9 2 4" xfId="5335"/>
    <cellStyle name="常规 12 9 2 5" xfId="5336"/>
    <cellStyle name="常规 12 9 2 5 2" xfId="5337"/>
    <cellStyle name="常规 12 9 2 6" xfId="5338"/>
    <cellStyle name="常规 12 9 20" xfId="5339"/>
    <cellStyle name="常规 12 9 21" xfId="5340"/>
    <cellStyle name="常规 12 9 22" xfId="5341"/>
    <cellStyle name="常规 12 9 23" xfId="5342"/>
    <cellStyle name="常规 12 9 24" xfId="5343"/>
    <cellStyle name="常规 12 9 3" xfId="5344"/>
    <cellStyle name="常规 12 9 4" xfId="5345"/>
    <cellStyle name="常规 12 9 5" xfId="5346"/>
    <cellStyle name="常规 12 9 6" xfId="5347"/>
    <cellStyle name="常规 12 9 7" xfId="5348"/>
    <cellStyle name="常规 12 9 8" xfId="5349"/>
    <cellStyle name="常规 12 9 9" xfId="5350"/>
    <cellStyle name="常规 13" xfId="5351"/>
    <cellStyle name="常规 13 10" xfId="5352"/>
    <cellStyle name="常规 13 10 10" xfId="5353"/>
    <cellStyle name="常规 13 10 11" xfId="5354"/>
    <cellStyle name="常规 13 10 12" xfId="5355"/>
    <cellStyle name="常规 13 10 13" xfId="5356"/>
    <cellStyle name="常规 13 10 14" xfId="5357"/>
    <cellStyle name="常规 13 10 15" xfId="5358"/>
    <cellStyle name="常规 13 10 16" xfId="5359"/>
    <cellStyle name="常规 13 10 17" xfId="5360"/>
    <cellStyle name="常规 13 10 18" xfId="5361"/>
    <cellStyle name="常规 13 10 19" xfId="5362"/>
    <cellStyle name="常规 13 10 2" xfId="5363"/>
    <cellStyle name="常规 13 10 2 2" xfId="5364"/>
    <cellStyle name="常规 13 10 2 3" xfId="5365"/>
    <cellStyle name="常规 13 10 2 4" xfId="5366"/>
    <cellStyle name="常规 13 10 2 5" xfId="5367"/>
    <cellStyle name="常规 13 10 2 5 2" xfId="5368"/>
    <cellStyle name="常规 13 10 2 6" xfId="5369"/>
    <cellStyle name="常规 13 10 20" xfId="5370"/>
    <cellStyle name="常规 13 10 21" xfId="5371"/>
    <cellStyle name="常规 13 10 22" xfId="5372"/>
    <cellStyle name="常规 13 10 23" xfId="5373"/>
    <cellStyle name="常规 13 10 24" xfId="5374"/>
    <cellStyle name="常规 13 10 3" xfId="5375"/>
    <cellStyle name="常规 13 10 4" xfId="5376"/>
    <cellStyle name="常规 13 10 5" xfId="5377"/>
    <cellStyle name="常规 13 10 6" xfId="5378"/>
    <cellStyle name="常规 13 10 7" xfId="5379"/>
    <cellStyle name="常规 13 10 8" xfId="5380"/>
    <cellStyle name="常规 13 10 9" xfId="5381"/>
    <cellStyle name="常规 13 11" xfId="5382"/>
    <cellStyle name="常规 13 11 10" xfId="5383"/>
    <cellStyle name="常规 13 11 11" xfId="5384"/>
    <cellStyle name="常规 13 11 12" xfId="5385"/>
    <cellStyle name="常规 13 11 13" xfId="5386"/>
    <cellStyle name="常规 13 11 14" xfId="5387"/>
    <cellStyle name="常规 13 11 15" xfId="5388"/>
    <cellStyle name="常规 13 11 16" xfId="5389"/>
    <cellStyle name="常规 13 11 17" xfId="5390"/>
    <cellStyle name="常规 13 11 18" xfId="5391"/>
    <cellStyle name="常规 13 11 19" xfId="5392"/>
    <cellStyle name="常规 13 11 2" xfId="5393"/>
    <cellStyle name="常规 13 11 2 2" xfId="5394"/>
    <cellStyle name="常规 13 11 2 3" xfId="5395"/>
    <cellStyle name="常规 13 11 2 4" xfId="5396"/>
    <cellStyle name="常规 13 11 2 5" xfId="5397"/>
    <cellStyle name="常规 13 11 2 5 2" xfId="5398"/>
    <cellStyle name="常规 13 11 2 6" xfId="5399"/>
    <cellStyle name="常规 13 11 20" xfId="5400"/>
    <cellStyle name="常规 13 11 21" xfId="5401"/>
    <cellStyle name="常规 13 11 22" xfId="5402"/>
    <cellStyle name="常规 13 11 23" xfId="5403"/>
    <cellStyle name="常规 13 11 24" xfId="5404"/>
    <cellStyle name="常规 13 11 3" xfId="5405"/>
    <cellStyle name="常规 13 11 4" xfId="5406"/>
    <cellStyle name="常规 13 11 5" xfId="5407"/>
    <cellStyle name="常规 13 11 6" xfId="5408"/>
    <cellStyle name="常规 13 11 7" xfId="5409"/>
    <cellStyle name="常规 13 11 8" xfId="5410"/>
    <cellStyle name="常规 13 11 9" xfId="5411"/>
    <cellStyle name="常规 13 12" xfId="5412"/>
    <cellStyle name="常规 13 12 10" xfId="5413"/>
    <cellStyle name="常规 13 12 11" xfId="5414"/>
    <cellStyle name="常规 13 12 12" xfId="5415"/>
    <cellStyle name="常规 13 12 13" xfId="5416"/>
    <cellStyle name="常规 13 12 14" xfId="5417"/>
    <cellStyle name="常规 13 12 15" xfId="5418"/>
    <cellStyle name="常规 13 12 16" xfId="5419"/>
    <cellStyle name="常规 13 12 17" xfId="5420"/>
    <cellStyle name="常规 13 12 18" xfId="5421"/>
    <cellStyle name="常规 13 12 19" xfId="5422"/>
    <cellStyle name="常规 13 12 2" xfId="5423"/>
    <cellStyle name="常规 13 12 2 2" xfId="5424"/>
    <cellStyle name="常规 13 12 2 3" xfId="5425"/>
    <cellStyle name="常规 13 12 2 4" xfId="5426"/>
    <cellStyle name="常规 13 12 2 5" xfId="5427"/>
    <cellStyle name="常规 13 12 2 5 2" xfId="5428"/>
    <cellStyle name="常规 13 12 2 6" xfId="5429"/>
    <cellStyle name="常规 13 12 20" xfId="5430"/>
    <cellStyle name="常规 13 12 21" xfId="5431"/>
    <cellStyle name="常规 13 12 3" xfId="5432"/>
    <cellStyle name="常规 13 12 4" xfId="5433"/>
    <cellStyle name="常规 13 12 5" xfId="5434"/>
    <cellStyle name="常规 13 12 6" xfId="5435"/>
    <cellStyle name="常规 13 12 7" xfId="5436"/>
    <cellStyle name="常规 13 12 8" xfId="5437"/>
    <cellStyle name="常规 13 12 9" xfId="5438"/>
    <cellStyle name="常规 13 13" xfId="5439"/>
    <cellStyle name="常规 13 13 2" xfId="5440"/>
    <cellStyle name="常规 13 13 2 2" xfId="5441"/>
    <cellStyle name="常规 13 13 2 3" xfId="5442"/>
    <cellStyle name="常规 13 13 2 4" xfId="5443"/>
    <cellStyle name="常规 13 13 2 5" xfId="5444"/>
    <cellStyle name="常规 13 13 2 5 2" xfId="5445"/>
    <cellStyle name="常规 13 13 2 6" xfId="5446"/>
    <cellStyle name="常规 13 13 3" xfId="5447"/>
    <cellStyle name="常规 13 14" xfId="5448"/>
    <cellStyle name="常规 13 14 2" xfId="5449"/>
    <cellStyle name="常规 13 14 3" xfId="5450"/>
    <cellStyle name="常规 13 14 4" xfId="5451"/>
    <cellStyle name="常规 13 14 5" xfId="5452"/>
    <cellStyle name="常规 13 14 5 2" xfId="5453"/>
    <cellStyle name="常规 13 14 6" xfId="5454"/>
    <cellStyle name="常规 13 15" xfId="5455"/>
    <cellStyle name="常规 13 16" xfId="5456"/>
    <cellStyle name="常规 13 2" xfId="5457"/>
    <cellStyle name="常规 13 2 2" xfId="5458"/>
    <cellStyle name="常规 13 2 2 2" xfId="5459"/>
    <cellStyle name="常规 13 2 2 2 2" xfId="5460"/>
    <cellStyle name="常规 13 2 2 2 3" xfId="5461"/>
    <cellStyle name="常规 13 2 2 2 4" xfId="5462"/>
    <cellStyle name="常规 13 2 2 2 5" xfId="5463"/>
    <cellStyle name="常规 13 2 2 2 5 2" xfId="5464"/>
    <cellStyle name="常规 13 2 2 2 6" xfId="5465"/>
    <cellStyle name="常规 13 2 2 3" xfId="5466"/>
    <cellStyle name="常规 13 2 3" xfId="5467"/>
    <cellStyle name="常规 13 2 3 2" xfId="5468"/>
    <cellStyle name="常规 13 2 3 3" xfId="5469"/>
    <cellStyle name="常规 13 2 3 4" xfId="5470"/>
    <cellStyle name="常规 13 2 3 5" xfId="5471"/>
    <cellStyle name="常规 13 2 3 5 2" xfId="5472"/>
    <cellStyle name="常规 13 2 3 6" xfId="5473"/>
    <cellStyle name="常规 13 2 4" xfId="5474"/>
    <cellStyle name="常规 13 3" xfId="5475"/>
    <cellStyle name="常规 13 3 2" xfId="5476"/>
    <cellStyle name="常规 13 3 2 2" xfId="5477"/>
    <cellStyle name="常规 13 3 2 3" xfId="5478"/>
    <cellStyle name="常规 13 3 2 4" xfId="5479"/>
    <cellStyle name="常规 13 3 2 5" xfId="5480"/>
    <cellStyle name="常规 13 3 2 5 2" xfId="5481"/>
    <cellStyle name="常规 13 3 2 6" xfId="5482"/>
    <cellStyle name="常规 13 3 3" xfId="5483"/>
    <cellStyle name="常规 13 4" xfId="5484"/>
    <cellStyle name="常规 13 4 2" xfId="5485"/>
    <cellStyle name="常规 13 4 2 2" xfId="5486"/>
    <cellStyle name="常规 13 4 2 3" xfId="5487"/>
    <cellStyle name="常规 13 4 2 4" xfId="5488"/>
    <cellStyle name="常规 13 4 2 5" xfId="5489"/>
    <cellStyle name="常规 13 4 2 5 2" xfId="5490"/>
    <cellStyle name="常规 13 4 2 6" xfId="5491"/>
    <cellStyle name="常规 13 4 3" xfId="5492"/>
    <cellStyle name="常规 13 5" xfId="5493"/>
    <cellStyle name="常规 13 5 2" xfId="5494"/>
    <cellStyle name="常规 13 5 2 2" xfId="5495"/>
    <cellStyle name="常规 13 5 2 3" xfId="5496"/>
    <cellStyle name="常规 13 5 2 4" xfId="5497"/>
    <cellStyle name="常规 13 5 2 5" xfId="5498"/>
    <cellStyle name="常规 13 5 2 5 2" xfId="5499"/>
    <cellStyle name="常规 13 5 2 6" xfId="5500"/>
    <cellStyle name="常规 13 5 3" xfId="5501"/>
    <cellStyle name="常规 13 6" xfId="5502"/>
    <cellStyle name="常规 13 6 2" xfId="5503"/>
    <cellStyle name="常规 13 6 2 2" xfId="5504"/>
    <cellStyle name="常规 13 6 2 3" xfId="5505"/>
    <cellStyle name="常规 13 6 2 4" xfId="5506"/>
    <cellStyle name="常规 13 6 2 5" xfId="5507"/>
    <cellStyle name="常规 13 6 2 5 2" xfId="5508"/>
    <cellStyle name="常规 13 6 2 6" xfId="5509"/>
    <cellStyle name="常规 13 6 3" xfId="5510"/>
    <cellStyle name="常规 13 7" xfId="5511"/>
    <cellStyle name="常规 13 7 2" xfId="5512"/>
    <cellStyle name="常规 13 7 2 2" xfId="5513"/>
    <cellStyle name="常规 13 7 2 3" xfId="5514"/>
    <cellStyle name="常规 13 7 2 4" xfId="5515"/>
    <cellStyle name="常规 13 7 2 5" xfId="5516"/>
    <cellStyle name="常规 13 7 2 5 2" xfId="5517"/>
    <cellStyle name="常规 13 7 2 6" xfId="5518"/>
    <cellStyle name="常规 13 7 3" xfId="5519"/>
    <cellStyle name="常规 13 8" xfId="5520"/>
    <cellStyle name="常规 13 8 2" xfId="5521"/>
    <cellStyle name="常规 13 8 2 2" xfId="5522"/>
    <cellStyle name="常规 13 8 2 3" xfId="5523"/>
    <cellStyle name="常规 13 8 2 4" xfId="5524"/>
    <cellStyle name="常规 13 8 2 5" xfId="5525"/>
    <cellStyle name="常规 13 8 2 5 2" xfId="5526"/>
    <cellStyle name="常规 13 8 2 6" xfId="5527"/>
    <cellStyle name="常规 13 8 3" xfId="5528"/>
    <cellStyle name="常规 13 9" xfId="5529"/>
    <cellStyle name="常规 13 9 2" xfId="5530"/>
    <cellStyle name="常规 13 9 2 2" xfId="5531"/>
    <cellStyle name="常规 13 9 2 3" xfId="5532"/>
    <cellStyle name="常规 13 9 2 4" xfId="5533"/>
    <cellStyle name="常规 13 9 2 5" xfId="5534"/>
    <cellStyle name="常规 13 9 2 5 2" xfId="5535"/>
    <cellStyle name="常规 13 9 2 6" xfId="5536"/>
    <cellStyle name="常规 13 9 3" xfId="5537"/>
    <cellStyle name="常规 14" xfId="5538"/>
    <cellStyle name="常规 14 10" xfId="5539"/>
    <cellStyle name="常规 14 10 2" xfId="5540"/>
    <cellStyle name="常规 14 10 2 2" xfId="5541"/>
    <cellStyle name="常规 14 10 2 3" xfId="5542"/>
    <cellStyle name="常规 14 10 2 4" xfId="5543"/>
    <cellStyle name="常规 14 10 2 5" xfId="5544"/>
    <cellStyle name="常规 14 10 2 5 2" xfId="5545"/>
    <cellStyle name="常规 14 10 2 6" xfId="5546"/>
    <cellStyle name="常规 14 10 3" xfId="5547"/>
    <cellStyle name="常规 14 11" xfId="5548"/>
    <cellStyle name="常规 14 11 2" xfId="5549"/>
    <cellStyle name="常规 14 11 2 2" xfId="5550"/>
    <cellStyle name="常规 14 11 2 3" xfId="5551"/>
    <cellStyle name="常规 14 11 2 4" xfId="5552"/>
    <cellStyle name="常规 14 11 2 5" xfId="5553"/>
    <cellStyle name="常规 14 11 2 5 2" xfId="5554"/>
    <cellStyle name="常规 14 11 2 6" xfId="5555"/>
    <cellStyle name="常规 14 11 3" xfId="5556"/>
    <cellStyle name="常规 14 12" xfId="5557"/>
    <cellStyle name="常规 14 12 2" xfId="5558"/>
    <cellStyle name="常规 14 12 2 2" xfId="5559"/>
    <cellStyle name="常规 14 12 2 3" xfId="5560"/>
    <cellStyle name="常规 14 12 2 4" xfId="5561"/>
    <cellStyle name="常规 14 12 2 5" xfId="5562"/>
    <cellStyle name="常规 14 12 2 5 2" xfId="5563"/>
    <cellStyle name="常规 14 12 2 6" xfId="5564"/>
    <cellStyle name="常规 14 12 3" xfId="5565"/>
    <cellStyle name="常规 14 13" xfId="5566"/>
    <cellStyle name="常规 14 13 2" xfId="5567"/>
    <cellStyle name="常规 14 13 2 2" xfId="5568"/>
    <cellStyle name="常规 14 13 2 3" xfId="5569"/>
    <cellStyle name="常规 14 13 2 4" xfId="5570"/>
    <cellStyle name="常规 14 13 2 5" xfId="5571"/>
    <cellStyle name="常规 14 13 2 5 2" xfId="5572"/>
    <cellStyle name="常规 14 13 2 6" xfId="5573"/>
    <cellStyle name="常规 14 13 3" xfId="5574"/>
    <cellStyle name="常规 14 14" xfId="5575"/>
    <cellStyle name="常规 14 14 2" xfId="5576"/>
    <cellStyle name="常规 14 14 3" xfId="5577"/>
    <cellStyle name="常规 14 14 4" xfId="5578"/>
    <cellStyle name="常规 14 14 5" xfId="5579"/>
    <cellStyle name="常规 14 14 5 2" xfId="5580"/>
    <cellStyle name="常规 14 14 6" xfId="5581"/>
    <cellStyle name="常规 14 15" xfId="5582"/>
    <cellStyle name="常规 14 2" xfId="5583"/>
    <cellStyle name="常规 14 2 2" xfId="5584"/>
    <cellStyle name="常规 14 2 2 2" xfId="5585"/>
    <cellStyle name="常规 14 2 2 2 2" xfId="5586"/>
    <cellStyle name="常规 14 2 2 2 3" xfId="5587"/>
    <cellStyle name="常规 14 2 2 2 4" xfId="5588"/>
    <cellStyle name="常规 14 2 2 2 5" xfId="5589"/>
    <cellStyle name="常规 14 2 2 2 5 2" xfId="5590"/>
    <cellStyle name="常规 14 2 2 2 6" xfId="5591"/>
    <cellStyle name="常规 14 2 2 3" xfId="5592"/>
    <cellStyle name="常规 14 2 3" xfId="5593"/>
    <cellStyle name="常规 14 2 3 2" xfId="5594"/>
    <cellStyle name="常规 14 2 3 3" xfId="5595"/>
    <cellStyle name="常规 14 2 3 4" xfId="5596"/>
    <cellStyle name="常规 14 2 3 5" xfId="5597"/>
    <cellStyle name="常规 14 2 3 5 2" xfId="5598"/>
    <cellStyle name="常规 14 2 3 6" xfId="5599"/>
    <cellStyle name="常规 14 2 4" xfId="5600"/>
    <cellStyle name="常规 14 3" xfId="5601"/>
    <cellStyle name="常规 14 3 2" xfId="5602"/>
    <cellStyle name="常规 14 3 2 2" xfId="5603"/>
    <cellStyle name="常规 14 3 2 3" xfId="5604"/>
    <cellStyle name="常规 14 3 2 4" xfId="5605"/>
    <cellStyle name="常规 14 3 2 5" xfId="5606"/>
    <cellStyle name="常规 14 3 2 5 2" xfId="5607"/>
    <cellStyle name="常规 14 3 2 6" xfId="5608"/>
    <cellStyle name="常规 14 3 3" xfId="5609"/>
    <cellStyle name="常规 14 4" xfId="5610"/>
    <cellStyle name="常规 14 4 2" xfId="5611"/>
    <cellStyle name="常规 14 4 2 2" xfId="5612"/>
    <cellStyle name="常规 14 4 2 3" xfId="5613"/>
    <cellStyle name="常规 14 4 2 4" xfId="5614"/>
    <cellStyle name="常规 14 4 2 5" xfId="5615"/>
    <cellStyle name="常规 14 4 2 5 2" xfId="5616"/>
    <cellStyle name="常规 14 4 2 6" xfId="5617"/>
    <cellStyle name="常规 14 4 3" xfId="5618"/>
    <cellStyle name="常规 14 5" xfId="5619"/>
    <cellStyle name="常规 14 5 2" xfId="5620"/>
    <cellStyle name="常规 14 5 2 2" xfId="5621"/>
    <cellStyle name="常规 14 5 2 3" xfId="5622"/>
    <cellStyle name="常规 14 5 2 4" xfId="5623"/>
    <cellStyle name="常规 14 5 2 5" xfId="5624"/>
    <cellStyle name="常规 14 5 2 5 2" xfId="5625"/>
    <cellStyle name="常规 14 5 2 6" xfId="5626"/>
    <cellStyle name="常规 14 5 3" xfId="5627"/>
    <cellStyle name="常规 14 6" xfId="5628"/>
    <cellStyle name="常规 14 6 2" xfId="5629"/>
    <cellStyle name="常规 14 6 2 2" xfId="5630"/>
    <cellStyle name="常规 14 6 2 3" xfId="5631"/>
    <cellStyle name="常规 14 6 2 4" xfId="5632"/>
    <cellStyle name="常规 14 6 2 5" xfId="5633"/>
    <cellStyle name="常规 14 6 2 5 2" xfId="5634"/>
    <cellStyle name="常规 14 6 2 6" xfId="5635"/>
    <cellStyle name="常规 14 6 3" xfId="5636"/>
    <cellStyle name="常规 14 7" xfId="5637"/>
    <cellStyle name="常规 14 7 2" xfId="5638"/>
    <cellStyle name="常规 14 7 2 2" xfId="5639"/>
    <cellStyle name="常规 14 7 2 3" xfId="5640"/>
    <cellStyle name="常规 14 7 2 4" xfId="5641"/>
    <cellStyle name="常规 14 7 2 5" xfId="5642"/>
    <cellStyle name="常规 14 7 2 5 2" xfId="5643"/>
    <cellStyle name="常规 14 7 2 6" xfId="5644"/>
    <cellStyle name="常规 14 7 3" xfId="5645"/>
    <cellStyle name="常规 14 8" xfId="5646"/>
    <cellStyle name="常规 14 8 2" xfId="5647"/>
    <cellStyle name="常规 14 8 2 2" xfId="5648"/>
    <cellStyle name="常规 14 8 2 3" xfId="5649"/>
    <cellStyle name="常规 14 8 2 4" xfId="5650"/>
    <cellStyle name="常规 14 8 2 5" xfId="5651"/>
    <cellStyle name="常规 14 8 2 5 2" xfId="5652"/>
    <cellStyle name="常规 14 8 2 6" xfId="5653"/>
    <cellStyle name="常规 14 8 3" xfId="5654"/>
    <cellStyle name="常规 14 9" xfId="5655"/>
    <cellStyle name="常规 14 9 2" xfId="5656"/>
    <cellStyle name="常规 14 9 2 2" xfId="5657"/>
    <cellStyle name="常规 14 9 2 3" xfId="5658"/>
    <cellStyle name="常规 14 9 2 4" xfId="5659"/>
    <cellStyle name="常规 14 9 2 5" xfId="5660"/>
    <cellStyle name="常规 14 9 2 5 2" xfId="5661"/>
    <cellStyle name="常规 14 9 2 6" xfId="5662"/>
    <cellStyle name="常规 14 9 3" xfId="5663"/>
    <cellStyle name="常规 15" xfId="5664"/>
    <cellStyle name="常规 15 10" xfId="5665"/>
    <cellStyle name="常规 15 10 2" xfId="5666"/>
    <cellStyle name="常规 15 10 2 2" xfId="5667"/>
    <cellStyle name="常规 15 10 2 3" xfId="5668"/>
    <cellStyle name="常规 15 10 2 4" xfId="5669"/>
    <cellStyle name="常规 15 10 2 5" xfId="5670"/>
    <cellStyle name="常规 15 10 2 5 2" xfId="5671"/>
    <cellStyle name="常规 15 10 2 6" xfId="5672"/>
    <cellStyle name="常规 15 10 3" xfId="5673"/>
    <cellStyle name="常规 15 11" xfId="5674"/>
    <cellStyle name="常规 15 11 2" xfId="5675"/>
    <cellStyle name="常规 15 11 2 2" xfId="5676"/>
    <cellStyle name="常规 15 11 2 3" xfId="5677"/>
    <cellStyle name="常规 15 11 2 4" xfId="5678"/>
    <cellStyle name="常规 15 11 2 5" xfId="5679"/>
    <cellStyle name="常规 15 11 2 5 2" xfId="5680"/>
    <cellStyle name="常规 15 11 2 6" xfId="5681"/>
    <cellStyle name="常规 15 11 3" xfId="5682"/>
    <cellStyle name="常规 15 12" xfId="5683"/>
    <cellStyle name="常规 15 12 2" xfId="5684"/>
    <cellStyle name="常规 15 12 2 2" xfId="5685"/>
    <cellStyle name="常规 15 12 2 3" xfId="5686"/>
    <cellStyle name="常规 15 12 2 4" xfId="5687"/>
    <cellStyle name="常规 15 12 2 5" xfId="5688"/>
    <cellStyle name="常规 15 12 2 5 2" xfId="5689"/>
    <cellStyle name="常规 15 12 2 6" xfId="5690"/>
    <cellStyle name="常规 15 12 3" xfId="5691"/>
    <cellStyle name="常规 15 13" xfId="5692"/>
    <cellStyle name="常规 15 13 2" xfId="5693"/>
    <cellStyle name="常规 15 13 2 2" xfId="5694"/>
    <cellStyle name="常规 15 13 2 3" xfId="5695"/>
    <cellStyle name="常规 15 13 2 4" xfId="5696"/>
    <cellStyle name="常规 15 13 2 5" xfId="5697"/>
    <cellStyle name="常规 15 13 2 5 2" xfId="5698"/>
    <cellStyle name="常规 15 13 2 6" xfId="5699"/>
    <cellStyle name="常规 15 13 3" xfId="5700"/>
    <cellStyle name="常规 15 14" xfId="5701"/>
    <cellStyle name="常规 15 14 2" xfId="5702"/>
    <cellStyle name="常规 15 14 3" xfId="5703"/>
    <cellStyle name="常规 15 14 4" xfId="5704"/>
    <cellStyle name="常规 15 14 5" xfId="5705"/>
    <cellStyle name="常规 15 14 5 2" xfId="5706"/>
    <cellStyle name="常规 15 14 6" xfId="5707"/>
    <cellStyle name="常规 15 15" xfId="5708"/>
    <cellStyle name="常规 15 2" xfId="5709"/>
    <cellStyle name="常规 15 2 2" xfId="5710"/>
    <cellStyle name="常规 15 2 2 2" xfId="5711"/>
    <cellStyle name="常规 15 2 2 2 2" xfId="5712"/>
    <cellStyle name="常规 15 2 2 2 3" xfId="5713"/>
    <cellStyle name="常规 15 2 2 2 4" xfId="5714"/>
    <cellStyle name="常规 15 2 2 2 5" xfId="5715"/>
    <cellStyle name="常规 15 2 2 2 5 2" xfId="5716"/>
    <cellStyle name="常规 15 2 2 2 6" xfId="5717"/>
    <cellStyle name="常规 15 2 2 3" xfId="5718"/>
    <cellStyle name="常规 15 2 3" xfId="5719"/>
    <cellStyle name="常规 15 2 3 2" xfId="5720"/>
    <cellStyle name="常规 15 2 3 3" xfId="5721"/>
    <cellStyle name="常规 15 2 3 4" xfId="5722"/>
    <cellStyle name="常规 15 2 3 5" xfId="5723"/>
    <cellStyle name="常规 15 2 3 5 2" xfId="5724"/>
    <cellStyle name="常规 15 2 3 6" xfId="5725"/>
    <cellStyle name="常规 15 2 4" xfId="5726"/>
    <cellStyle name="常规 15 3" xfId="5727"/>
    <cellStyle name="常规 15 3 2" xfId="5728"/>
    <cellStyle name="常规 15 3 2 2" xfId="5729"/>
    <cellStyle name="常规 15 3 2 3" xfId="5730"/>
    <cellStyle name="常规 15 3 2 4" xfId="5731"/>
    <cellStyle name="常规 15 3 2 5" xfId="5732"/>
    <cellStyle name="常规 15 3 2 5 2" xfId="5733"/>
    <cellStyle name="常规 15 3 2 6" xfId="5734"/>
    <cellStyle name="常规 15 3 3" xfId="5735"/>
    <cellStyle name="常规 15 4" xfId="5736"/>
    <cellStyle name="常规 15 4 2" xfId="5737"/>
    <cellStyle name="常规 15 4 2 2" xfId="5738"/>
    <cellStyle name="常规 15 4 2 3" xfId="5739"/>
    <cellStyle name="常规 15 4 2 4" xfId="5740"/>
    <cellStyle name="常规 15 4 2 5" xfId="5741"/>
    <cellStyle name="常规 15 4 2 5 2" xfId="5742"/>
    <cellStyle name="常规 15 4 2 6" xfId="5743"/>
    <cellStyle name="常规 15 4 3" xfId="5744"/>
    <cellStyle name="常规 15 5" xfId="5745"/>
    <cellStyle name="常规 15 5 2" xfId="5746"/>
    <cellStyle name="常规 15 5 2 2" xfId="5747"/>
    <cellStyle name="常规 15 5 2 3" xfId="5748"/>
    <cellStyle name="常规 15 5 2 4" xfId="5749"/>
    <cellStyle name="常规 15 5 2 5" xfId="5750"/>
    <cellStyle name="常规 15 5 2 5 2" xfId="5751"/>
    <cellStyle name="常规 15 5 2 6" xfId="5752"/>
    <cellStyle name="常规 15 5 3" xfId="5753"/>
    <cellStyle name="常规 15 6" xfId="5754"/>
    <cellStyle name="常规 15 6 2" xfId="5755"/>
    <cellStyle name="常规 15 6 2 2" xfId="5756"/>
    <cellStyle name="常规 15 6 2 3" xfId="5757"/>
    <cellStyle name="常规 15 6 2 4" xfId="5758"/>
    <cellStyle name="常规 15 6 2 5" xfId="5759"/>
    <cellStyle name="常规 15 6 2 5 2" xfId="5760"/>
    <cellStyle name="常规 15 6 2 6" xfId="5761"/>
    <cellStyle name="常规 15 6 3" xfId="5762"/>
    <cellStyle name="常规 15 7" xfId="5763"/>
    <cellStyle name="常规 15 7 2" xfId="5764"/>
    <cellStyle name="常规 15 7 2 2" xfId="5765"/>
    <cellStyle name="常规 15 7 2 3" xfId="5766"/>
    <cellStyle name="常规 15 7 2 4" xfId="5767"/>
    <cellStyle name="常规 15 7 2 5" xfId="5768"/>
    <cellStyle name="常规 15 7 2 5 2" xfId="5769"/>
    <cellStyle name="常规 15 7 2 6" xfId="5770"/>
    <cellStyle name="常规 15 7 3" xfId="5771"/>
    <cellStyle name="常规 15 8" xfId="5772"/>
    <cellStyle name="常规 15 8 2" xfId="5773"/>
    <cellStyle name="常规 15 8 2 2" xfId="5774"/>
    <cellStyle name="常规 15 8 2 3" xfId="5775"/>
    <cellStyle name="常规 15 8 2 4" xfId="5776"/>
    <cellStyle name="常规 15 8 2 5" xfId="5777"/>
    <cellStyle name="常规 15 8 2 5 2" xfId="5778"/>
    <cellStyle name="常规 15 8 2 6" xfId="5779"/>
    <cellStyle name="常规 15 8 3" xfId="5780"/>
    <cellStyle name="常规 15 9" xfId="5781"/>
    <cellStyle name="常规 15 9 2" xfId="5782"/>
    <cellStyle name="常规 15 9 2 2" xfId="5783"/>
    <cellStyle name="常规 15 9 2 3" xfId="5784"/>
    <cellStyle name="常规 15 9 2 4" xfId="5785"/>
    <cellStyle name="常规 15 9 2 5" xfId="5786"/>
    <cellStyle name="常规 15 9 2 5 2" xfId="5787"/>
    <cellStyle name="常规 15 9 2 6" xfId="5788"/>
    <cellStyle name="常规 15 9 3" xfId="5789"/>
    <cellStyle name="常规 16" xfId="10"/>
    <cellStyle name="常规 16 10" xfId="5790"/>
    <cellStyle name="常规 16 10 2" xfId="5791"/>
    <cellStyle name="常规 16 10 2 2" xfId="5792"/>
    <cellStyle name="常规 16 10 2 3" xfId="5793"/>
    <cellStyle name="常规 16 10 2 4" xfId="5794"/>
    <cellStyle name="常规 16 10 2 5" xfId="5795"/>
    <cellStyle name="常规 16 10 2 5 2" xfId="5796"/>
    <cellStyle name="常规 16 10 2 6" xfId="5797"/>
    <cellStyle name="常规 16 10 3" xfId="5798"/>
    <cellStyle name="常规 16 11" xfId="5799"/>
    <cellStyle name="常规 16 11 2" xfId="5800"/>
    <cellStyle name="常规 16 11 2 2" xfId="5801"/>
    <cellStyle name="常规 16 11 2 3" xfId="5802"/>
    <cellStyle name="常规 16 11 2 4" xfId="5803"/>
    <cellStyle name="常规 16 11 2 5" xfId="5804"/>
    <cellStyle name="常规 16 11 2 5 2" xfId="5805"/>
    <cellStyle name="常规 16 11 2 6" xfId="5806"/>
    <cellStyle name="常规 16 11 3" xfId="5807"/>
    <cellStyle name="常规 16 12" xfId="5808"/>
    <cellStyle name="常规 16 12 2" xfId="5809"/>
    <cellStyle name="常规 16 12 2 2" xfId="5810"/>
    <cellStyle name="常规 16 12 2 3" xfId="5811"/>
    <cellStyle name="常规 16 12 2 4" xfId="5812"/>
    <cellStyle name="常规 16 12 2 5" xfId="5813"/>
    <cellStyle name="常规 16 12 2 5 2" xfId="5814"/>
    <cellStyle name="常规 16 12 2 6" xfId="5815"/>
    <cellStyle name="常规 16 12 3" xfId="5816"/>
    <cellStyle name="常规 16 13" xfId="5817"/>
    <cellStyle name="常规 16 13 2" xfId="5818"/>
    <cellStyle name="常规 16 13 2 2" xfId="5819"/>
    <cellStyle name="常规 16 13 2 3" xfId="5820"/>
    <cellStyle name="常规 16 13 2 4" xfId="5821"/>
    <cellStyle name="常规 16 13 2 5" xfId="5822"/>
    <cellStyle name="常规 16 13 2 5 2" xfId="5823"/>
    <cellStyle name="常规 16 13 2 6" xfId="5824"/>
    <cellStyle name="常规 16 13 3" xfId="5825"/>
    <cellStyle name="常规 16 14" xfId="5826"/>
    <cellStyle name="常规 16 14 2" xfId="5827"/>
    <cellStyle name="常规 16 14 3" xfId="5828"/>
    <cellStyle name="常规 16 14 4" xfId="5829"/>
    <cellStyle name="常规 16 14 5" xfId="5830"/>
    <cellStyle name="常规 16 14 5 2" xfId="5831"/>
    <cellStyle name="常规 16 14 6" xfId="5832"/>
    <cellStyle name="常规 16 15" xfId="5833"/>
    <cellStyle name="常规 16 2" xfId="5834"/>
    <cellStyle name="常规 16 2 2" xfId="5835"/>
    <cellStyle name="常规 16 2 2 2" xfId="5836"/>
    <cellStyle name="常规 16 2 2 2 2" xfId="5837"/>
    <cellStyle name="常规 16 2 2 2 3" xfId="5838"/>
    <cellStyle name="常规 16 2 2 2 4" xfId="5839"/>
    <cellStyle name="常规 16 2 2 2 5" xfId="5840"/>
    <cellStyle name="常规 16 2 2 2 5 2" xfId="5841"/>
    <cellStyle name="常规 16 2 2 2 6" xfId="5842"/>
    <cellStyle name="常规 16 2 2 3" xfId="5843"/>
    <cellStyle name="常规 16 2 3" xfId="5844"/>
    <cellStyle name="常规 16 2 3 2" xfId="5845"/>
    <cellStyle name="常规 16 2 3 3" xfId="5846"/>
    <cellStyle name="常规 16 2 3 4" xfId="5847"/>
    <cellStyle name="常规 16 2 3 5" xfId="5848"/>
    <cellStyle name="常规 16 2 3 5 2" xfId="5849"/>
    <cellStyle name="常规 16 2 3 6" xfId="5850"/>
    <cellStyle name="常规 16 2 4" xfId="5851"/>
    <cellStyle name="常规 16 3" xfId="5852"/>
    <cellStyle name="常规 16 3 2" xfId="5853"/>
    <cellStyle name="常规 16 3 2 2" xfId="5854"/>
    <cellStyle name="常规 16 3 2 3" xfId="5855"/>
    <cellStyle name="常规 16 3 2 4" xfId="5856"/>
    <cellStyle name="常规 16 3 2 5" xfId="5857"/>
    <cellStyle name="常规 16 3 2 5 2" xfId="5858"/>
    <cellStyle name="常规 16 3 2 6" xfId="5859"/>
    <cellStyle name="常规 16 3 3" xfId="5860"/>
    <cellStyle name="常规 16 4" xfId="5861"/>
    <cellStyle name="常规 16 4 2" xfId="5862"/>
    <cellStyle name="常规 16 4 2 2" xfId="5863"/>
    <cellStyle name="常规 16 4 2 3" xfId="5864"/>
    <cellStyle name="常规 16 4 2 4" xfId="5865"/>
    <cellStyle name="常规 16 4 2 5" xfId="5866"/>
    <cellStyle name="常规 16 4 2 5 2" xfId="5867"/>
    <cellStyle name="常规 16 4 2 6" xfId="5868"/>
    <cellStyle name="常规 16 4 3" xfId="5869"/>
    <cellStyle name="常规 16 5" xfId="5870"/>
    <cellStyle name="常规 16 5 2" xfId="5871"/>
    <cellStyle name="常规 16 5 2 2" xfId="5872"/>
    <cellStyle name="常规 16 5 2 3" xfId="5873"/>
    <cellStyle name="常规 16 5 2 4" xfId="5874"/>
    <cellStyle name="常规 16 5 2 5" xfId="5875"/>
    <cellStyle name="常规 16 5 2 5 2" xfId="5876"/>
    <cellStyle name="常规 16 5 2 6" xfId="5877"/>
    <cellStyle name="常规 16 5 3" xfId="5878"/>
    <cellStyle name="常规 16 6" xfId="5879"/>
    <cellStyle name="常规 16 6 2" xfId="5880"/>
    <cellStyle name="常规 16 6 2 2" xfId="5881"/>
    <cellStyle name="常规 16 6 2 3" xfId="5882"/>
    <cellStyle name="常规 16 6 2 4" xfId="5883"/>
    <cellStyle name="常规 16 6 2 5" xfId="5884"/>
    <cellStyle name="常规 16 6 2 5 2" xfId="5885"/>
    <cellStyle name="常规 16 6 2 6" xfId="5886"/>
    <cellStyle name="常规 16 6 3" xfId="5887"/>
    <cellStyle name="常规 16 7" xfId="5888"/>
    <cellStyle name="常规 16 7 2" xfId="5889"/>
    <cellStyle name="常规 16 7 2 2" xfId="5890"/>
    <cellStyle name="常规 16 7 2 3" xfId="5891"/>
    <cellStyle name="常规 16 7 2 4" xfId="5892"/>
    <cellStyle name="常规 16 7 2 5" xfId="5893"/>
    <cellStyle name="常规 16 7 2 5 2" xfId="5894"/>
    <cellStyle name="常规 16 7 2 6" xfId="5895"/>
    <cellStyle name="常规 16 7 3" xfId="5896"/>
    <cellStyle name="常规 16 8" xfId="5897"/>
    <cellStyle name="常规 16 8 2" xfId="5898"/>
    <cellStyle name="常规 16 8 2 2" xfId="5899"/>
    <cellStyle name="常规 16 8 2 3" xfId="5900"/>
    <cellStyle name="常规 16 8 2 4" xfId="5901"/>
    <cellStyle name="常规 16 8 2 5" xfId="5902"/>
    <cellStyle name="常规 16 8 2 5 2" xfId="5903"/>
    <cellStyle name="常规 16 8 2 6" xfId="5904"/>
    <cellStyle name="常规 16 8 3" xfId="5905"/>
    <cellStyle name="常规 16 9" xfId="5906"/>
    <cellStyle name="常规 16 9 2" xfId="5907"/>
    <cellStyle name="常规 16 9 2 2" xfId="5908"/>
    <cellStyle name="常规 16 9 2 3" xfId="5909"/>
    <cellStyle name="常规 16 9 2 4" xfId="5910"/>
    <cellStyle name="常规 16 9 2 5" xfId="5911"/>
    <cellStyle name="常规 16 9 2 5 2" xfId="5912"/>
    <cellStyle name="常规 16 9 2 6" xfId="5913"/>
    <cellStyle name="常规 16 9 3" xfId="5914"/>
    <cellStyle name="常规 17" xfId="5915"/>
    <cellStyle name="常规 17 10" xfId="5916"/>
    <cellStyle name="常规 17 10 2" xfId="5917"/>
    <cellStyle name="常规 17 10 2 2" xfId="5918"/>
    <cellStyle name="常规 17 10 2 3" xfId="5919"/>
    <cellStyle name="常规 17 10 2 4" xfId="5920"/>
    <cellStyle name="常规 17 10 2 5" xfId="5921"/>
    <cellStyle name="常规 17 10 2 5 2" xfId="5922"/>
    <cellStyle name="常规 17 10 2 6" xfId="5923"/>
    <cellStyle name="常规 17 10 3" xfId="5924"/>
    <cellStyle name="常规 17 11" xfId="5925"/>
    <cellStyle name="常规 17 11 2" xfId="5926"/>
    <cellStyle name="常规 17 11 2 2" xfId="5927"/>
    <cellStyle name="常规 17 11 2 3" xfId="5928"/>
    <cellStyle name="常规 17 11 2 4" xfId="5929"/>
    <cellStyle name="常规 17 11 2 5" xfId="5930"/>
    <cellStyle name="常规 17 11 2 5 2" xfId="5931"/>
    <cellStyle name="常规 17 11 2 6" xfId="5932"/>
    <cellStyle name="常规 17 11 3" xfId="5933"/>
    <cellStyle name="常规 17 12" xfId="5934"/>
    <cellStyle name="常规 17 12 2" xfId="5935"/>
    <cellStyle name="常规 17 12 2 2" xfId="5936"/>
    <cellStyle name="常规 17 12 2 3" xfId="5937"/>
    <cellStyle name="常规 17 12 2 4" xfId="5938"/>
    <cellStyle name="常规 17 12 2 5" xfId="5939"/>
    <cellStyle name="常规 17 12 2 5 2" xfId="5940"/>
    <cellStyle name="常规 17 12 2 6" xfId="5941"/>
    <cellStyle name="常规 17 12 3" xfId="5942"/>
    <cellStyle name="常规 17 13" xfId="5943"/>
    <cellStyle name="常规 17 13 2" xfId="5944"/>
    <cellStyle name="常规 17 13 2 2" xfId="5945"/>
    <cellStyle name="常规 17 13 2 3" xfId="5946"/>
    <cellStyle name="常规 17 13 2 4" xfId="5947"/>
    <cellStyle name="常规 17 13 2 5" xfId="5948"/>
    <cellStyle name="常规 17 13 2 5 2" xfId="5949"/>
    <cellStyle name="常规 17 13 2 6" xfId="5950"/>
    <cellStyle name="常规 17 13 3" xfId="5951"/>
    <cellStyle name="常规 17 14" xfId="5952"/>
    <cellStyle name="常规 17 14 2" xfId="5953"/>
    <cellStyle name="常规 17 14 3" xfId="5954"/>
    <cellStyle name="常规 17 14 4" xfId="5955"/>
    <cellStyle name="常规 17 14 5" xfId="5956"/>
    <cellStyle name="常规 17 14 5 2" xfId="5957"/>
    <cellStyle name="常规 17 14 6" xfId="5958"/>
    <cellStyle name="常规 17 15" xfId="5959"/>
    <cellStyle name="常规 17 2" xfId="5960"/>
    <cellStyle name="常规 17 2 2" xfId="5961"/>
    <cellStyle name="常规 17 2 2 2" xfId="5962"/>
    <cellStyle name="常规 17 2 2 2 2" xfId="5963"/>
    <cellStyle name="常规 17 2 2 2 3" xfId="5964"/>
    <cellStyle name="常规 17 2 2 2 4" xfId="5965"/>
    <cellStyle name="常规 17 2 2 2 5" xfId="5966"/>
    <cellStyle name="常规 17 2 2 2 5 2" xfId="5967"/>
    <cellStyle name="常规 17 2 2 2 6" xfId="5968"/>
    <cellStyle name="常规 17 2 2 3" xfId="5969"/>
    <cellStyle name="常规 17 2 3" xfId="5970"/>
    <cellStyle name="常规 17 2 3 2" xfId="5971"/>
    <cellStyle name="常规 17 2 3 3" xfId="5972"/>
    <cellStyle name="常规 17 2 3 4" xfId="5973"/>
    <cellStyle name="常规 17 2 3 5" xfId="5974"/>
    <cellStyle name="常规 17 2 3 5 2" xfId="5975"/>
    <cellStyle name="常规 17 2 3 6" xfId="5976"/>
    <cellStyle name="常规 17 2 4" xfId="5977"/>
    <cellStyle name="常规 17 3" xfId="5978"/>
    <cellStyle name="常规 17 3 2" xfId="5979"/>
    <cellStyle name="常规 17 3 2 2" xfId="5980"/>
    <cellStyle name="常规 17 3 2 3" xfId="5981"/>
    <cellStyle name="常规 17 3 2 4" xfId="5982"/>
    <cellStyle name="常规 17 3 2 5" xfId="5983"/>
    <cellStyle name="常规 17 3 2 5 2" xfId="5984"/>
    <cellStyle name="常规 17 3 2 6" xfId="5985"/>
    <cellStyle name="常规 17 3 3" xfId="5986"/>
    <cellStyle name="常规 17 4" xfId="5987"/>
    <cellStyle name="常规 17 4 2" xfId="5988"/>
    <cellStyle name="常规 17 4 2 2" xfId="5989"/>
    <cellStyle name="常规 17 4 2 3" xfId="5990"/>
    <cellStyle name="常规 17 4 2 4" xfId="5991"/>
    <cellStyle name="常规 17 4 2 5" xfId="5992"/>
    <cellStyle name="常规 17 4 2 5 2" xfId="5993"/>
    <cellStyle name="常规 17 4 2 6" xfId="5994"/>
    <cellStyle name="常规 17 4 3" xfId="5995"/>
    <cellStyle name="常规 17 5" xfId="5996"/>
    <cellStyle name="常规 17 5 2" xfId="5997"/>
    <cellStyle name="常规 17 5 2 2" xfId="5998"/>
    <cellStyle name="常规 17 5 2 3" xfId="5999"/>
    <cellStyle name="常规 17 5 2 4" xfId="6000"/>
    <cellStyle name="常规 17 5 2 5" xfId="6001"/>
    <cellStyle name="常规 17 5 2 5 2" xfId="6002"/>
    <cellStyle name="常规 17 5 2 6" xfId="6003"/>
    <cellStyle name="常规 17 5 3" xfId="6004"/>
    <cellStyle name="常规 17 6" xfId="6005"/>
    <cellStyle name="常规 17 6 2" xfId="6006"/>
    <cellStyle name="常规 17 6 2 2" xfId="6007"/>
    <cellStyle name="常规 17 6 2 3" xfId="6008"/>
    <cellStyle name="常规 17 6 2 4" xfId="6009"/>
    <cellStyle name="常规 17 6 2 5" xfId="6010"/>
    <cellStyle name="常规 17 6 2 5 2" xfId="6011"/>
    <cellStyle name="常规 17 6 2 6" xfId="6012"/>
    <cellStyle name="常规 17 6 3" xfId="6013"/>
    <cellStyle name="常规 17 7" xfId="6014"/>
    <cellStyle name="常规 17 7 2" xfId="6015"/>
    <cellStyle name="常规 17 7 2 2" xfId="6016"/>
    <cellStyle name="常规 17 7 2 3" xfId="6017"/>
    <cellStyle name="常规 17 7 2 4" xfId="6018"/>
    <cellStyle name="常规 17 7 2 5" xfId="6019"/>
    <cellStyle name="常规 17 7 2 5 2" xfId="6020"/>
    <cellStyle name="常规 17 7 2 6" xfId="6021"/>
    <cellStyle name="常规 17 7 3" xfId="6022"/>
    <cellStyle name="常规 17 8" xfId="6023"/>
    <cellStyle name="常规 17 8 2" xfId="6024"/>
    <cellStyle name="常规 17 8 2 2" xfId="6025"/>
    <cellStyle name="常规 17 8 2 3" xfId="6026"/>
    <cellStyle name="常规 17 8 2 4" xfId="6027"/>
    <cellStyle name="常规 17 8 2 5" xfId="6028"/>
    <cellStyle name="常规 17 8 2 5 2" xfId="6029"/>
    <cellStyle name="常规 17 8 2 6" xfId="6030"/>
    <cellStyle name="常规 17 8 3" xfId="6031"/>
    <cellStyle name="常规 17 9" xfId="6032"/>
    <cellStyle name="常规 17 9 2" xfId="6033"/>
    <cellStyle name="常规 17 9 2 2" xfId="6034"/>
    <cellStyle name="常规 17 9 2 3" xfId="6035"/>
    <cellStyle name="常规 17 9 2 4" xfId="6036"/>
    <cellStyle name="常规 17 9 2 5" xfId="6037"/>
    <cellStyle name="常规 17 9 2 5 2" xfId="6038"/>
    <cellStyle name="常规 17 9 2 6" xfId="6039"/>
    <cellStyle name="常规 17 9 3" xfId="6040"/>
    <cellStyle name="常规 18" xfId="6041"/>
    <cellStyle name="常规 18 10" xfId="6042"/>
    <cellStyle name="常规 18 10 2" xfId="6043"/>
    <cellStyle name="常规 18 10 2 2" xfId="6044"/>
    <cellStyle name="常规 18 10 2 3" xfId="6045"/>
    <cellStyle name="常规 18 10 2 4" xfId="6046"/>
    <cellStyle name="常规 18 10 2 5" xfId="6047"/>
    <cellStyle name="常规 18 10 2 5 2" xfId="6048"/>
    <cellStyle name="常规 18 10 2 6" xfId="6049"/>
    <cellStyle name="常规 18 10 3" xfId="6050"/>
    <cellStyle name="常规 18 11" xfId="6051"/>
    <cellStyle name="常规 18 11 2" xfId="6052"/>
    <cellStyle name="常规 18 11 2 2" xfId="6053"/>
    <cellStyle name="常规 18 11 2 3" xfId="6054"/>
    <cellStyle name="常规 18 11 2 4" xfId="6055"/>
    <cellStyle name="常规 18 11 2 5" xfId="6056"/>
    <cellStyle name="常规 18 11 2 5 2" xfId="6057"/>
    <cellStyle name="常规 18 11 2 6" xfId="6058"/>
    <cellStyle name="常规 18 11 3" xfId="6059"/>
    <cellStyle name="常规 18 12" xfId="6060"/>
    <cellStyle name="常规 18 12 2" xfId="6061"/>
    <cellStyle name="常规 18 12 2 2" xfId="6062"/>
    <cellStyle name="常规 18 12 2 3" xfId="6063"/>
    <cellStyle name="常规 18 12 2 4" xfId="6064"/>
    <cellStyle name="常规 18 12 2 5" xfId="6065"/>
    <cellStyle name="常规 18 12 2 5 2" xfId="6066"/>
    <cellStyle name="常规 18 12 2 6" xfId="6067"/>
    <cellStyle name="常规 18 12 3" xfId="6068"/>
    <cellStyle name="常规 18 13" xfId="6069"/>
    <cellStyle name="常规 18 13 2" xfId="6070"/>
    <cellStyle name="常规 18 13 2 2" xfId="6071"/>
    <cellStyle name="常规 18 13 2 3" xfId="6072"/>
    <cellStyle name="常规 18 13 2 4" xfId="6073"/>
    <cellStyle name="常规 18 13 2 5" xfId="6074"/>
    <cellStyle name="常规 18 13 2 5 2" xfId="6075"/>
    <cellStyle name="常规 18 13 2 6" xfId="6076"/>
    <cellStyle name="常规 18 13 3" xfId="6077"/>
    <cellStyle name="常规 18 14" xfId="6078"/>
    <cellStyle name="常规 18 14 2" xfId="6079"/>
    <cellStyle name="常规 18 14 3" xfId="6080"/>
    <cellStyle name="常规 18 14 4" xfId="6081"/>
    <cellStyle name="常规 18 14 5" xfId="6082"/>
    <cellStyle name="常规 18 14 5 2" xfId="6083"/>
    <cellStyle name="常规 18 14 6" xfId="6084"/>
    <cellStyle name="常规 18 15" xfId="6085"/>
    <cellStyle name="常规 18 2" xfId="6086"/>
    <cellStyle name="常规 18 2 2" xfId="6087"/>
    <cellStyle name="常规 18 2 2 2" xfId="6088"/>
    <cellStyle name="常规 18 2 2 2 2" xfId="6089"/>
    <cellStyle name="常规 18 2 2 2 3" xfId="6090"/>
    <cellStyle name="常规 18 2 2 2 4" xfId="6091"/>
    <cellStyle name="常规 18 2 2 2 5" xfId="6092"/>
    <cellStyle name="常规 18 2 2 2 5 2" xfId="6093"/>
    <cellStyle name="常规 18 2 2 2 6" xfId="6094"/>
    <cellStyle name="常规 18 2 2 3" xfId="6095"/>
    <cellStyle name="常规 18 2 3" xfId="6096"/>
    <cellStyle name="常规 18 2 3 2" xfId="6097"/>
    <cellStyle name="常规 18 2 3 3" xfId="6098"/>
    <cellStyle name="常规 18 2 3 4" xfId="6099"/>
    <cellStyle name="常规 18 2 3 5" xfId="6100"/>
    <cellStyle name="常规 18 2 3 5 2" xfId="6101"/>
    <cellStyle name="常规 18 2 3 6" xfId="6102"/>
    <cellStyle name="常规 18 2 4" xfId="6103"/>
    <cellStyle name="常规 18 3" xfId="6104"/>
    <cellStyle name="常规 18 3 2" xfId="6105"/>
    <cellStyle name="常规 18 3 2 2" xfId="6106"/>
    <cellStyle name="常规 18 3 2 3" xfId="6107"/>
    <cellStyle name="常规 18 3 2 4" xfId="6108"/>
    <cellStyle name="常规 18 3 2 5" xfId="6109"/>
    <cellStyle name="常规 18 3 2 5 2" xfId="6110"/>
    <cellStyle name="常规 18 3 2 6" xfId="6111"/>
    <cellStyle name="常规 18 3 3" xfId="6112"/>
    <cellStyle name="常规 18 4" xfId="6113"/>
    <cellStyle name="常规 18 4 2" xfId="6114"/>
    <cellStyle name="常规 18 4 2 2" xfId="6115"/>
    <cellStyle name="常规 18 4 2 3" xfId="6116"/>
    <cellStyle name="常规 18 4 2 4" xfId="6117"/>
    <cellStyle name="常规 18 4 2 5" xfId="6118"/>
    <cellStyle name="常规 18 4 2 5 2" xfId="6119"/>
    <cellStyle name="常规 18 4 2 6" xfId="6120"/>
    <cellStyle name="常规 18 4 3" xfId="6121"/>
    <cellStyle name="常规 18 5" xfId="6122"/>
    <cellStyle name="常规 18 5 2" xfId="6123"/>
    <cellStyle name="常规 18 5 2 2" xfId="6124"/>
    <cellStyle name="常规 18 5 2 3" xfId="6125"/>
    <cellStyle name="常规 18 5 2 4" xfId="6126"/>
    <cellStyle name="常规 18 5 2 5" xfId="6127"/>
    <cellStyle name="常规 18 5 2 5 2" xfId="6128"/>
    <cellStyle name="常规 18 5 2 6" xfId="6129"/>
    <cellStyle name="常规 18 5 3" xfId="6130"/>
    <cellStyle name="常规 18 6" xfId="6131"/>
    <cellStyle name="常规 18 6 2" xfId="6132"/>
    <cellStyle name="常规 18 6 2 2" xfId="6133"/>
    <cellStyle name="常规 18 6 2 3" xfId="6134"/>
    <cellStyle name="常规 18 6 2 4" xfId="6135"/>
    <cellStyle name="常规 18 6 2 5" xfId="6136"/>
    <cellStyle name="常规 18 6 2 5 2" xfId="6137"/>
    <cellStyle name="常规 18 6 2 6" xfId="6138"/>
    <cellStyle name="常规 18 6 3" xfId="6139"/>
    <cellStyle name="常规 18 7" xfId="6140"/>
    <cellStyle name="常规 18 7 2" xfId="6141"/>
    <cellStyle name="常规 18 7 2 2" xfId="6142"/>
    <cellStyle name="常规 18 7 2 3" xfId="6143"/>
    <cellStyle name="常规 18 7 2 4" xfId="6144"/>
    <cellStyle name="常规 18 7 2 5" xfId="6145"/>
    <cellStyle name="常规 18 7 2 5 2" xfId="6146"/>
    <cellStyle name="常规 18 7 2 6" xfId="6147"/>
    <cellStyle name="常规 18 7 3" xfId="6148"/>
    <cellStyle name="常规 18 8" xfId="6149"/>
    <cellStyle name="常规 18 8 2" xfId="6150"/>
    <cellStyle name="常规 18 8 2 2" xfId="6151"/>
    <cellStyle name="常规 18 8 2 3" xfId="6152"/>
    <cellStyle name="常规 18 8 2 4" xfId="6153"/>
    <cellStyle name="常规 18 8 2 5" xfId="6154"/>
    <cellStyle name="常规 18 8 2 5 2" xfId="6155"/>
    <cellStyle name="常规 18 8 2 6" xfId="6156"/>
    <cellStyle name="常规 18 8 3" xfId="6157"/>
    <cellStyle name="常规 18 9" xfId="6158"/>
    <cellStyle name="常规 18 9 2" xfId="6159"/>
    <cellStyle name="常规 18 9 2 2" xfId="6160"/>
    <cellStyle name="常规 18 9 2 3" xfId="6161"/>
    <cellStyle name="常规 18 9 2 4" xfId="6162"/>
    <cellStyle name="常规 18 9 2 5" xfId="6163"/>
    <cellStyle name="常规 18 9 2 5 2" xfId="6164"/>
    <cellStyle name="常规 18 9 2 6" xfId="6165"/>
    <cellStyle name="常规 18 9 3" xfId="6166"/>
    <cellStyle name="常规 19" xfId="6167"/>
    <cellStyle name="常规 19 10" xfId="6168"/>
    <cellStyle name="常规 19 10 2" xfId="6169"/>
    <cellStyle name="常规 19 10 2 2" xfId="6170"/>
    <cellStyle name="常规 19 10 2 3" xfId="6171"/>
    <cellStyle name="常规 19 10 2 4" xfId="6172"/>
    <cellStyle name="常规 19 10 2 5" xfId="6173"/>
    <cellStyle name="常规 19 10 2 5 2" xfId="6174"/>
    <cellStyle name="常规 19 10 2 6" xfId="6175"/>
    <cellStyle name="常规 19 10 3" xfId="6176"/>
    <cellStyle name="常规 19 11" xfId="6177"/>
    <cellStyle name="常规 19 11 2" xfId="6178"/>
    <cellStyle name="常规 19 11 2 2" xfId="6179"/>
    <cellStyle name="常规 19 11 2 3" xfId="6180"/>
    <cellStyle name="常规 19 11 2 4" xfId="6181"/>
    <cellStyle name="常规 19 11 2 5" xfId="6182"/>
    <cellStyle name="常规 19 11 2 5 2" xfId="6183"/>
    <cellStyle name="常规 19 11 2 6" xfId="6184"/>
    <cellStyle name="常规 19 11 3" xfId="6185"/>
    <cellStyle name="常规 19 12" xfId="6186"/>
    <cellStyle name="常规 19 12 2" xfId="6187"/>
    <cellStyle name="常规 19 12 2 2" xfId="6188"/>
    <cellStyle name="常规 19 12 2 3" xfId="6189"/>
    <cellStyle name="常规 19 12 2 4" xfId="6190"/>
    <cellStyle name="常规 19 12 2 5" xfId="6191"/>
    <cellStyle name="常规 19 12 2 5 2" xfId="6192"/>
    <cellStyle name="常规 19 12 2 6" xfId="6193"/>
    <cellStyle name="常规 19 12 3" xfId="6194"/>
    <cellStyle name="常规 19 13" xfId="6195"/>
    <cellStyle name="常规 19 13 2" xfId="6196"/>
    <cellStyle name="常规 19 13 2 2" xfId="6197"/>
    <cellStyle name="常规 19 13 2 3" xfId="6198"/>
    <cellStyle name="常规 19 13 2 4" xfId="6199"/>
    <cellStyle name="常规 19 13 2 5" xfId="6200"/>
    <cellStyle name="常规 19 13 2 5 2" xfId="6201"/>
    <cellStyle name="常规 19 13 2 6" xfId="6202"/>
    <cellStyle name="常规 19 13 3" xfId="6203"/>
    <cellStyle name="常规 19 14" xfId="6204"/>
    <cellStyle name="常规 19 14 2" xfId="6205"/>
    <cellStyle name="常规 19 14 3" xfId="6206"/>
    <cellStyle name="常规 19 14 4" xfId="6207"/>
    <cellStyle name="常规 19 14 5" xfId="6208"/>
    <cellStyle name="常规 19 14 5 2" xfId="6209"/>
    <cellStyle name="常规 19 14 6" xfId="6210"/>
    <cellStyle name="常规 19 15" xfId="6211"/>
    <cellStyle name="常规 19 2" xfId="6212"/>
    <cellStyle name="常规 19 2 2" xfId="6213"/>
    <cellStyle name="常规 19 2 2 2" xfId="6214"/>
    <cellStyle name="常规 19 2 2 2 2" xfId="6215"/>
    <cellStyle name="常规 19 2 2 2 3" xfId="6216"/>
    <cellStyle name="常规 19 2 2 2 4" xfId="6217"/>
    <cellStyle name="常规 19 2 2 2 5" xfId="6218"/>
    <cellStyle name="常规 19 2 2 2 5 2" xfId="6219"/>
    <cellStyle name="常规 19 2 2 2 6" xfId="6220"/>
    <cellStyle name="常规 19 2 2 3" xfId="6221"/>
    <cellStyle name="常规 19 2 3" xfId="6222"/>
    <cellStyle name="常规 19 2 3 2" xfId="6223"/>
    <cellStyle name="常规 19 2 3 3" xfId="6224"/>
    <cellStyle name="常规 19 2 3 4" xfId="6225"/>
    <cellStyle name="常规 19 2 3 5" xfId="6226"/>
    <cellStyle name="常规 19 2 3 5 2" xfId="6227"/>
    <cellStyle name="常规 19 2 3 6" xfId="6228"/>
    <cellStyle name="常规 19 2 4" xfId="6229"/>
    <cellStyle name="常规 19 3" xfId="6230"/>
    <cellStyle name="常规 19 3 2" xfId="6231"/>
    <cellStyle name="常规 19 3 2 2" xfId="6232"/>
    <cellStyle name="常规 19 3 2 3" xfId="6233"/>
    <cellStyle name="常规 19 3 2 4" xfId="6234"/>
    <cellStyle name="常规 19 3 2 5" xfId="6235"/>
    <cellStyle name="常规 19 3 2 5 2" xfId="6236"/>
    <cellStyle name="常规 19 3 2 6" xfId="6237"/>
    <cellStyle name="常规 19 3 3" xfId="6238"/>
    <cellStyle name="常规 19 4" xfId="6239"/>
    <cellStyle name="常规 19 4 2" xfId="6240"/>
    <cellStyle name="常规 19 4 2 2" xfId="6241"/>
    <cellStyle name="常规 19 4 2 3" xfId="6242"/>
    <cellStyle name="常规 19 4 2 4" xfId="6243"/>
    <cellStyle name="常规 19 4 2 5" xfId="6244"/>
    <cellStyle name="常规 19 4 2 5 2" xfId="6245"/>
    <cellStyle name="常规 19 4 2 6" xfId="6246"/>
    <cellStyle name="常规 19 4 3" xfId="6247"/>
    <cellStyle name="常规 19 5" xfId="6248"/>
    <cellStyle name="常规 19 5 2" xfId="6249"/>
    <cellStyle name="常规 19 5 2 2" xfId="6250"/>
    <cellStyle name="常规 19 5 2 3" xfId="6251"/>
    <cellStyle name="常规 19 5 2 4" xfId="6252"/>
    <cellStyle name="常规 19 5 2 5" xfId="6253"/>
    <cellStyle name="常规 19 5 2 5 2" xfId="6254"/>
    <cellStyle name="常规 19 5 2 6" xfId="6255"/>
    <cellStyle name="常规 19 5 3" xfId="6256"/>
    <cellStyle name="常规 19 6" xfId="6257"/>
    <cellStyle name="常规 19 6 2" xfId="6258"/>
    <cellStyle name="常规 19 6 2 2" xfId="6259"/>
    <cellStyle name="常规 19 6 2 3" xfId="6260"/>
    <cellStyle name="常规 19 6 2 4" xfId="6261"/>
    <cellStyle name="常规 19 6 2 5" xfId="6262"/>
    <cellStyle name="常规 19 6 2 5 2" xfId="6263"/>
    <cellStyle name="常规 19 6 2 6" xfId="6264"/>
    <cellStyle name="常规 19 6 3" xfId="6265"/>
    <cellStyle name="常规 19 7" xfId="6266"/>
    <cellStyle name="常规 19 7 2" xfId="6267"/>
    <cellStyle name="常规 19 7 2 2" xfId="6268"/>
    <cellStyle name="常规 19 7 2 3" xfId="6269"/>
    <cellStyle name="常规 19 7 2 4" xfId="6270"/>
    <cellStyle name="常规 19 7 2 5" xfId="6271"/>
    <cellStyle name="常规 19 7 2 5 2" xfId="6272"/>
    <cellStyle name="常规 19 7 2 6" xfId="6273"/>
    <cellStyle name="常规 19 7 3" xfId="6274"/>
    <cellStyle name="常规 19 8" xfId="6275"/>
    <cellStyle name="常规 19 8 2" xfId="6276"/>
    <cellStyle name="常规 19 8 2 2" xfId="6277"/>
    <cellStyle name="常规 19 8 2 3" xfId="6278"/>
    <cellStyle name="常规 19 8 2 4" xfId="6279"/>
    <cellStyle name="常规 19 8 2 5" xfId="6280"/>
    <cellStyle name="常规 19 8 2 5 2" xfId="6281"/>
    <cellStyle name="常规 19 8 2 6" xfId="6282"/>
    <cellStyle name="常规 19 8 3" xfId="6283"/>
    <cellStyle name="常规 19 9" xfId="6284"/>
    <cellStyle name="常规 19 9 2" xfId="6285"/>
    <cellStyle name="常规 19 9 2 2" xfId="6286"/>
    <cellStyle name="常规 19 9 2 3" xfId="6287"/>
    <cellStyle name="常规 19 9 2 4" xfId="6288"/>
    <cellStyle name="常规 19 9 2 5" xfId="6289"/>
    <cellStyle name="常规 19 9 2 5 2" xfId="6290"/>
    <cellStyle name="常规 19 9 2 6" xfId="6291"/>
    <cellStyle name="常规 19 9 3" xfId="6292"/>
    <cellStyle name="常规 2" xfId="1"/>
    <cellStyle name="常规 2 10" xfId="6293"/>
    <cellStyle name="常规 2 10 2" xfId="6294"/>
    <cellStyle name="常规 2 10 2 2" xfId="6295"/>
    <cellStyle name="常规 2 10 2 3" xfId="6296"/>
    <cellStyle name="常规 2 10 2 4" xfId="6297"/>
    <cellStyle name="常规 2 10 2 5" xfId="6298"/>
    <cellStyle name="常规 2 10 2 5 2" xfId="6299"/>
    <cellStyle name="常规 2 10 2 6" xfId="6300"/>
    <cellStyle name="常规 2 10 3" xfId="6301"/>
    <cellStyle name="常规 2 11" xfId="6302"/>
    <cellStyle name="常规 2 11 2" xfId="6303"/>
    <cellStyle name="常规 2 11 2 2" xfId="6304"/>
    <cellStyle name="常规 2 11 2 3" xfId="6305"/>
    <cellStyle name="常规 2 11 2 4" xfId="6306"/>
    <cellStyle name="常规 2 11 2 5" xfId="6307"/>
    <cellStyle name="常规 2 11 2 5 2" xfId="6308"/>
    <cellStyle name="常规 2 11 2 6" xfId="6309"/>
    <cellStyle name="常规 2 11 3" xfId="6310"/>
    <cellStyle name="常规 2 12" xfId="6311"/>
    <cellStyle name="常规 2 12 2" xfId="6312"/>
    <cellStyle name="常规 2 12 2 2" xfId="6313"/>
    <cellStyle name="常规 2 12 2 3" xfId="6314"/>
    <cellStyle name="常规 2 12 2 4" xfId="6315"/>
    <cellStyle name="常规 2 12 2 5" xfId="6316"/>
    <cellStyle name="常规 2 12 2 5 2" xfId="6317"/>
    <cellStyle name="常规 2 12 2 6" xfId="6318"/>
    <cellStyle name="常规 2 12 3" xfId="6319"/>
    <cellStyle name="常规 2 13" xfId="6320"/>
    <cellStyle name="常规 2 13 2" xfId="6321"/>
    <cellStyle name="常规 2 13 2 2" xfId="6322"/>
    <cellStyle name="常规 2 13 2 3" xfId="6323"/>
    <cellStyle name="常规 2 13 2 4" xfId="6324"/>
    <cellStyle name="常规 2 13 2 5" xfId="6325"/>
    <cellStyle name="常规 2 13 2 5 2" xfId="6326"/>
    <cellStyle name="常规 2 13 2 6" xfId="6327"/>
    <cellStyle name="常规 2 13 3" xfId="6328"/>
    <cellStyle name="常规 2 14" xfId="6329"/>
    <cellStyle name="常规 2 14 2" xfId="6330"/>
    <cellStyle name="常规 2 14 2 2" xfId="6331"/>
    <cellStyle name="常规 2 14 2 3" xfId="6332"/>
    <cellStyle name="常规 2 14 2 4" xfId="6333"/>
    <cellStyle name="常规 2 14 2 5" xfId="6334"/>
    <cellStyle name="常规 2 14 2 5 2" xfId="6335"/>
    <cellStyle name="常规 2 14 2 6" xfId="6336"/>
    <cellStyle name="常规 2 14 3" xfId="6337"/>
    <cellStyle name="常规 2 15" xfId="6338"/>
    <cellStyle name="常规 2 15 2" xfId="6339"/>
    <cellStyle name="常规 2 15 2 2" xfId="6340"/>
    <cellStyle name="常规 2 15 2 3" xfId="6341"/>
    <cellStyle name="常规 2 15 2 4" xfId="6342"/>
    <cellStyle name="常规 2 15 2 5" xfId="6343"/>
    <cellStyle name="常规 2 15 2 5 2" xfId="6344"/>
    <cellStyle name="常规 2 15 2 6" xfId="6345"/>
    <cellStyle name="常规 2 15 3" xfId="6346"/>
    <cellStyle name="常规 2 16" xfId="6347"/>
    <cellStyle name="常规 2 16 2" xfId="6348"/>
    <cellStyle name="常规 2 16 2 2" xfId="6349"/>
    <cellStyle name="常规 2 16 2 3" xfId="6350"/>
    <cellStyle name="常规 2 16 2 4" xfId="6351"/>
    <cellStyle name="常规 2 16 2 5" xfId="6352"/>
    <cellStyle name="常规 2 16 2 5 2" xfId="6353"/>
    <cellStyle name="常规 2 16 2 6" xfId="6354"/>
    <cellStyle name="常规 2 16 3" xfId="6355"/>
    <cellStyle name="常规 2 17" xfId="6356"/>
    <cellStyle name="常规 2 17 2" xfId="6357"/>
    <cellStyle name="常规 2 17 2 2" xfId="6358"/>
    <cellStyle name="常规 2 17 2 3" xfId="6359"/>
    <cellStyle name="常规 2 17 2 4" xfId="6360"/>
    <cellStyle name="常规 2 17 2 5" xfId="6361"/>
    <cellStyle name="常规 2 17 2 5 2" xfId="6362"/>
    <cellStyle name="常规 2 17 2 6" xfId="6363"/>
    <cellStyle name="常规 2 17 3" xfId="6364"/>
    <cellStyle name="常规 2 18" xfId="6365"/>
    <cellStyle name="常规 2 18 2" xfId="6366"/>
    <cellStyle name="常规 2 18 2 2" xfId="6367"/>
    <cellStyle name="常规 2 18 2 3" xfId="6368"/>
    <cellStyle name="常规 2 18 2 4" xfId="6369"/>
    <cellStyle name="常规 2 18 2 5" xfId="6370"/>
    <cellStyle name="常规 2 18 2 5 2" xfId="6371"/>
    <cellStyle name="常规 2 18 2 6" xfId="6372"/>
    <cellStyle name="常规 2 18 3" xfId="6373"/>
    <cellStyle name="常规 2 19" xfId="6374"/>
    <cellStyle name="常规 2 19 2" xfId="6375"/>
    <cellStyle name="常规 2 19 2 2" xfId="6376"/>
    <cellStyle name="常规 2 19 2 3" xfId="6377"/>
    <cellStyle name="常规 2 19 2 4" xfId="6378"/>
    <cellStyle name="常规 2 19 2 5" xfId="6379"/>
    <cellStyle name="常规 2 19 2 5 2" xfId="6380"/>
    <cellStyle name="常规 2 19 2 6" xfId="6381"/>
    <cellStyle name="常规 2 19 3" xfId="6382"/>
    <cellStyle name="常规 2 2" xfId="8"/>
    <cellStyle name="常规 2 2 10" xfId="6383"/>
    <cellStyle name="常规 2 2 10 2" xfId="6384"/>
    <cellStyle name="常规 2 2 10 2 2" xfId="6385"/>
    <cellStyle name="常规 2 2 10 2 3" xfId="6386"/>
    <cellStyle name="常规 2 2 11" xfId="6387"/>
    <cellStyle name="常规 2 2 11 2" xfId="6388"/>
    <cellStyle name="常规 2 2 11 2 2" xfId="6389"/>
    <cellStyle name="常规 2 2 11 2 3" xfId="6390"/>
    <cellStyle name="常规 2 2 12" xfId="6391"/>
    <cellStyle name="常规 2 2 12 2" xfId="6392"/>
    <cellStyle name="常规 2 2 12 2 2" xfId="6393"/>
    <cellStyle name="常规 2 2 12 2 3" xfId="6394"/>
    <cellStyle name="常规 2 2 13" xfId="6395"/>
    <cellStyle name="常规 2 2 13 2" xfId="6396"/>
    <cellStyle name="常规 2 2 13 2 2" xfId="6397"/>
    <cellStyle name="常规 2 2 13 2 3" xfId="6398"/>
    <cellStyle name="常规 2 2 14" xfId="6399"/>
    <cellStyle name="常规 2 2 14 2" xfId="6400"/>
    <cellStyle name="常规 2 2 14 2 2" xfId="6401"/>
    <cellStyle name="常规 2 2 14 2 3" xfId="6402"/>
    <cellStyle name="常规 2 2 15" xfId="6403"/>
    <cellStyle name="常规 2 2 15 2" xfId="6404"/>
    <cellStyle name="常规 2 2 15 2 2" xfId="6405"/>
    <cellStyle name="常规 2 2 15 2 3" xfId="6406"/>
    <cellStyle name="常规 2 2 16" xfId="6407"/>
    <cellStyle name="常规 2 2 16 2" xfId="6408"/>
    <cellStyle name="常规 2 2 16 3" xfId="6409"/>
    <cellStyle name="常规 2 2 2" xfId="6410"/>
    <cellStyle name="常规 2 2 2 2" xfId="6411"/>
    <cellStyle name="常规 2 2 2 2 2" xfId="6412"/>
    <cellStyle name="常规 2 2 2 2 2 2" xfId="6413"/>
    <cellStyle name="常规 2 2 2 2 2 3" xfId="6414"/>
    <cellStyle name="常规 2 2 2 2 3" xfId="15"/>
    <cellStyle name="常规 2 2 2 2 4" xfId="6415"/>
    <cellStyle name="常规 2 2 2 3" xfId="6416"/>
    <cellStyle name="常规 2 2 2 3 2" xfId="6417"/>
    <cellStyle name="常规 2 2 2 3 3" xfId="6418"/>
    <cellStyle name="常规 2 2 2 4" xfId="6419"/>
    <cellStyle name="常规 2 2 2 5" xfId="6420"/>
    <cellStyle name="常规 2 2 2 5 2" xfId="6421"/>
    <cellStyle name="常规 2 2 2 6" xfId="6422"/>
    <cellStyle name="常规 2 2 3" xfId="6423"/>
    <cellStyle name="常规 2 2 3 2" xfId="6424"/>
    <cellStyle name="常规 2 2 3 2 2" xfId="6425"/>
    <cellStyle name="常规 2 2 3 2 3" xfId="6426"/>
    <cellStyle name="常规 2 2 4" xfId="6427"/>
    <cellStyle name="常规 2 2 4 2" xfId="6428"/>
    <cellStyle name="常规 2 2 4 2 2" xfId="6429"/>
    <cellStyle name="常规 2 2 4 2 3" xfId="6430"/>
    <cellStyle name="常规 2 2 5" xfId="6431"/>
    <cellStyle name="常规 2 2 5 2" xfId="6432"/>
    <cellStyle name="常规 2 2 5 2 2" xfId="6433"/>
    <cellStyle name="常规 2 2 5 2 3" xfId="6434"/>
    <cellStyle name="常规 2 2 6" xfId="6435"/>
    <cellStyle name="常规 2 2 6 2" xfId="6436"/>
    <cellStyle name="常规 2 2 6 2 2" xfId="6437"/>
    <cellStyle name="常规 2 2 6 2 3" xfId="6438"/>
    <cellStyle name="常规 2 2 7" xfId="6439"/>
    <cellStyle name="常规 2 2 7 2" xfId="6440"/>
    <cellStyle name="常规 2 2 7 2 2" xfId="6441"/>
    <cellStyle name="常规 2 2 7 2 3" xfId="6442"/>
    <cellStyle name="常规 2 2 8" xfId="6443"/>
    <cellStyle name="常规 2 2 8 2" xfId="6444"/>
    <cellStyle name="常规 2 2 8 2 2" xfId="6445"/>
    <cellStyle name="常规 2 2 8 2 3" xfId="6446"/>
    <cellStyle name="常规 2 2 9" xfId="6447"/>
    <cellStyle name="常规 2 2 9 2" xfId="6448"/>
    <cellStyle name="常规 2 2 9 2 2" xfId="6449"/>
    <cellStyle name="常规 2 2 9 2 3" xfId="6450"/>
    <cellStyle name="常规 2 20" xfId="6451"/>
    <cellStyle name="常规 2 20 2" xfId="6452"/>
    <cellStyle name="常规 2 20 2 2" xfId="6453"/>
    <cellStyle name="常规 2 20 2 3" xfId="6454"/>
    <cellStyle name="常规 2 20 2 4" xfId="6455"/>
    <cellStyle name="常规 2 20 2 5" xfId="6456"/>
    <cellStyle name="常规 2 20 2 5 2" xfId="6457"/>
    <cellStyle name="常规 2 20 2 6" xfId="6458"/>
    <cellStyle name="常规 2 20 3" xfId="6459"/>
    <cellStyle name="常规 2 21" xfId="6460"/>
    <cellStyle name="常规 2 21 2" xfId="6461"/>
    <cellStyle name="常规 2 21 2 2" xfId="6462"/>
    <cellStyle name="常规 2 21 2 3" xfId="6463"/>
    <cellStyle name="常规 2 21 2 4" xfId="6464"/>
    <cellStyle name="常规 2 21 2 5" xfId="6465"/>
    <cellStyle name="常规 2 21 2 5 2" xfId="6466"/>
    <cellStyle name="常规 2 21 2 6" xfId="6467"/>
    <cellStyle name="常规 2 21 3" xfId="6468"/>
    <cellStyle name="常规 2 22" xfId="6469"/>
    <cellStyle name="常规 2 22 2" xfId="6470"/>
    <cellStyle name="常规 2 22 2 2" xfId="6471"/>
    <cellStyle name="常规 2 22 2 3" xfId="6472"/>
    <cellStyle name="常规 2 22 2 4" xfId="6473"/>
    <cellStyle name="常规 2 22 2 5" xfId="6474"/>
    <cellStyle name="常规 2 22 2 5 2" xfId="6475"/>
    <cellStyle name="常规 2 22 2 6" xfId="6476"/>
    <cellStyle name="常规 2 22 3" xfId="6477"/>
    <cellStyle name="常规 2 23" xfId="6478"/>
    <cellStyle name="常规 2 23 2" xfId="6479"/>
    <cellStyle name="常规 2 23 2 2" xfId="6480"/>
    <cellStyle name="常规 2 23 2 3" xfId="6481"/>
    <cellStyle name="常规 2 23 2 4" xfId="6482"/>
    <cellStyle name="常规 2 23 2 5" xfId="6483"/>
    <cellStyle name="常规 2 23 2 5 2" xfId="6484"/>
    <cellStyle name="常规 2 23 2 6" xfId="6485"/>
    <cellStyle name="常规 2 23 3" xfId="6486"/>
    <cellStyle name="常规 2 24" xfId="6487"/>
    <cellStyle name="常规 2 24 2" xfId="6488"/>
    <cellStyle name="常规 2 24 2 2" xfId="6489"/>
    <cellStyle name="常规 2 24 2 3" xfId="6490"/>
    <cellStyle name="常规 2 24 2 4" xfId="6491"/>
    <cellStyle name="常规 2 24 2 5" xfId="6492"/>
    <cellStyle name="常规 2 24 2 5 2" xfId="6493"/>
    <cellStyle name="常规 2 24 2 6" xfId="6494"/>
    <cellStyle name="常规 2 24 3" xfId="6495"/>
    <cellStyle name="常规 2 25" xfId="6496"/>
    <cellStyle name="常规 2 25 2" xfId="6497"/>
    <cellStyle name="常规 2 25 2 2" xfId="6498"/>
    <cellStyle name="常规 2 25 2 3" xfId="6499"/>
    <cellStyle name="常规 2 25 2 4" xfId="6500"/>
    <cellStyle name="常规 2 25 2 5" xfId="6501"/>
    <cellStyle name="常规 2 25 2 5 2" xfId="6502"/>
    <cellStyle name="常规 2 25 2 6" xfId="6503"/>
    <cellStyle name="常规 2 25 3" xfId="6504"/>
    <cellStyle name="常规 2 26" xfId="6505"/>
    <cellStyle name="常规 2 26 2" xfId="6506"/>
    <cellStyle name="常规 2 26 2 2" xfId="6507"/>
    <cellStyle name="常规 2 26 2 3" xfId="6508"/>
    <cellStyle name="常规 2 26 2 4" xfId="6509"/>
    <cellStyle name="常规 2 26 2 5" xfId="6510"/>
    <cellStyle name="常规 2 26 2 5 2" xfId="6511"/>
    <cellStyle name="常规 2 26 2 6" xfId="6512"/>
    <cellStyle name="常规 2 26 3" xfId="6513"/>
    <cellStyle name="常规 2 27" xfId="6514"/>
    <cellStyle name="常规 2 27 2" xfId="6515"/>
    <cellStyle name="常规 2 27 2 2" xfId="6516"/>
    <cellStyle name="常规 2 27 2 3" xfId="6517"/>
    <cellStyle name="常规 2 27 2 4" xfId="6518"/>
    <cellStyle name="常规 2 27 2 5" xfId="6519"/>
    <cellStyle name="常规 2 27 2 5 2" xfId="6520"/>
    <cellStyle name="常规 2 27 2 6" xfId="6521"/>
    <cellStyle name="常规 2 27 3" xfId="6522"/>
    <cellStyle name="常规 2 28" xfId="6523"/>
    <cellStyle name="常规 2 28 2" xfId="6524"/>
    <cellStyle name="常规 2 28 2 2" xfId="6525"/>
    <cellStyle name="常规 2 28 2 3" xfId="6526"/>
    <cellStyle name="常规 2 28 2 4" xfId="6527"/>
    <cellStyle name="常规 2 28 2 5" xfId="6528"/>
    <cellStyle name="常规 2 28 2 5 2" xfId="6529"/>
    <cellStyle name="常规 2 28 2 6" xfId="6530"/>
    <cellStyle name="常规 2 28 3" xfId="6531"/>
    <cellStyle name="常规 2 29" xfId="6532"/>
    <cellStyle name="常规 2 29 2" xfId="6533"/>
    <cellStyle name="常规 2 29 2 2" xfId="6534"/>
    <cellStyle name="常规 2 29 2 3" xfId="6535"/>
    <cellStyle name="常规 2 29 2 4" xfId="6536"/>
    <cellStyle name="常规 2 29 2 5" xfId="6537"/>
    <cellStyle name="常规 2 29 2 5 2" xfId="6538"/>
    <cellStyle name="常规 2 29 2 6" xfId="6539"/>
    <cellStyle name="常规 2 29 3" xfId="6540"/>
    <cellStyle name="常规 2 3" xfId="23"/>
    <cellStyle name="常规 2 3 2" xfId="6541"/>
    <cellStyle name="常规 2 3 2 2" xfId="6542"/>
    <cellStyle name="常规 2 3 2 3" xfId="6543"/>
    <cellStyle name="常规 2 3 2 4" xfId="6544"/>
    <cellStyle name="常规 2 3 2 5" xfId="6545"/>
    <cellStyle name="常规 2 3 2 5 2" xfId="6546"/>
    <cellStyle name="常规 2 3 2 6" xfId="6547"/>
    <cellStyle name="常规 2 3 3" xfId="6548"/>
    <cellStyle name="常规 2 30" xfId="6549"/>
    <cellStyle name="常规 2 30 2" xfId="6550"/>
    <cellStyle name="常规 2 30 2 2" xfId="6551"/>
    <cellStyle name="常规 2 30 2 3" xfId="6552"/>
    <cellStyle name="常规 2 30 2 4" xfId="6553"/>
    <cellStyle name="常规 2 30 2 5" xfId="6554"/>
    <cellStyle name="常规 2 30 2 5 2" xfId="6555"/>
    <cellStyle name="常规 2 30 2 6" xfId="6556"/>
    <cellStyle name="常规 2 30 3" xfId="6557"/>
    <cellStyle name="常规 2 31" xfId="6558"/>
    <cellStyle name="常规 2 31 2" xfId="6559"/>
    <cellStyle name="常规 2 31 2 2" xfId="6560"/>
    <cellStyle name="常规 2 31 2 3" xfId="6561"/>
    <cellStyle name="常规 2 31 2 4" xfId="6562"/>
    <cellStyle name="常规 2 31 2 5" xfId="6563"/>
    <cellStyle name="常规 2 31 2 5 2" xfId="6564"/>
    <cellStyle name="常规 2 31 2 6" xfId="6565"/>
    <cellStyle name="常规 2 31 3" xfId="6566"/>
    <cellStyle name="常规 2 32" xfId="6567"/>
    <cellStyle name="常规 2 32 2" xfId="6568"/>
    <cellStyle name="常规 2 32 2 2" xfId="6569"/>
    <cellStyle name="常规 2 32 2 3" xfId="6570"/>
    <cellStyle name="常规 2 32 2 4" xfId="6571"/>
    <cellStyle name="常规 2 32 2 5" xfId="6572"/>
    <cellStyle name="常规 2 32 2 5 2" xfId="6573"/>
    <cellStyle name="常规 2 32 2 6" xfId="6574"/>
    <cellStyle name="常规 2 32 3" xfId="6575"/>
    <cellStyle name="常规 2 33" xfId="6576"/>
    <cellStyle name="常规 2 33 2" xfId="6577"/>
    <cellStyle name="常规 2 33 2 2" xfId="6578"/>
    <cellStyle name="常规 2 33 2 3" xfId="6579"/>
    <cellStyle name="常规 2 33 2 4" xfId="6580"/>
    <cellStyle name="常规 2 33 2 5" xfId="6581"/>
    <cellStyle name="常规 2 33 2 5 2" xfId="6582"/>
    <cellStyle name="常规 2 33 2 6" xfId="6583"/>
    <cellStyle name="常规 2 33 3" xfId="6584"/>
    <cellStyle name="常规 2 34" xfId="6585"/>
    <cellStyle name="常规 2 34 2" xfId="6586"/>
    <cellStyle name="常规 2 34 2 2" xfId="6587"/>
    <cellStyle name="常规 2 34 2 3" xfId="6588"/>
    <cellStyle name="常规 2 34 2 4" xfId="6589"/>
    <cellStyle name="常规 2 34 2 5" xfId="6590"/>
    <cellStyle name="常规 2 34 2 5 2" xfId="6591"/>
    <cellStyle name="常规 2 34 2 6" xfId="6592"/>
    <cellStyle name="常规 2 34 3" xfId="6593"/>
    <cellStyle name="常规 2 35" xfId="6594"/>
    <cellStyle name="常规 2 35 2" xfId="6595"/>
    <cellStyle name="常规 2 35 2 2" xfId="6596"/>
    <cellStyle name="常规 2 35 2 3" xfId="6597"/>
    <cellStyle name="常规 2 35 2 4" xfId="6598"/>
    <cellStyle name="常规 2 35 2 5" xfId="6599"/>
    <cellStyle name="常规 2 35 2 5 2" xfId="6600"/>
    <cellStyle name="常规 2 35 2 6" xfId="6601"/>
    <cellStyle name="常规 2 35 3" xfId="6602"/>
    <cellStyle name="常规 2 36" xfId="6603"/>
    <cellStyle name="常规 2 36 2" xfId="6604"/>
    <cellStyle name="常规 2 36 2 2" xfId="6605"/>
    <cellStyle name="常规 2 36 2 3" xfId="6606"/>
    <cellStyle name="常规 2 36 2 4" xfId="6607"/>
    <cellStyle name="常规 2 36 2 5" xfId="6608"/>
    <cellStyle name="常规 2 36 2 5 2" xfId="6609"/>
    <cellStyle name="常规 2 36 2 6" xfId="6610"/>
    <cellStyle name="常规 2 36 3" xfId="6611"/>
    <cellStyle name="常规 2 37" xfId="6612"/>
    <cellStyle name="常规 2 37 2" xfId="6613"/>
    <cellStyle name="常规 2 37 2 2" xfId="6614"/>
    <cellStyle name="常规 2 37 2 3" xfId="6615"/>
    <cellStyle name="常规 2 37 2 4" xfId="6616"/>
    <cellStyle name="常规 2 37 2 5" xfId="6617"/>
    <cellStyle name="常规 2 37 2 5 2" xfId="6618"/>
    <cellStyle name="常规 2 37 2 6" xfId="6619"/>
    <cellStyle name="常规 2 37 3" xfId="6620"/>
    <cellStyle name="常规 2 38" xfId="6621"/>
    <cellStyle name="常规 2 38 2" xfId="6622"/>
    <cellStyle name="常规 2 38 2 2" xfId="6623"/>
    <cellStyle name="常规 2 38 2 3" xfId="6624"/>
    <cellStyle name="常规 2 38 2 4" xfId="6625"/>
    <cellStyle name="常规 2 38 2 5" xfId="6626"/>
    <cellStyle name="常规 2 38 2 5 2" xfId="6627"/>
    <cellStyle name="常规 2 38 2 6" xfId="6628"/>
    <cellStyle name="常规 2 38 3" xfId="6629"/>
    <cellStyle name="常规 2 39" xfId="6630"/>
    <cellStyle name="常规 2 39 2" xfId="6631"/>
    <cellStyle name="常规 2 39 2 2" xfId="6632"/>
    <cellStyle name="常规 2 39 2 3" xfId="6633"/>
    <cellStyle name="常规 2 39 2 4" xfId="6634"/>
    <cellStyle name="常规 2 39 2 5" xfId="6635"/>
    <cellStyle name="常规 2 39 2 5 2" xfId="6636"/>
    <cellStyle name="常规 2 39 2 6" xfId="6637"/>
    <cellStyle name="常规 2 39 3" xfId="6638"/>
    <cellStyle name="常规 2 4" xfId="6639"/>
    <cellStyle name="常规 2 4 2" xfId="6640"/>
    <cellStyle name="常规 2 4 2 2" xfId="6641"/>
    <cellStyle name="常规 2 4 2 3" xfId="6642"/>
    <cellStyle name="常规 2 4 2 4" xfId="6643"/>
    <cellStyle name="常规 2 4 2 5" xfId="6644"/>
    <cellStyle name="常规 2 4 2 5 2" xfId="6645"/>
    <cellStyle name="常规 2 4 2 6" xfId="6646"/>
    <cellStyle name="常规 2 4 3" xfId="6647"/>
    <cellStyle name="常规 2 40" xfId="6648"/>
    <cellStyle name="常规 2 40 2" xfId="6649"/>
    <cellStyle name="常规 2 40 2 2" xfId="6650"/>
    <cellStyle name="常规 2 40 2 3" xfId="6651"/>
    <cellStyle name="常规 2 40 2 4" xfId="6652"/>
    <cellStyle name="常规 2 40 2 5" xfId="6653"/>
    <cellStyle name="常规 2 40 2 5 2" xfId="6654"/>
    <cellStyle name="常规 2 40 2 6" xfId="6655"/>
    <cellStyle name="常规 2 40 3" xfId="6656"/>
    <cellStyle name="常规 2 41" xfId="6657"/>
    <cellStyle name="常规 2 41 2" xfId="6658"/>
    <cellStyle name="常规 2 41 2 2" xfId="6659"/>
    <cellStyle name="常规 2 41 2 3" xfId="6660"/>
    <cellStyle name="常规 2 41 2 4" xfId="6661"/>
    <cellStyle name="常规 2 41 2 5" xfId="6662"/>
    <cellStyle name="常规 2 41 2 5 2" xfId="6663"/>
    <cellStyle name="常规 2 41 2 6" xfId="6664"/>
    <cellStyle name="常规 2 41 3" xfId="6665"/>
    <cellStyle name="常规 2 42" xfId="6666"/>
    <cellStyle name="常规 2 42 2" xfId="6667"/>
    <cellStyle name="常规 2 42 2 2" xfId="6668"/>
    <cellStyle name="常规 2 42 2 3" xfId="6669"/>
    <cellStyle name="常规 2 42 2 4" xfId="6670"/>
    <cellStyle name="常规 2 42 2 5" xfId="6671"/>
    <cellStyle name="常规 2 42 2 5 2" xfId="6672"/>
    <cellStyle name="常规 2 42 2 6" xfId="6673"/>
    <cellStyle name="常规 2 42 3" xfId="6674"/>
    <cellStyle name="常规 2 43" xfId="6675"/>
    <cellStyle name="常规 2 43 2" xfId="6676"/>
    <cellStyle name="常规 2 43 2 2" xfId="6677"/>
    <cellStyle name="常规 2 43 2 3" xfId="6678"/>
    <cellStyle name="常规 2 43 2 4" xfId="6679"/>
    <cellStyle name="常规 2 43 2 5" xfId="6680"/>
    <cellStyle name="常规 2 43 2 5 2" xfId="6681"/>
    <cellStyle name="常规 2 43 2 6" xfId="6682"/>
    <cellStyle name="常规 2 43 3" xfId="6683"/>
    <cellStyle name="常规 2 44" xfId="6684"/>
    <cellStyle name="常规 2 44 2" xfId="6685"/>
    <cellStyle name="常规 2 44 2 2" xfId="6686"/>
    <cellStyle name="常规 2 44 2 3" xfId="6687"/>
    <cellStyle name="常规 2 44 2 4" xfId="6688"/>
    <cellStyle name="常规 2 44 2 5" xfId="6689"/>
    <cellStyle name="常规 2 44 2 5 2" xfId="6690"/>
    <cellStyle name="常规 2 44 2 6" xfId="6691"/>
    <cellStyle name="常规 2 44 3" xfId="6692"/>
    <cellStyle name="常规 2 45" xfId="6693"/>
    <cellStyle name="常规 2 45 2" xfId="6694"/>
    <cellStyle name="常规 2 45 2 2" xfId="6695"/>
    <cellStyle name="常规 2 45 2 3" xfId="6696"/>
    <cellStyle name="常规 2 45 2 4" xfId="6697"/>
    <cellStyle name="常规 2 45 2 5" xfId="6698"/>
    <cellStyle name="常规 2 45 2 5 2" xfId="6699"/>
    <cellStyle name="常规 2 45 2 6" xfId="6700"/>
    <cellStyle name="常规 2 45 3" xfId="6701"/>
    <cellStyle name="常规 2 46" xfId="6702"/>
    <cellStyle name="常规 2 46 2" xfId="6703"/>
    <cellStyle name="常规 2 46 2 2" xfId="6704"/>
    <cellStyle name="常规 2 46 2 3" xfId="6705"/>
    <cellStyle name="常规 2 46 2 4" xfId="6706"/>
    <cellStyle name="常规 2 46 2 5" xfId="6707"/>
    <cellStyle name="常规 2 46 2 5 2" xfId="6708"/>
    <cellStyle name="常规 2 46 2 6" xfId="6709"/>
    <cellStyle name="常规 2 46 3" xfId="6710"/>
    <cellStyle name="常规 2 47" xfId="6711"/>
    <cellStyle name="常规 2 47 2" xfId="6712"/>
    <cellStyle name="常规 2 47 2 2" xfId="6713"/>
    <cellStyle name="常规 2 47 2 3" xfId="6714"/>
    <cellStyle name="常规 2 47 2 4" xfId="6715"/>
    <cellStyle name="常规 2 47 2 5" xfId="6716"/>
    <cellStyle name="常规 2 47 2 5 2" xfId="6717"/>
    <cellStyle name="常规 2 47 2 6" xfId="6718"/>
    <cellStyle name="常规 2 47 3" xfId="6719"/>
    <cellStyle name="常规 2 48" xfId="6720"/>
    <cellStyle name="常规 2 48 2" xfId="6721"/>
    <cellStyle name="常规 2 48 2 2" xfId="6722"/>
    <cellStyle name="常规 2 48 2 3" xfId="6723"/>
    <cellStyle name="常规 2 48 2 4" xfId="6724"/>
    <cellStyle name="常规 2 48 2 5" xfId="6725"/>
    <cellStyle name="常规 2 48 2 5 2" xfId="6726"/>
    <cellStyle name="常规 2 48 2 6" xfId="6727"/>
    <cellStyle name="常规 2 48 3" xfId="6728"/>
    <cellStyle name="常规 2 49" xfId="6729"/>
    <cellStyle name="常规 2 49 2" xfId="6730"/>
    <cellStyle name="常规 2 49 2 2" xfId="6731"/>
    <cellStyle name="常规 2 49 2 3" xfId="6732"/>
    <cellStyle name="常规 2 49 2 4" xfId="6733"/>
    <cellStyle name="常规 2 49 2 5" xfId="6734"/>
    <cellStyle name="常规 2 49 2 5 2" xfId="6735"/>
    <cellStyle name="常规 2 49 2 6" xfId="6736"/>
    <cellStyle name="常规 2 49 3" xfId="6737"/>
    <cellStyle name="常规 2 5" xfId="6738"/>
    <cellStyle name="常规 2 5 2" xfId="6739"/>
    <cellStyle name="常规 2 5 2 2" xfId="6740"/>
    <cellStyle name="常规 2 5 2 3" xfId="6741"/>
    <cellStyle name="常规 2 5 2 4" xfId="6742"/>
    <cellStyle name="常规 2 5 2 5" xfId="6743"/>
    <cellStyle name="常规 2 5 2 5 2" xfId="6744"/>
    <cellStyle name="常规 2 5 2 6" xfId="6745"/>
    <cellStyle name="常规 2 5 3" xfId="6746"/>
    <cellStyle name="常规 2 50" xfId="6747"/>
    <cellStyle name="常规 2 50 2" xfId="6748"/>
    <cellStyle name="常规 2 50 2 2" xfId="6749"/>
    <cellStyle name="常规 2 50 2 3" xfId="6750"/>
    <cellStyle name="常规 2 50 2 4" xfId="6751"/>
    <cellStyle name="常规 2 50 2 5" xfId="6752"/>
    <cellStyle name="常规 2 50 2 5 2" xfId="6753"/>
    <cellStyle name="常规 2 50 2 6" xfId="6754"/>
    <cellStyle name="常规 2 50 3" xfId="6755"/>
    <cellStyle name="常规 2 51" xfId="6756"/>
    <cellStyle name="常规 2 51 2" xfId="6757"/>
    <cellStyle name="常规 2 51 2 2" xfId="6758"/>
    <cellStyle name="常规 2 51 2 2 2" xfId="6759"/>
    <cellStyle name="常规 2 51 2 2 3" xfId="6760"/>
    <cellStyle name="常规 2 51 2 3" xfId="6761"/>
    <cellStyle name="常规 2 51 2 4" xfId="6762"/>
    <cellStyle name="常规 2 51 2 5" xfId="6763"/>
    <cellStyle name="常规 2 51 2 5 2" xfId="6764"/>
    <cellStyle name="常规 2 51 3" xfId="6765"/>
    <cellStyle name="常规 2 51 3 2" xfId="6766"/>
    <cellStyle name="常规 2 51 3 3" xfId="6767"/>
    <cellStyle name="常规 2 51 3 4" xfId="6768"/>
    <cellStyle name="常规 2 51 4" xfId="6769"/>
    <cellStyle name="常规 2 51 4 2" xfId="6770"/>
    <cellStyle name="常规 2 51 5" xfId="6771"/>
    <cellStyle name="常规 2 52" xfId="6772"/>
    <cellStyle name="常规 2 52 2" xfId="6773"/>
    <cellStyle name="常规 2 52 2 2" xfId="6774"/>
    <cellStyle name="常规 2 52 2 2 2" xfId="6775"/>
    <cellStyle name="常规 2 52 2 2 3" xfId="6776"/>
    <cellStyle name="常规 2 52 2 3" xfId="6777"/>
    <cellStyle name="常规 2 52 2 4" xfId="6778"/>
    <cellStyle name="常规 2 52 3" xfId="6779"/>
    <cellStyle name="常规 2 52 3 2" xfId="6780"/>
    <cellStyle name="常规 2 52 3 3" xfId="6781"/>
    <cellStyle name="常规 2 52 4" xfId="6782"/>
    <cellStyle name="常规 2 52 5" xfId="6783"/>
    <cellStyle name="常规 2 52 5 2" xfId="6784"/>
    <cellStyle name="常规 2 52 6" xfId="6785"/>
    <cellStyle name="常规 2 53" xfId="6786"/>
    <cellStyle name="常规 2 53 2" xfId="6787"/>
    <cellStyle name="常规 2 53 2 2" xfId="6788"/>
    <cellStyle name="常规 2 53 2 3" xfId="6789"/>
    <cellStyle name="常规 2 54" xfId="6790"/>
    <cellStyle name="常规 2 54 2" xfId="6791"/>
    <cellStyle name="常规 2 54 2 2" xfId="6792"/>
    <cellStyle name="常规 2 54 2 3" xfId="6793"/>
    <cellStyle name="常规 2 55" xfId="6794"/>
    <cellStyle name="常规 2 55 2" xfId="6795"/>
    <cellStyle name="常规 2 55 2 2" xfId="6796"/>
    <cellStyle name="常规 2 55 2 3" xfId="6797"/>
    <cellStyle name="常规 2 56" xfId="6798"/>
    <cellStyle name="常规 2 56 2" xfId="6799"/>
    <cellStyle name="常规 2 56 2 2" xfId="6800"/>
    <cellStyle name="常规 2 56 2 3" xfId="6801"/>
    <cellStyle name="常规 2 57" xfId="6802"/>
    <cellStyle name="常规 2 57 2" xfId="6803"/>
    <cellStyle name="常规 2 57 2 2" xfId="6804"/>
    <cellStyle name="常规 2 57 2 3" xfId="6805"/>
    <cellStyle name="常规 2 58" xfId="6806"/>
    <cellStyle name="常规 2 58 2" xfId="6807"/>
    <cellStyle name="常规 2 58 2 2" xfId="6808"/>
    <cellStyle name="常规 2 58 2 3" xfId="6809"/>
    <cellStyle name="常规 2 59" xfId="6810"/>
    <cellStyle name="常规 2 59 2" xfId="6811"/>
    <cellStyle name="常规 2 59 2 2" xfId="6812"/>
    <cellStyle name="常规 2 59 2 3" xfId="6813"/>
    <cellStyle name="常规 2 6" xfId="6814"/>
    <cellStyle name="常规 2 6 2" xfId="6815"/>
    <cellStyle name="常规 2 6 2 2" xfId="6816"/>
    <cellStyle name="常规 2 6 2 3" xfId="6817"/>
    <cellStyle name="常规 2 6 2 4" xfId="6818"/>
    <cellStyle name="常规 2 6 2 5" xfId="6819"/>
    <cellStyle name="常规 2 6 2 5 2" xfId="6820"/>
    <cellStyle name="常规 2 6 2 6" xfId="6821"/>
    <cellStyle name="常规 2 6 3" xfId="6822"/>
    <cellStyle name="常规 2 60" xfId="6823"/>
    <cellStyle name="常规 2 60 2" xfId="6824"/>
    <cellStyle name="常规 2 60 2 2" xfId="6825"/>
    <cellStyle name="常规 2 60 2 3" xfId="6826"/>
    <cellStyle name="常规 2 61" xfId="6827"/>
    <cellStyle name="常规 2 61 2" xfId="6828"/>
    <cellStyle name="常规 2 61 2 2" xfId="6829"/>
    <cellStyle name="常规 2 61 2 3" xfId="6830"/>
    <cellStyle name="常规 2 62" xfId="6831"/>
    <cellStyle name="常规 2 62 2" xfId="6832"/>
    <cellStyle name="常规 2 62 2 2" xfId="6833"/>
    <cellStyle name="常规 2 62 2 3" xfId="6834"/>
    <cellStyle name="常规 2 63" xfId="6835"/>
    <cellStyle name="常规 2 63 2" xfId="6836"/>
    <cellStyle name="常规 2 63 2 2" xfId="6837"/>
    <cellStyle name="常规 2 63 2 3" xfId="6838"/>
    <cellStyle name="常规 2 64" xfId="6839"/>
    <cellStyle name="常规 2 64 2" xfId="6840"/>
    <cellStyle name="常规 2 64 2 2" xfId="6841"/>
    <cellStyle name="常规 2 64 2 3" xfId="6842"/>
    <cellStyle name="常规 2 65" xfId="6843"/>
    <cellStyle name="常规 2 65 2" xfId="6844"/>
    <cellStyle name="常规 2 65 3" xfId="6845"/>
    <cellStyle name="常规 2 66" xfId="6846"/>
    <cellStyle name="常规 2 66 2" xfId="6847"/>
    <cellStyle name="常规 2 7" xfId="6848"/>
    <cellStyle name="常规 2 7 2" xfId="6849"/>
    <cellStyle name="常规 2 7 2 2" xfId="6850"/>
    <cellStyle name="常规 2 7 2 3" xfId="6851"/>
    <cellStyle name="常规 2 7 2 4" xfId="6852"/>
    <cellStyle name="常规 2 7 2 5" xfId="6853"/>
    <cellStyle name="常规 2 7 2 5 2" xfId="6854"/>
    <cellStyle name="常规 2 7 2 6" xfId="6855"/>
    <cellStyle name="常规 2 7 3" xfId="6856"/>
    <cellStyle name="常规 2 8" xfId="6857"/>
    <cellStyle name="常规 2 8 2" xfId="6858"/>
    <cellStyle name="常规 2 8 2 2" xfId="6859"/>
    <cellStyle name="常规 2 8 2 3" xfId="6860"/>
    <cellStyle name="常规 2 8 2 4" xfId="6861"/>
    <cellStyle name="常规 2 8 2 5" xfId="6862"/>
    <cellStyle name="常规 2 8 2 5 2" xfId="6863"/>
    <cellStyle name="常规 2 8 2 6" xfId="6864"/>
    <cellStyle name="常规 2 8 3" xfId="6865"/>
    <cellStyle name="常规 2 9" xfId="6866"/>
    <cellStyle name="常规 2 9 2" xfId="6867"/>
    <cellStyle name="常规 2 9 2 2" xfId="6868"/>
    <cellStyle name="常规 2 9 2 3" xfId="6869"/>
    <cellStyle name="常规 2 9 2 4" xfId="6870"/>
    <cellStyle name="常规 2 9 2 5" xfId="6871"/>
    <cellStyle name="常规 2 9 2 5 2" xfId="6872"/>
    <cellStyle name="常规 2 9 2 6" xfId="6873"/>
    <cellStyle name="常规 2 9 3" xfId="6874"/>
    <cellStyle name="常规 2_未放款明细18#19#8.6" xfId="6875"/>
    <cellStyle name="常规 20" xfId="6876"/>
    <cellStyle name="常规 20 10" xfId="6877"/>
    <cellStyle name="常规 20 10 2" xfId="6878"/>
    <cellStyle name="常规 20 10 2 2" xfId="6879"/>
    <cellStyle name="常规 20 10 2 3" xfId="6880"/>
    <cellStyle name="常规 20 10 2 4" xfId="6881"/>
    <cellStyle name="常规 20 10 2 5" xfId="6882"/>
    <cellStyle name="常规 20 10 2 5 2" xfId="6883"/>
    <cellStyle name="常规 20 10 2 6" xfId="6884"/>
    <cellStyle name="常规 20 10 3" xfId="6885"/>
    <cellStyle name="常规 20 11" xfId="6886"/>
    <cellStyle name="常规 20 11 2" xfId="6887"/>
    <cellStyle name="常规 20 11 2 2" xfId="6888"/>
    <cellStyle name="常规 20 11 2 3" xfId="6889"/>
    <cellStyle name="常规 20 11 2 4" xfId="6890"/>
    <cellStyle name="常规 20 11 2 5" xfId="6891"/>
    <cellStyle name="常规 20 11 2 5 2" xfId="6892"/>
    <cellStyle name="常规 20 11 2 6" xfId="6893"/>
    <cellStyle name="常规 20 11 3" xfId="6894"/>
    <cellStyle name="常规 20 12" xfId="6895"/>
    <cellStyle name="常规 20 12 2" xfId="6896"/>
    <cellStyle name="常规 20 12 2 2" xfId="6897"/>
    <cellStyle name="常规 20 12 2 3" xfId="6898"/>
    <cellStyle name="常规 20 12 2 4" xfId="6899"/>
    <cellStyle name="常规 20 12 2 5" xfId="6900"/>
    <cellStyle name="常规 20 12 2 5 2" xfId="6901"/>
    <cellStyle name="常规 20 12 2 6" xfId="6902"/>
    <cellStyle name="常规 20 12 3" xfId="6903"/>
    <cellStyle name="常规 20 13" xfId="6904"/>
    <cellStyle name="常规 20 13 2" xfId="6905"/>
    <cellStyle name="常规 20 13 2 2" xfId="6906"/>
    <cellStyle name="常规 20 13 2 3" xfId="6907"/>
    <cellStyle name="常规 20 13 2 4" xfId="6908"/>
    <cellStyle name="常规 20 13 2 5" xfId="6909"/>
    <cellStyle name="常规 20 13 2 5 2" xfId="6910"/>
    <cellStyle name="常规 20 13 2 6" xfId="6911"/>
    <cellStyle name="常规 20 13 3" xfId="6912"/>
    <cellStyle name="常规 20 14" xfId="6913"/>
    <cellStyle name="常规 20 14 2" xfId="6914"/>
    <cellStyle name="常规 20 14 3" xfId="6915"/>
    <cellStyle name="常规 20 14 4" xfId="6916"/>
    <cellStyle name="常规 20 14 5" xfId="6917"/>
    <cellStyle name="常规 20 14 5 2" xfId="6918"/>
    <cellStyle name="常规 20 14 6" xfId="6919"/>
    <cellStyle name="常规 20 15" xfId="6920"/>
    <cellStyle name="常规 20 2" xfId="6921"/>
    <cellStyle name="常规 20 2 2" xfId="6922"/>
    <cellStyle name="常规 20 2 2 2" xfId="6923"/>
    <cellStyle name="常规 20 2 2 2 2" xfId="6924"/>
    <cellStyle name="常规 20 2 2 2 3" xfId="6925"/>
    <cellStyle name="常规 20 2 2 2 4" xfId="6926"/>
    <cellStyle name="常规 20 2 2 2 5" xfId="6927"/>
    <cellStyle name="常规 20 2 2 2 5 2" xfId="6928"/>
    <cellStyle name="常规 20 2 2 2 6" xfId="6929"/>
    <cellStyle name="常规 20 2 2 3" xfId="6930"/>
    <cellStyle name="常规 20 2 3" xfId="6931"/>
    <cellStyle name="常规 20 2 3 2" xfId="6932"/>
    <cellStyle name="常规 20 2 3 3" xfId="6933"/>
    <cellStyle name="常规 20 2 3 4" xfId="6934"/>
    <cellStyle name="常规 20 2 3 5" xfId="6935"/>
    <cellStyle name="常规 20 2 3 5 2" xfId="6936"/>
    <cellStyle name="常规 20 2 3 6" xfId="6937"/>
    <cellStyle name="常规 20 2 4" xfId="6938"/>
    <cellStyle name="常规 20 3" xfId="6939"/>
    <cellStyle name="常规 20 3 2" xfId="6940"/>
    <cellStyle name="常规 20 3 2 2" xfId="6941"/>
    <cellStyle name="常规 20 3 2 3" xfId="6942"/>
    <cellStyle name="常规 20 3 2 4" xfId="6943"/>
    <cellStyle name="常规 20 3 2 5" xfId="6944"/>
    <cellStyle name="常规 20 3 2 5 2" xfId="6945"/>
    <cellStyle name="常规 20 3 2 6" xfId="6946"/>
    <cellStyle name="常规 20 3 3" xfId="6947"/>
    <cellStyle name="常规 20 4" xfId="6948"/>
    <cellStyle name="常规 20 4 2" xfId="6949"/>
    <cellStyle name="常规 20 4 2 2" xfId="6950"/>
    <cellStyle name="常规 20 4 2 3" xfId="6951"/>
    <cellStyle name="常规 20 4 2 4" xfId="6952"/>
    <cellStyle name="常规 20 4 2 5" xfId="6953"/>
    <cellStyle name="常规 20 4 2 5 2" xfId="6954"/>
    <cellStyle name="常规 20 4 2 6" xfId="6955"/>
    <cellStyle name="常规 20 4 3" xfId="6956"/>
    <cellStyle name="常规 20 5" xfId="6957"/>
    <cellStyle name="常规 20 5 2" xfId="6958"/>
    <cellStyle name="常规 20 5 2 2" xfId="6959"/>
    <cellStyle name="常规 20 5 2 3" xfId="6960"/>
    <cellStyle name="常规 20 5 2 4" xfId="6961"/>
    <cellStyle name="常规 20 5 2 5" xfId="6962"/>
    <cellStyle name="常规 20 5 2 5 2" xfId="6963"/>
    <cellStyle name="常规 20 5 2 6" xfId="6964"/>
    <cellStyle name="常规 20 5 3" xfId="6965"/>
    <cellStyle name="常规 20 6" xfId="6966"/>
    <cellStyle name="常规 20 6 2" xfId="6967"/>
    <cellStyle name="常规 20 6 2 2" xfId="6968"/>
    <cellStyle name="常规 20 6 2 3" xfId="6969"/>
    <cellStyle name="常规 20 6 2 4" xfId="6970"/>
    <cellStyle name="常规 20 6 2 5" xfId="6971"/>
    <cellStyle name="常规 20 6 2 5 2" xfId="6972"/>
    <cellStyle name="常规 20 6 2 6" xfId="6973"/>
    <cellStyle name="常规 20 6 3" xfId="6974"/>
    <cellStyle name="常规 20 7" xfId="6975"/>
    <cellStyle name="常规 20 7 2" xfId="6976"/>
    <cellStyle name="常规 20 7 2 2" xfId="6977"/>
    <cellStyle name="常规 20 7 2 3" xfId="6978"/>
    <cellStyle name="常规 20 7 2 4" xfId="6979"/>
    <cellStyle name="常规 20 7 2 5" xfId="6980"/>
    <cellStyle name="常规 20 7 2 5 2" xfId="6981"/>
    <cellStyle name="常规 20 7 2 6" xfId="6982"/>
    <cellStyle name="常规 20 7 3" xfId="6983"/>
    <cellStyle name="常规 20 8" xfId="6984"/>
    <cellStyle name="常规 20 8 2" xfId="6985"/>
    <cellStyle name="常规 20 8 2 2" xfId="6986"/>
    <cellStyle name="常规 20 8 2 3" xfId="6987"/>
    <cellStyle name="常规 20 8 2 4" xfId="6988"/>
    <cellStyle name="常规 20 8 2 5" xfId="6989"/>
    <cellStyle name="常规 20 8 2 5 2" xfId="6990"/>
    <cellStyle name="常规 20 8 2 6" xfId="6991"/>
    <cellStyle name="常规 20 8 3" xfId="6992"/>
    <cellStyle name="常规 20 9" xfId="6993"/>
    <cellStyle name="常规 20 9 2" xfId="6994"/>
    <cellStyle name="常规 20 9 2 2" xfId="6995"/>
    <cellStyle name="常规 20 9 2 3" xfId="6996"/>
    <cellStyle name="常规 20 9 2 4" xfId="6997"/>
    <cellStyle name="常规 20 9 2 5" xfId="6998"/>
    <cellStyle name="常规 20 9 2 5 2" xfId="6999"/>
    <cellStyle name="常规 20 9 2 6" xfId="7000"/>
    <cellStyle name="常规 20 9 3" xfId="7001"/>
    <cellStyle name="常规 21" xfId="7002"/>
    <cellStyle name="常规 21 10" xfId="7003"/>
    <cellStyle name="常规 21 10 2" xfId="7004"/>
    <cellStyle name="常规 21 10 2 2" xfId="7005"/>
    <cellStyle name="常规 21 10 2 3" xfId="7006"/>
    <cellStyle name="常规 21 10 2 4" xfId="7007"/>
    <cellStyle name="常规 21 10 2 5" xfId="7008"/>
    <cellStyle name="常规 21 10 2 5 2" xfId="7009"/>
    <cellStyle name="常规 21 10 2 6" xfId="7010"/>
    <cellStyle name="常规 21 10 3" xfId="7011"/>
    <cellStyle name="常规 21 11" xfId="7012"/>
    <cellStyle name="常规 21 11 2" xfId="7013"/>
    <cellStyle name="常规 21 11 2 2" xfId="7014"/>
    <cellStyle name="常规 21 11 2 3" xfId="7015"/>
    <cellStyle name="常规 21 11 2 4" xfId="7016"/>
    <cellStyle name="常规 21 11 2 5" xfId="7017"/>
    <cellStyle name="常规 21 11 2 5 2" xfId="7018"/>
    <cellStyle name="常规 21 11 2 6" xfId="7019"/>
    <cellStyle name="常规 21 11 3" xfId="7020"/>
    <cellStyle name="常规 21 12" xfId="7021"/>
    <cellStyle name="常规 21 12 2" xfId="7022"/>
    <cellStyle name="常规 21 12 2 2" xfId="7023"/>
    <cellStyle name="常规 21 12 2 3" xfId="7024"/>
    <cellStyle name="常规 21 12 2 4" xfId="7025"/>
    <cellStyle name="常规 21 12 2 5" xfId="7026"/>
    <cellStyle name="常规 21 12 2 5 2" xfId="7027"/>
    <cellStyle name="常规 21 12 2 6" xfId="7028"/>
    <cellStyle name="常规 21 12 3" xfId="7029"/>
    <cellStyle name="常规 21 13" xfId="7030"/>
    <cellStyle name="常规 21 13 2" xfId="7031"/>
    <cellStyle name="常规 21 13 2 2" xfId="7032"/>
    <cellStyle name="常规 21 13 2 3" xfId="7033"/>
    <cellStyle name="常规 21 13 2 4" xfId="7034"/>
    <cellStyle name="常规 21 13 2 5" xfId="7035"/>
    <cellStyle name="常规 21 13 2 5 2" xfId="7036"/>
    <cellStyle name="常规 21 13 2 6" xfId="7037"/>
    <cellStyle name="常规 21 13 3" xfId="7038"/>
    <cellStyle name="常规 21 14" xfId="7039"/>
    <cellStyle name="常规 21 14 2" xfId="7040"/>
    <cellStyle name="常规 21 14 3" xfId="7041"/>
    <cellStyle name="常规 21 14 4" xfId="7042"/>
    <cellStyle name="常规 21 14 5" xfId="7043"/>
    <cellStyle name="常规 21 14 5 2" xfId="7044"/>
    <cellStyle name="常规 21 14 6" xfId="7045"/>
    <cellStyle name="常规 21 15" xfId="7046"/>
    <cellStyle name="常规 21 2" xfId="7047"/>
    <cellStyle name="常规 21 2 2" xfId="7048"/>
    <cellStyle name="常规 21 2 2 2" xfId="7049"/>
    <cellStyle name="常规 21 2 2 2 2" xfId="7050"/>
    <cellStyle name="常规 21 2 2 2 3" xfId="7051"/>
    <cellStyle name="常规 21 2 2 2 4" xfId="7052"/>
    <cellStyle name="常规 21 2 2 2 5" xfId="7053"/>
    <cellStyle name="常规 21 2 2 2 5 2" xfId="7054"/>
    <cellStyle name="常规 21 2 2 2 6" xfId="7055"/>
    <cellStyle name="常规 21 2 2 3" xfId="7056"/>
    <cellStyle name="常规 21 2 3" xfId="7057"/>
    <cellStyle name="常规 21 2 3 2" xfId="7058"/>
    <cellStyle name="常规 21 2 3 3" xfId="7059"/>
    <cellStyle name="常规 21 2 3 4" xfId="7060"/>
    <cellStyle name="常规 21 2 3 5" xfId="7061"/>
    <cellStyle name="常规 21 2 3 5 2" xfId="7062"/>
    <cellStyle name="常规 21 2 3 6" xfId="7063"/>
    <cellStyle name="常规 21 2 4" xfId="7064"/>
    <cellStyle name="常规 21 3" xfId="7065"/>
    <cellStyle name="常规 21 3 2" xfId="7066"/>
    <cellStyle name="常规 21 3 2 2" xfId="7067"/>
    <cellStyle name="常规 21 3 2 3" xfId="7068"/>
    <cellStyle name="常规 21 3 2 4" xfId="7069"/>
    <cellStyle name="常规 21 3 2 5" xfId="7070"/>
    <cellStyle name="常规 21 3 2 5 2" xfId="7071"/>
    <cellStyle name="常规 21 3 2 6" xfId="7072"/>
    <cellStyle name="常规 21 3 3" xfId="7073"/>
    <cellStyle name="常规 21 4" xfId="7074"/>
    <cellStyle name="常规 21 4 2" xfId="7075"/>
    <cellStyle name="常规 21 4 2 2" xfId="7076"/>
    <cellStyle name="常规 21 4 2 3" xfId="7077"/>
    <cellStyle name="常规 21 4 2 4" xfId="7078"/>
    <cellStyle name="常规 21 4 2 5" xfId="7079"/>
    <cellStyle name="常规 21 4 2 5 2" xfId="7080"/>
    <cellStyle name="常规 21 4 2 6" xfId="7081"/>
    <cellStyle name="常规 21 4 3" xfId="7082"/>
    <cellStyle name="常规 21 5" xfId="7083"/>
    <cellStyle name="常规 21 5 2" xfId="7084"/>
    <cellStyle name="常规 21 5 2 2" xfId="7085"/>
    <cellStyle name="常规 21 5 2 3" xfId="7086"/>
    <cellStyle name="常规 21 5 2 4" xfId="7087"/>
    <cellStyle name="常规 21 5 2 5" xfId="7088"/>
    <cellStyle name="常规 21 5 2 5 2" xfId="7089"/>
    <cellStyle name="常规 21 5 2 6" xfId="7090"/>
    <cellStyle name="常规 21 5 3" xfId="7091"/>
    <cellStyle name="常规 21 6" xfId="7092"/>
    <cellStyle name="常规 21 6 2" xfId="7093"/>
    <cellStyle name="常规 21 6 2 2" xfId="7094"/>
    <cellStyle name="常规 21 6 2 3" xfId="7095"/>
    <cellStyle name="常规 21 6 2 4" xfId="7096"/>
    <cellStyle name="常规 21 6 2 5" xfId="7097"/>
    <cellStyle name="常规 21 6 2 5 2" xfId="7098"/>
    <cellStyle name="常规 21 6 2 6" xfId="7099"/>
    <cellStyle name="常规 21 6 3" xfId="7100"/>
    <cellStyle name="常规 21 7" xfId="7101"/>
    <cellStyle name="常规 21 7 2" xfId="7102"/>
    <cellStyle name="常规 21 7 2 2" xfId="7103"/>
    <cellStyle name="常规 21 7 2 3" xfId="7104"/>
    <cellStyle name="常规 21 7 2 4" xfId="7105"/>
    <cellStyle name="常规 21 7 2 5" xfId="7106"/>
    <cellStyle name="常规 21 7 2 5 2" xfId="7107"/>
    <cellStyle name="常规 21 7 2 6" xfId="7108"/>
    <cellStyle name="常规 21 7 3" xfId="7109"/>
    <cellStyle name="常规 21 8" xfId="7110"/>
    <cellStyle name="常规 21 8 2" xfId="7111"/>
    <cellStyle name="常规 21 8 2 2" xfId="7112"/>
    <cellStyle name="常规 21 8 2 3" xfId="7113"/>
    <cellStyle name="常规 21 8 2 4" xfId="7114"/>
    <cellStyle name="常规 21 8 2 5" xfId="7115"/>
    <cellStyle name="常规 21 8 2 5 2" xfId="7116"/>
    <cellStyle name="常规 21 8 2 6" xfId="7117"/>
    <cellStyle name="常规 21 8 3" xfId="7118"/>
    <cellStyle name="常规 21 9" xfId="7119"/>
    <cellStyle name="常规 21 9 2" xfId="7120"/>
    <cellStyle name="常规 21 9 2 2" xfId="7121"/>
    <cellStyle name="常规 21 9 2 3" xfId="7122"/>
    <cellStyle name="常规 21 9 2 4" xfId="7123"/>
    <cellStyle name="常规 21 9 2 5" xfId="7124"/>
    <cellStyle name="常规 21 9 2 5 2" xfId="7125"/>
    <cellStyle name="常规 21 9 2 6" xfId="7126"/>
    <cellStyle name="常规 21 9 3" xfId="7127"/>
    <cellStyle name="常规 22" xfId="7128"/>
    <cellStyle name="常规 22 10" xfId="7129"/>
    <cellStyle name="常规 22 10 2" xfId="7130"/>
    <cellStyle name="常规 22 10 2 2" xfId="7131"/>
    <cellStyle name="常规 22 10 2 3" xfId="7132"/>
    <cellStyle name="常规 22 10 2 4" xfId="7133"/>
    <cellStyle name="常规 22 10 2 5" xfId="7134"/>
    <cellStyle name="常规 22 10 2 5 2" xfId="7135"/>
    <cellStyle name="常规 22 10 2 6" xfId="7136"/>
    <cellStyle name="常规 22 10 3" xfId="7137"/>
    <cellStyle name="常规 22 11" xfId="7138"/>
    <cellStyle name="常规 22 11 2" xfId="7139"/>
    <cellStyle name="常规 22 11 2 2" xfId="7140"/>
    <cellStyle name="常规 22 11 2 3" xfId="7141"/>
    <cellStyle name="常规 22 11 2 4" xfId="7142"/>
    <cellStyle name="常规 22 11 2 5" xfId="7143"/>
    <cellStyle name="常规 22 11 2 5 2" xfId="7144"/>
    <cellStyle name="常规 22 11 2 6" xfId="7145"/>
    <cellStyle name="常规 22 11 3" xfId="7146"/>
    <cellStyle name="常规 22 12" xfId="7147"/>
    <cellStyle name="常规 22 12 2" xfId="7148"/>
    <cellStyle name="常规 22 12 2 2" xfId="7149"/>
    <cellStyle name="常规 22 12 2 3" xfId="7150"/>
    <cellStyle name="常规 22 12 2 4" xfId="7151"/>
    <cellStyle name="常规 22 12 2 5" xfId="7152"/>
    <cellStyle name="常规 22 12 2 5 2" xfId="7153"/>
    <cellStyle name="常规 22 12 2 6" xfId="7154"/>
    <cellStyle name="常规 22 12 3" xfId="7155"/>
    <cellStyle name="常规 22 13" xfId="7156"/>
    <cellStyle name="常规 22 13 2" xfId="7157"/>
    <cellStyle name="常规 22 13 2 2" xfId="7158"/>
    <cellStyle name="常规 22 13 2 3" xfId="7159"/>
    <cellStyle name="常规 22 13 2 4" xfId="7160"/>
    <cellStyle name="常规 22 13 2 5" xfId="7161"/>
    <cellStyle name="常规 22 13 2 5 2" xfId="7162"/>
    <cellStyle name="常规 22 13 2 6" xfId="7163"/>
    <cellStyle name="常规 22 13 3" xfId="7164"/>
    <cellStyle name="常规 22 14" xfId="7165"/>
    <cellStyle name="常规 22 14 2" xfId="7166"/>
    <cellStyle name="常规 22 14 3" xfId="7167"/>
    <cellStyle name="常规 22 14 4" xfId="7168"/>
    <cellStyle name="常规 22 14 5" xfId="7169"/>
    <cellStyle name="常规 22 14 5 2" xfId="7170"/>
    <cellStyle name="常规 22 14 6" xfId="7171"/>
    <cellStyle name="常规 22 15" xfId="7172"/>
    <cellStyle name="常规 22 2" xfId="7173"/>
    <cellStyle name="常规 22 2 2" xfId="7174"/>
    <cellStyle name="常规 22 2 2 2" xfId="7175"/>
    <cellStyle name="常规 22 2 2 2 2" xfId="7176"/>
    <cellStyle name="常规 22 2 2 2 3" xfId="7177"/>
    <cellStyle name="常规 22 2 2 2 4" xfId="7178"/>
    <cellStyle name="常规 22 2 2 2 5" xfId="7179"/>
    <cellStyle name="常规 22 2 2 2 5 2" xfId="7180"/>
    <cellStyle name="常规 22 2 2 2 6" xfId="7181"/>
    <cellStyle name="常规 22 2 2 3" xfId="7182"/>
    <cellStyle name="常规 22 2 3" xfId="7183"/>
    <cellStyle name="常规 22 2 3 2" xfId="7184"/>
    <cellStyle name="常规 22 2 3 3" xfId="7185"/>
    <cellStyle name="常规 22 2 3 4" xfId="7186"/>
    <cellStyle name="常规 22 2 3 5" xfId="7187"/>
    <cellStyle name="常规 22 2 3 5 2" xfId="7188"/>
    <cellStyle name="常规 22 2 3 6" xfId="7189"/>
    <cellStyle name="常规 22 2 4" xfId="7190"/>
    <cellStyle name="常规 22 3" xfId="7191"/>
    <cellStyle name="常规 22 3 2" xfId="7192"/>
    <cellStyle name="常规 22 3 2 2" xfId="7193"/>
    <cellStyle name="常规 22 3 2 3" xfId="7194"/>
    <cellStyle name="常规 22 3 2 4" xfId="7195"/>
    <cellStyle name="常规 22 3 2 5" xfId="7196"/>
    <cellStyle name="常规 22 3 2 5 2" xfId="7197"/>
    <cellStyle name="常规 22 3 2 6" xfId="7198"/>
    <cellStyle name="常规 22 3 3" xfId="7199"/>
    <cellStyle name="常规 22 4" xfId="7200"/>
    <cellStyle name="常规 22 4 2" xfId="7201"/>
    <cellStyle name="常规 22 4 2 2" xfId="7202"/>
    <cellStyle name="常规 22 4 2 3" xfId="7203"/>
    <cellStyle name="常规 22 4 2 4" xfId="7204"/>
    <cellStyle name="常规 22 4 2 5" xfId="7205"/>
    <cellStyle name="常规 22 4 2 5 2" xfId="7206"/>
    <cellStyle name="常规 22 4 2 6" xfId="7207"/>
    <cellStyle name="常规 22 4 3" xfId="7208"/>
    <cellStyle name="常规 22 5" xfId="7209"/>
    <cellStyle name="常规 22 5 2" xfId="7210"/>
    <cellStyle name="常规 22 5 2 2" xfId="7211"/>
    <cellStyle name="常规 22 5 2 3" xfId="7212"/>
    <cellStyle name="常规 22 5 2 4" xfId="7213"/>
    <cellStyle name="常规 22 5 2 5" xfId="7214"/>
    <cellStyle name="常规 22 5 2 5 2" xfId="7215"/>
    <cellStyle name="常规 22 5 2 6" xfId="7216"/>
    <cellStyle name="常规 22 5 3" xfId="7217"/>
    <cellStyle name="常规 22 6" xfId="7218"/>
    <cellStyle name="常规 22 6 2" xfId="7219"/>
    <cellStyle name="常规 22 6 2 2" xfId="7220"/>
    <cellStyle name="常规 22 6 2 3" xfId="7221"/>
    <cellStyle name="常规 22 6 2 4" xfId="7222"/>
    <cellStyle name="常规 22 6 2 5" xfId="7223"/>
    <cellStyle name="常规 22 6 2 5 2" xfId="7224"/>
    <cellStyle name="常规 22 6 2 6" xfId="7225"/>
    <cellStyle name="常规 22 6 3" xfId="7226"/>
    <cellStyle name="常规 22 7" xfId="7227"/>
    <cellStyle name="常规 22 7 2" xfId="7228"/>
    <cellStyle name="常规 22 7 2 2" xfId="7229"/>
    <cellStyle name="常规 22 7 2 3" xfId="7230"/>
    <cellStyle name="常规 22 7 2 4" xfId="7231"/>
    <cellStyle name="常规 22 7 2 5" xfId="7232"/>
    <cellStyle name="常规 22 7 2 5 2" xfId="7233"/>
    <cellStyle name="常规 22 7 2 6" xfId="7234"/>
    <cellStyle name="常规 22 7 3" xfId="7235"/>
    <cellStyle name="常规 22 8" xfId="7236"/>
    <cellStyle name="常规 22 8 2" xfId="7237"/>
    <cellStyle name="常规 22 8 2 2" xfId="7238"/>
    <cellStyle name="常规 22 8 2 3" xfId="7239"/>
    <cellStyle name="常规 22 8 2 4" xfId="7240"/>
    <cellStyle name="常规 22 8 2 5" xfId="7241"/>
    <cellStyle name="常规 22 8 2 5 2" xfId="7242"/>
    <cellStyle name="常规 22 8 2 6" xfId="7243"/>
    <cellStyle name="常规 22 8 3" xfId="7244"/>
    <cellStyle name="常规 22 9" xfId="7245"/>
    <cellStyle name="常规 22 9 2" xfId="7246"/>
    <cellStyle name="常规 22 9 2 2" xfId="7247"/>
    <cellStyle name="常规 22 9 2 3" xfId="7248"/>
    <cellStyle name="常规 22 9 2 4" xfId="7249"/>
    <cellStyle name="常规 22 9 2 5" xfId="7250"/>
    <cellStyle name="常规 22 9 2 5 2" xfId="7251"/>
    <cellStyle name="常规 22 9 2 6" xfId="7252"/>
    <cellStyle name="常规 22 9 3" xfId="7253"/>
    <cellStyle name="常规 23" xfId="7254"/>
    <cellStyle name="常规 23 10" xfId="7255"/>
    <cellStyle name="常规 23 10 2" xfId="7256"/>
    <cellStyle name="常规 23 10 2 2" xfId="7257"/>
    <cellStyle name="常规 23 10 2 3" xfId="7258"/>
    <cellStyle name="常规 23 10 2 4" xfId="7259"/>
    <cellStyle name="常规 23 10 2 5" xfId="7260"/>
    <cellStyle name="常规 23 10 2 5 2" xfId="7261"/>
    <cellStyle name="常规 23 10 2 6" xfId="7262"/>
    <cellStyle name="常规 23 10 3" xfId="7263"/>
    <cellStyle name="常规 23 11" xfId="7264"/>
    <cellStyle name="常规 23 11 2" xfId="7265"/>
    <cellStyle name="常规 23 11 2 2" xfId="7266"/>
    <cellStyle name="常规 23 11 2 3" xfId="7267"/>
    <cellStyle name="常规 23 11 2 4" xfId="7268"/>
    <cellStyle name="常规 23 11 2 5" xfId="7269"/>
    <cellStyle name="常规 23 11 2 5 2" xfId="7270"/>
    <cellStyle name="常规 23 11 2 6" xfId="7271"/>
    <cellStyle name="常规 23 11 3" xfId="7272"/>
    <cellStyle name="常规 23 12" xfId="7273"/>
    <cellStyle name="常规 23 12 2" xfId="7274"/>
    <cellStyle name="常规 23 12 2 2" xfId="7275"/>
    <cellStyle name="常规 23 12 2 3" xfId="7276"/>
    <cellStyle name="常规 23 12 2 4" xfId="7277"/>
    <cellStyle name="常规 23 12 2 5" xfId="7278"/>
    <cellStyle name="常规 23 12 2 5 2" xfId="7279"/>
    <cellStyle name="常规 23 12 2 6" xfId="7280"/>
    <cellStyle name="常规 23 12 3" xfId="7281"/>
    <cellStyle name="常规 23 13" xfId="7282"/>
    <cellStyle name="常规 23 13 2" xfId="7283"/>
    <cellStyle name="常规 23 13 2 2" xfId="7284"/>
    <cellStyle name="常规 23 13 2 3" xfId="7285"/>
    <cellStyle name="常规 23 13 2 4" xfId="7286"/>
    <cellStyle name="常规 23 13 2 5" xfId="7287"/>
    <cellStyle name="常规 23 13 2 5 2" xfId="7288"/>
    <cellStyle name="常规 23 13 2 6" xfId="7289"/>
    <cellStyle name="常规 23 13 3" xfId="7290"/>
    <cellStyle name="常规 23 14" xfId="7291"/>
    <cellStyle name="常规 23 14 2" xfId="7292"/>
    <cellStyle name="常规 23 14 3" xfId="7293"/>
    <cellStyle name="常规 23 14 4" xfId="7294"/>
    <cellStyle name="常规 23 14 5" xfId="7295"/>
    <cellStyle name="常规 23 14 5 2" xfId="7296"/>
    <cellStyle name="常规 23 14 6" xfId="7297"/>
    <cellStyle name="常规 23 15" xfId="7298"/>
    <cellStyle name="常规 23 2" xfId="7299"/>
    <cellStyle name="常规 23 2 2" xfId="7300"/>
    <cellStyle name="常规 23 2 2 2" xfId="7301"/>
    <cellStyle name="常规 23 2 2 2 2" xfId="7302"/>
    <cellStyle name="常规 23 2 2 2 3" xfId="7303"/>
    <cellStyle name="常规 23 2 2 2 4" xfId="7304"/>
    <cellStyle name="常规 23 2 2 2 5" xfId="7305"/>
    <cellStyle name="常规 23 2 2 2 5 2" xfId="7306"/>
    <cellStyle name="常规 23 2 2 2 6" xfId="7307"/>
    <cellStyle name="常规 23 2 2 3" xfId="7308"/>
    <cellStyle name="常规 23 2 3" xfId="7309"/>
    <cellStyle name="常规 23 2 3 2" xfId="7310"/>
    <cellStyle name="常规 23 2 3 3" xfId="7311"/>
    <cellStyle name="常规 23 2 3 4" xfId="7312"/>
    <cellStyle name="常规 23 2 3 5" xfId="7313"/>
    <cellStyle name="常规 23 2 3 5 2" xfId="7314"/>
    <cellStyle name="常规 23 2 3 6" xfId="7315"/>
    <cellStyle name="常规 23 2 4" xfId="7316"/>
    <cellStyle name="常规 23 3" xfId="7317"/>
    <cellStyle name="常规 23 3 2" xfId="7318"/>
    <cellStyle name="常规 23 3 2 2" xfId="7319"/>
    <cellStyle name="常规 23 3 2 3" xfId="7320"/>
    <cellStyle name="常规 23 3 2 4" xfId="7321"/>
    <cellStyle name="常规 23 3 2 5" xfId="7322"/>
    <cellStyle name="常规 23 3 2 5 2" xfId="7323"/>
    <cellStyle name="常规 23 3 2 6" xfId="7324"/>
    <cellStyle name="常规 23 3 3" xfId="7325"/>
    <cellStyle name="常规 23 4" xfId="7326"/>
    <cellStyle name="常规 23 4 2" xfId="7327"/>
    <cellStyle name="常规 23 4 2 2" xfId="7328"/>
    <cellStyle name="常规 23 4 2 3" xfId="7329"/>
    <cellStyle name="常规 23 4 2 4" xfId="7330"/>
    <cellStyle name="常规 23 4 2 5" xfId="7331"/>
    <cellStyle name="常规 23 4 2 5 2" xfId="7332"/>
    <cellStyle name="常规 23 4 2 6" xfId="7333"/>
    <cellStyle name="常规 23 4 3" xfId="7334"/>
    <cellStyle name="常规 23 5" xfId="7335"/>
    <cellStyle name="常规 23 5 2" xfId="7336"/>
    <cellStyle name="常规 23 5 2 2" xfId="7337"/>
    <cellStyle name="常规 23 5 2 3" xfId="7338"/>
    <cellStyle name="常规 23 5 2 4" xfId="7339"/>
    <cellStyle name="常规 23 5 2 5" xfId="7340"/>
    <cellStyle name="常规 23 5 2 5 2" xfId="7341"/>
    <cellStyle name="常规 23 5 2 6" xfId="7342"/>
    <cellStyle name="常规 23 5 3" xfId="7343"/>
    <cellStyle name="常规 23 6" xfId="7344"/>
    <cellStyle name="常规 23 6 2" xfId="7345"/>
    <cellStyle name="常规 23 6 2 2" xfId="7346"/>
    <cellStyle name="常规 23 6 2 3" xfId="7347"/>
    <cellStyle name="常规 23 6 2 4" xfId="7348"/>
    <cellStyle name="常规 23 6 2 5" xfId="7349"/>
    <cellStyle name="常规 23 6 2 5 2" xfId="7350"/>
    <cellStyle name="常规 23 6 2 6" xfId="7351"/>
    <cellStyle name="常规 23 6 3" xfId="7352"/>
    <cellStyle name="常规 23 7" xfId="7353"/>
    <cellStyle name="常规 23 7 2" xfId="7354"/>
    <cellStyle name="常规 23 7 2 2" xfId="7355"/>
    <cellStyle name="常规 23 7 2 3" xfId="7356"/>
    <cellStyle name="常规 23 7 2 4" xfId="7357"/>
    <cellStyle name="常规 23 7 2 5" xfId="7358"/>
    <cellStyle name="常规 23 7 2 5 2" xfId="7359"/>
    <cellStyle name="常规 23 7 2 6" xfId="7360"/>
    <cellStyle name="常规 23 7 3" xfId="7361"/>
    <cellStyle name="常规 23 8" xfId="7362"/>
    <cellStyle name="常规 23 8 2" xfId="7363"/>
    <cellStyle name="常规 23 8 2 2" xfId="7364"/>
    <cellStyle name="常规 23 8 2 3" xfId="7365"/>
    <cellStyle name="常规 23 8 2 4" xfId="7366"/>
    <cellStyle name="常规 23 8 2 5" xfId="7367"/>
    <cellStyle name="常规 23 8 2 5 2" xfId="7368"/>
    <cellStyle name="常规 23 8 2 6" xfId="7369"/>
    <cellStyle name="常规 23 8 3" xfId="7370"/>
    <cellStyle name="常规 23 9" xfId="7371"/>
    <cellStyle name="常规 23 9 2" xfId="7372"/>
    <cellStyle name="常规 23 9 2 2" xfId="7373"/>
    <cellStyle name="常规 23 9 2 3" xfId="7374"/>
    <cellStyle name="常规 23 9 2 4" xfId="7375"/>
    <cellStyle name="常规 23 9 2 5" xfId="7376"/>
    <cellStyle name="常规 23 9 2 5 2" xfId="7377"/>
    <cellStyle name="常规 23 9 2 6" xfId="7378"/>
    <cellStyle name="常规 23 9 3" xfId="7379"/>
    <cellStyle name="常规 24" xfId="7380"/>
    <cellStyle name="常规 24 10" xfId="7381"/>
    <cellStyle name="常规 24 10 2" xfId="7382"/>
    <cellStyle name="常规 24 10 2 2" xfId="7383"/>
    <cellStyle name="常规 24 10 2 3" xfId="7384"/>
    <cellStyle name="常规 24 10 2 4" xfId="7385"/>
    <cellStyle name="常规 24 10 2 5" xfId="7386"/>
    <cellStyle name="常规 24 10 2 5 2" xfId="7387"/>
    <cellStyle name="常规 24 10 2 6" xfId="7388"/>
    <cellStyle name="常规 24 10 3" xfId="7389"/>
    <cellStyle name="常规 24 11" xfId="7390"/>
    <cellStyle name="常规 24 11 2" xfId="7391"/>
    <cellStyle name="常规 24 11 2 2" xfId="7392"/>
    <cellStyle name="常规 24 11 2 3" xfId="7393"/>
    <cellStyle name="常规 24 11 2 4" xfId="7394"/>
    <cellStyle name="常规 24 11 2 5" xfId="7395"/>
    <cellStyle name="常规 24 11 2 5 2" xfId="7396"/>
    <cellStyle name="常规 24 11 2 6" xfId="7397"/>
    <cellStyle name="常规 24 11 3" xfId="7398"/>
    <cellStyle name="常规 24 12" xfId="7399"/>
    <cellStyle name="常规 24 12 2" xfId="7400"/>
    <cellStyle name="常规 24 12 2 2" xfId="7401"/>
    <cellStyle name="常规 24 12 2 3" xfId="7402"/>
    <cellStyle name="常规 24 12 2 4" xfId="7403"/>
    <cellStyle name="常规 24 12 2 5" xfId="7404"/>
    <cellStyle name="常规 24 12 2 5 2" xfId="7405"/>
    <cellStyle name="常规 24 12 2 6" xfId="7406"/>
    <cellStyle name="常规 24 12 3" xfId="7407"/>
    <cellStyle name="常规 24 13" xfId="7408"/>
    <cellStyle name="常规 24 13 2" xfId="7409"/>
    <cellStyle name="常规 24 13 2 2" xfId="7410"/>
    <cellStyle name="常规 24 13 2 3" xfId="7411"/>
    <cellStyle name="常规 24 13 2 4" xfId="7412"/>
    <cellStyle name="常规 24 13 2 5" xfId="7413"/>
    <cellStyle name="常规 24 13 2 5 2" xfId="7414"/>
    <cellStyle name="常规 24 13 2 6" xfId="7415"/>
    <cellStyle name="常规 24 13 3" xfId="7416"/>
    <cellStyle name="常规 24 14" xfId="7417"/>
    <cellStyle name="常规 24 14 2" xfId="7418"/>
    <cellStyle name="常规 24 14 3" xfId="7419"/>
    <cellStyle name="常规 24 14 4" xfId="7420"/>
    <cellStyle name="常规 24 14 5" xfId="7421"/>
    <cellStyle name="常规 24 14 5 2" xfId="7422"/>
    <cellStyle name="常规 24 14 6" xfId="7423"/>
    <cellStyle name="常规 24 15" xfId="7424"/>
    <cellStyle name="常规 24 2" xfId="7425"/>
    <cellStyle name="常规 24 2 2" xfId="7426"/>
    <cellStyle name="常规 24 2 2 2" xfId="7427"/>
    <cellStyle name="常规 24 2 2 3" xfId="7428"/>
    <cellStyle name="常规 24 2 2 4" xfId="7429"/>
    <cellStyle name="常规 24 2 2 5" xfId="7430"/>
    <cellStyle name="常规 24 2 2 5 2" xfId="7431"/>
    <cellStyle name="常规 24 2 2 6" xfId="7432"/>
    <cellStyle name="常规 24 2 3" xfId="7433"/>
    <cellStyle name="常规 24 3" xfId="7434"/>
    <cellStyle name="常规 24 3 2" xfId="7435"/>
    <cellStyle name="常规 24 3 2 2" xfId="7436"/>
    <cellStyle name="常规 24 3 2 3" xfId="7437"/>
    <cellStyle name="常规 24 3 2 4" xfId="7438"/>
    <cellStyle name="常规 24 3 2 5" xfId="7439"/>
    <cellStyle name="常规 24 3 2 5 2" xfId="7440"/>
    <cellStyle name="常规 24 3 2 6" xfId="7441"/>
    <cellStyle name="常规 24 3 3" xfId="7442"/>
    <cellStyle name="常规 24 4" xfId="7443"/>
    <cellStyle name="常规 24 4 2" xfId="7444"/>
    <cellStyle name="常规 24 4 2 2" xfId="7445"/>
    <cellStyle name="常规 24 4 2 3" xfId="7446"/>
    <cellStyle name="常规 24 4 2 4" xfId="7447"/>
    <cellStyle name="常规 24 4 2 5" xfId="7448"/>
    <cellStyle name="常规 24 4 2 5 2" xfId="7449"/>
    <cellStyle name="常规 24 4 2 6" xfId="7450"/>
    <cellStyle name="常规 24 4 3" xfId="7451"/>
    <cellStyle name="常规 24 5" xfId="7452"/>
    <cellStyle name="常规 24 5 2" xfId="7453"/>
    <cellStyle name="常规 24 5 2 2" xfId="7454"/>
    <cellStyle name="常规 24 5 2 3" xfId="7455"/>
    <cellStyle name="常规 24 5 2 4" xfId="7456"/>
    <cellStyle name="常规 24 5 2 5" xfId="7457"/>
    <cellStyle name="常规 24 5 2 5 2" xfId="7458"/>
    <cellStyle name="常规 24 5 2 6" xfId="7459"/>
    <cellStyle name="常规 24 5 3" xfId="7460"/>
    <cellStyle name="常规 24 6" xfId="7461"/>
    <cellStyle name="常规 24 6 2" xfId="7462"/>
    <cellStyle name="常规 24 6 2 2" xfId="7463"/>
    <cellStyle name="常规 24 6 2 3" xfId="7464"/>
    <cellStyle name="常规 24 6 2 4" xfId="7465"/>
    <cellStyle name="常规 24 6 2 5" xfId="7466"/>
    <cellStyle name="常规 24 6 2 5 2" xfId="7467"/>
    <cellStyle name="常规 24 6 2 6" xfId="7468"/>
    <cellStyle name="常规 24 6 3" xfId="7469"/>
    <cellStyle name="常规 24 7" xfId="7470"/>
    <cellStyle name="常规 24 7 2" xfId="7471"/>
    <cellStyle name="常规 24 7 2 2" xfId="7472"/>
    <cellStyle name="常规 24 7 2 3" xfId="7473"/>
    <cellStyle name="常规 24 7 2 4" xfId="7474"/>
    <cellStyle name="常规 24 7 2 5" xfId="7475"/>
    <cellStyle name="常规 24 7 2 5 2" xfId="7476"/>
    <cellStyle name="常规 24 7 2 6" xfId="7477"/>
    <cellStyle name="常规 24 7 3" xfId="7478"/>
    <cellStyle name="常规 24 8" xfId="7479"/>
    <cellStyle name="常规 24 8 2" xfId="7480"/>
    <cellStyle name="常规 24 8 2 2" xfId="7481"/>
    <cellStyle name="常规 24 8 2 3" xfId="7482"/>
    <cellStyle name="常规 24 8 2 4" xfId="7483"/>
    <cellStyle name="常规 24 8 2 5" xfId="7484"/>
    <cellStyle name="常规 24 8 2 5 2" xfId="7485"/>
    <cellStyle name="常规 24 8 2 6" xfId="7486"/>
    <cellStyle name="常规 24 8 3" xfId="7487"/>
    <cellStyle name="常规 24 9" xfId="7488"/>
    <cellStyle name="常规 24 9 2" xfId="7489"/>
    <cellStyle name="常规 24 9 2 2" xfId="7490"/>
    <cellStyle name="常规 24 9 2 3" xfId="7491"/>
    <cellStyle name="常规 24 9 2 4" xfId="7492"/>
    <cellStyle name="常规 24 9 2 5" xfId="7493"/>
    <cellStyle name="常规 24 9 2 5 2" xfId="7494"/>
    <cellStyle name="常规 24 9 2 6" xfId="7495"/>
    <cellStyle name="常规 24 9 3" xfId="7496"/>
    <cellStyle name="常规 25" xfId="7497"/>
    <cellStyle name="常规 25 10" xfId="7498"/>
    <cellStyle name="常规 25 10 2" xfId="7499"/>
    <cellStyle name="常规 25 10 2 2" xfId="7500"/>
    <cellStyle name="常规 25 10 2 3" xfId="7501"/>
    <cellStyle name="常规 25 10 2 4" xfId="7502"/>
    <cellStyle name="常规 25 10 2 5" xfId="7503"/>
    <cellStyle name="常规 25 10 2 5 2" xfId="7504"/>
    <cellStyle name="常规 25 10 2 6" xfId="7505"/>
    <cellStyle name="常规 25 10 3" xfId="7506"/>
    <cellStyle name="常规 25 11" xfId="7507"/>
    <cellStyle name="常规 25 11 2" xfId="7508"/>
    <cellStyle name="常规 25 11 2 2" xfId="7509"/>
    <cellStyle name="常规 25 11 2 3" xfId="7510"/>
    <cellStyle name="常规 25 11 2 4" xfId="7511"/>
    <cellStyle name="常规 25 11 2 5" xfId="7512"/>
    <cellStyle name="常规 25 11 2 5 2" xfId="7513"/>
    <cellStyle name="常规 25 11 2 6" xfId="7514"/>
    <cellStyle name="常规 25 11 3" xfId="7515"/>
    <cellStyle name="常规 25 12" xfId="7516"/>
    <cellStyle name="常规 25 12 2" xfId="7517"/>
    <cellStyle name="常规 25 12 2 2" xfId="7518"/>
    <cellStyle name="常规 25 12 2 3" xfId="7519"/>
    <cellStyle name="常规 25 12 2 4" xfId="7520"/>
    <cellStyle name="常规 25 12 2 5" xfId="7521"/>
    <cellStyle name="常规 25 12 2 5 2" xfId="7522"/>
    <cellStyle name="常规 25 12 2 6" xfId="7523"/>
    <cellStyle name="常规 25 12 3" xfId="7524"/>
    <cellStyle name="常规 25 13" xfId="7525"/>
    <cellStyle name="常规 25 13 2" xfId="7526"/>
    <cellStyle name="常规 25 13 2 2" xfId="7527"/>
    <cellStyle name="常规 25 13 2 3" xfId="7528"/>
    <cellStyle name="常规 25 13 2 4" xfId="7529"/>
    <cellStyle name="常规 25 13 2 5" xfId="7530"/>
    <cellStyle name="常规 25 13 2 5 2" xfId="7531"/>
    <cellStyle name="常规 25 13 2 6" xfId="7532"/>
    <cellStyle name="常规 25 13 3" xfId="7533"/>
    <cellStyle name="常规 25 14" xfId="7534"/>
    <cellStyle name="常规 25 14 2" xfId="7535"/>
    <cellStyle name="常规 25 14 3" xfId="7536"/>
    <cellStyle name="常规 25 14 4" xfId="7537"/>
    <cellStyle name="常规 25 14 5" xfId="7538"/>
    <cellStyle name="常规 25 14 5 2" xfId="7539"/>
    <cellStyle name="常规 25 14 6" xfId="7540"/>
    <cellStyle name="常规 25 15" xfId="7541"/>
    <cellStyle name="常规 25 2" xfId="7542"/>
    <cellStyle name="常规 25 2 2" xfId="7543"/>
    <cellStyle name="常规 25 2 2 2" xfId="7544"/>
    <cellStyle name="常规 25 2 2 3" xfId="7545"/>
    <cellStyle name="常规 25 2 2 4" xfId="7546"/>
    <cellStyle name="常规 25 2 2 5" xfId="7547"/>
    <cellStyle name="常规 25 2 2 5 2" xfId="7548"/>
    <cellStyle name="常规 25 2 2 6" xfId="7549"/>
    <cellStyle name="常规 25 2 3" xfId="7550"/>
    <cellStyle name="常规 25 3" xfId="7551"/>
    <cellStyle name="常规 25 3 2" xfId="7552"/>
    <cellStyle name="常规 25 3 2 2" xfId="7553"/>
    <cellStyle name="常规 25 3 2 3" xfId="7554"/>
    <cellStyle name="常规 25 3 2 4" xfId="7555"/>
    <cellStyle name="常规 25 3 2 5" xfId="7556"/>
    <cellStyle name="常规 25 3 2 5 2" xfId="7557"/>
    <cellStyle name="常规 25 3 2 6" xfId="7558"/>
    <cellStyle name="常规 25 3 3" xfId="7559"/>
    <cellStyle name="常规 25 4" xfId="7560"/>
    <cellStyle name="常规 25 4 2" xfId="7561"/>
    <cellStyle name="常规 25 4 2 2" xfId="7562"/>
    <cellStyle name="常规 25 4 2 3" xfId="7563"/>
    <cellStyle name="常规 25 4 2 4" xfId="7564"/>
    <cellStyle name="常规 25 4 2 5" xfId="7565"/>
    <cellStyle name="常规 25 4 2 5 2" xfId="7566"/>
    <cellStyle name="常规 25 4 2 6" xfId="7567"/>
    <cellStyle name="常规 25 4 3" xfId="7568"/>
    <cellStyle name="常规 25 5" xfId="7569"/>
    <cellStyle name="常规 25 5 2" xfId="7570"/>
    <cellStyle name="常规 25 5 2 2" xfId="7571"/>
    <cellStyle name="常规 25 5 2 3" xfId="7572"/>
    <cellStyle name="常规 25 5 2 4" xfId="7573"/>
    <cellStyle name="常规 25 5 2 5" xfId="7574"/>
    <cellStyle name="常规 25 5 2 5 2" xfId="7575"/>
    <cellStyle name="常规 25 5 2 6" xfId="7576"/>
    <cellStyle name="常规 25 5 3" xfId="7577"/>
    <cellStyle name="常规 25 6" xfId="7578"/>
    <cellStyle name="常规 25 6 2" xfId="7579"/>
    <cellStyle name="常规 25 6 2 2" xfId="7580"/>
    <cellStyle name="常规 25 6 2 3" xfId="7581"/>
    <cellStyle name="常规 25 6 2 4" xfId="7582"/>
    <cellStyle name="常规 25 6 2 5" xfId="7583"/>
    <cellStyle name="常规 25 6 2 5 2" xfId="7584"/>
    <cellStyle name="常规 25 6 2 6" xfId="7585"/>
    <cellStyle name="常规 25 6 3" xfId="7586"/>
    <cellStyle name="常规 25 7" xfId="7587"/>
    <cellStyle name="常规 25 7 2" xfId="7588"/>
    <cellStyle name="常规 25 7 2 2" xfId="7589"/>
    <cellStyle name="常规 25 7 2 3" xfId="7590"/>
    <cellStyle name="常规 25 7 2 4" xfId="7591"/>
    <cellStyle name="常规 25 7 2 5" xfId="7592"/>
    <cellStyle name="常规 25 7 2 5 2" xfId="7593"/>
    <cellStyle name="常规 25 7 2 6" xfId="7594"/>
    <cellStyle name="常规 25 7 3" xfId="7595"/>
    <cellStyle name="常规 25 8" xfId="7596"/>
    <cellStyle name="常规 25 8 2" xfId="7597"/>
    <cellStyle name="常规 25 8 2 2" xfId="7598"/>
    <cellStyle name="常规 25 8 2 3" xfId="7599"/>
    <cellStyle name="常规 25 8 2 4" xfId="7600"/>
    <cellStyle name="常规 25 8 2 5" xfId="7601"/>
    <cellStyle name="常规 25 8 2 5 2" xfId="7602"/>
    <cellStyle name="常规 25 8 2 6" xfId="7603"/>
    <cellStyle name="常规 25 8 3" xfId="7604"/>
    <cellStyle name="常规 25 9" xfId="7605"/>
    <cellStyle name="常规 25 9 2" xfId="7606"/>
    <cellStyle name="常规 25 9 2 2" xfId="7607"/>
    <cellStyle name="常规 25 9 2 3" xfId="7608"/>
    <cellStyle name="常规 25 9 2 4" xfId="7609"/>
    <cellStyle name="常规 25 9 2 5" xfId="7610"/>
    <cellStyle name="常规 25 9 2 5 2" xfId="7611"/>
    <cellStyle name="常规 25 9 2 6" xfId="7612"/>
    <cellStyle name="常规 25 9 3" xfId="7613"/>
    <cellStyle name="常规 26" xfId="7614"/>
    <cellStyle name="常规 26 10" xfId="7615"/>
    <cellStyle name="常规 26 10 2" xfId="7616"/>
    <cellStyle name="常规 26 10 2 2" xfId="7617"/>
    <cellStyle name="常规 26 10 2 3" xfId="7618"/>
    <cellStyle name="常规 26 10 2 4" xfId="7619"/>
    <cellStyle name="常规 26 10 2 5" xfId="7620"/>
    <cellStyle name="常规 26 10 2 5 2" xfId="7621"/>
    <cellStyle name="常规 26 10 2 6" xfId="7622"/>
    <cellStyle name="常规 26 10 3" xfId="7623"/>
    <cellStyle name="常规 26 11" xfId="7624"/>
    <cellStyle name="常规 26 11 2" xfId="7625"/>
    <cellStyle name="常规 26 11 2 2" xfId="7626"/>
    <cellStyle name="常规 26 11 2 3" xfId="7627"/>
    <cellStyle name="常规 26 11 2 4" xfId="7628"/>
    <cellStyle name="常规 26 11 2 5" xfId="7629"/>
    <cellStyle name="常规 26 11 2 5 2" xfId="7630"/>
    <cellStyle name="常规 26 11 2 6" xfId="7631"/>
    <cellStyle name="常规 26 11 3" xfId="7632"/>
    <cellStyle name="常规 26 12" xfId="7633"/>
    <cellStyle name="常规 26 12 2" xfId="7634"/>
    <cellStyle name="常规 26 12 2 2" xfId="7635"/>
    <cellStyle name="常规 26 12 2 3" xfId="7636"/>
    <cellStyle name="常规 26 12 2 4" xfId="7637"/>
    <cellStyle name="常规 26 12 2 5" xfId="7638"/>
    <cellStyle name="常规 26 12 2 5 2" xfId="7639"/>
    <cellStyle name="常规 26 12 2 6" xfId="7640"/>
    <cellStyle name="常规 26 12 3" xfId="7641"/>
    <cellStyle name="常规 26 13" xfId="7642"/>
    <cellStyle name="常规 26 13 2" xfId="7643"/>
    <cellStyle name="常规 26 13 2 2" xfId="7644"/>
    <cellStyle name="常规 26 13 2 3" xfId="7645"/>
    <cellStyle name="常规 26 13 2 4" xfId="7646"/>
    <cellStyle name="常规 26 13 2 5" xfId="7647"/>
    <cellStyle name="常规 26 13 2 5 2" xfId="7648"/>
    <cellStyle name="常规 26 13 2 6" xfId="7649"/>
    <cellStyle name="常规 26 13 3" xfId="7650"/>
    <cellStyle name="常规 26 14" xfId="7651"/>
    <cellStyle name="常规 26 14 2" xfId="7652"/>
    <cellStyle name="常规 26 14 3" xfId="7653"/>
    <cellStyle name="常规 26 14 4" xfId="7654"/>
    <cellStyle name="常规 26 14 5" xfId="7655"/>
    <cellStyle name="常规 26 14 5 2" xfId="7656"/>
    <cellStyle name="常规 26 14 6" xfId="7657"/>
    <cellStyle name="常规 26 15" xfId="7658"/>
    <cellStyle name="常规 26 2" xfId="7659"/>
    <cellStyle name="常规 26 2 2" xfId="7660"/>
    <cellStyle name="常规 26 2 2 2" xfId="7661"/>
    <cellStyle name="常规 26 2 2 3" xfId="7662"/>
    <cellStyle name="常规 26 2 2 4" xfId="7663"/>
    <cellStyle name="常规 26 2 2 5" xfId="7664"/>
    <cellStyle name="常规 26 2 2 5 2" xfId="7665"/>
    <cellStyle name="常规 26 2 2 6" xfId="7666"/>
    <cellStyle name="常规 26 2 3" xfId="7667"/>
    <cellStyle name="常规 26 3" xfId="7668"/>
    <cellStyle name="常规 26 3 2" xfId="7669"/>
    <cellStyle name="常规 26 3 2 2" xfId="7670"/>
    <cellStyle name="常规 26 3 2 3" xfId="7671"/>
    <cellStyle name="常规 26 3 2 4" xfId="7672"/>
    <cellStyle name="常规 26 3 2 5" xfId="7673"/>
    <cellStyle name="常规 26 3 2 5 2" xfId="7674"/>
    <cellStyle name="常规 26 3 2 6" xfId="7675"/>
    <cellStyle name="常规 26 3 3" xfId="7676"/>
    <cellStyle name="常规 26 4" xfId="7677"/>
    <cellStyle name="常规 26 4 2" xfId="7678"/>
    <cellStyle name="常规 26 4 2 2" xfId="7679"/>
    <cellStyle name="常规 26 4 2 3" xfId="7680"/>
    <cellStyle name="常规 26 4 2 4" xfId="7681"/>
    <cellStyle name="常规 26 4 2 5" xfId="7682"/>
    <cellStyle name="常规 26 4 2 5 2" xfId="7683"/>
    <cellStyle name="常规 26 4 2 6" xfId="7684"/>
    <cellStyle name="常规 26 4 3" xfId="7685"/>
    <cellStyle name="常规 26 5" xfId="7686"/>
    <cellStyle name="常规 26 5 2" xfId="7687"/>
    <cellStyle name="常规 26 5 2 2" xfId="7688"/>
    <cellStyle name="常规 26 5 2 3" xfId="7689"/>
    <cellStyle name="常规 26 5 2 4" xfId="7690"/>
    <cellStyle name="常规 26 5 2 5" xfId="7691"/>
    <cellStyle name="常规 26 5 2 5 2" xfId="7692"/>
    <cellStyle name="常规 26 5 2 6" xfId="7693"/>
    <cellStyle name="常规 26 5 3" xfId="7694"/>
    <cellStyle name="常规 26 6" xfId="7695"/>
    <cellStyle name="常规 26 6 2" xfId="7696"/>
    <cellStyle name="常规 26 6 2 2" xfId="7697"/>
    <cellStyle name="常规 26 6 2 3" xfId="7698"/>
    <cellStyle name="常规 26 6 2 4" xfId="7699"/>
    <cellStyle name="常规 26 6 2 5" xfId="7700"/>
    <cellStyle name="常规 26 6 2 5 2" xfId="7701"/>
    <cellStyle name="常规 26 6 2 6" xfId="7702"/>
    <cellStyle name="常规 26 6 3" xfId="7703"/>
    <cellStyle name="常规 26 7" xfId="7704"/>
    <cellStyle name="常规 26 7 2" xfId="7705"/>
    <cellStyle name="常规 26 7 2 2" xfId="7706"/>
    <cellStyle name="常规 26 7 2 3" xfId="7707"/>
    <cellStyle name="常规 26 7 2 4" xfId="7708"/>
    <cellStyle name="常规 26 7 2 5" xfId="7709"/>
    <cellStyle name="常规 26 7 2 5 2" xfId="7710"/>
    <cellStyle name="常规 26 7 2 6" xfId="7711"/>
    <cellStyle name="常规 26 7 3" xfId="7712"/>
    <cellStyle name="常规 26 8" xfId="7713"/>
    <cellStyle name="常规 26 8 2" xfId="7714"/>
    <cellStyle name="常规 26 8 2 2" xfId="7715"/>
    <cellStyle name="常规 26 8 2 3" xfId="7716"/>
    <cellStyle name="常规 26 8 2 4" xfId="7717"/>
    <cellStyle name="常规 26 8 2 5" xfId="7718"/>
    <cellStyle name="常规 26 8 2 5 2" xfId="7719"/>
    <cellStyle name="常规 26 8 2 6" xfId="7720"/>
    <cellStyle name="常规 26 8 3" xfId="7721"/>
    <cellStyle name="常规 26 9" xfId="7722"/>
    <cellStyle name="常规 26 9 2" xfId="7723"/>
    <cellStyle name="常规 26 9 2 2" xfId="7724"/>
    <cellStyle name="常规 26 9 2 3" xfId="7725"/>
    <cellStyle name="常规 26 9 2 4" xfId="7726"/>
    <cellStyle name="常规 26 9 2 5" xfId="7727"/>
    <cellStyle name="常规 26 9 2 5 2" xfId="7728"/>
    <cellStyle name="常规 26 9 2 6" xfId="7729"/>
    <cellStyle name="常规 26 9 3" xfId="7730"/>
    <cellStyle name="常规 27" xfId="7731"/>
    <cellStyle name="常规 27 10" xfId="7732"/>
    <cellStyle name="常规 27 10 2" xfId="7733"/>
    <cellStyle name="常规 27 10 2 2" xfId="7734"/>
    <cellStyle name="常规 27 10 2 3" xfId="7735"/>
    <cellStyle name="常规 27 10 2 4" xfId="7736"/>
    <cellStyle name="常规 27 10 2 5" xfId="7737"/>
    <cellStyle name="常规 27 10 2 5 2" xfId="7738"/>
    <cellStyle name="常规 27 10 2 6" xfId="7739"/>
    <cellStyle name="常规 27 10 3" xfId="7740"/>
    <cellStyle name="常规 27 11" xfId="7741"/>
    <cellStyle name="常规 27 11 2" xfId="7742"/>
    <cellStyle name="常规 27 11 2 2" xfId="7743"/>
    <cellStyle name="常规 27 11 2 3" xfId="7744"/>
    <cellStyle name="常规 27 11 2 4" xfId="7745"/>
    <cellStyle name="常规 27 11 2 5" xfId="7746"/>
    <cellStyle name="常规 27 11 2 5 2" xfId="7747"/>
    <cellStyle name="常规 27 11 2 6" xfId="7748"/>
    <cellStyle name="常规 27 11 3" xfId="7749"/>
    <cellStyle name="常规 27 12" xfId="7750"/>
    <cellStyle name="常规 27 12 2" xfId="7751"/>
    <cellStyle name="常规 27 12 2 2" xfId="7752"/>
    <cellStyle name="常规 27 12 2 3" xfId="7753"/>
    <cellStyle name="常规 27 12 2 4" xfId="7754"/>
    <cellStyle name="常规 27 12 2 5" xfId="7755"/>
    <cellStyle name="常规 27 12 2 5 2" xfId="7756"/>
    <cellStyle name="常规 27 12 2 6" xfId="7757"/>
    <cellStyle name="常规 27 12 3" xfId="7758"/>
    <cellStyle name="常规 27 13" xfId="7759"/>
    <cellStyle name="常规 27 13 2" xfId="7760"/>
    <cellStyle name="常规 27 13 2 2" xfId="7761"/>
    <cellStyle name="常规 27 13 2 3" xfId="7762"/>
    <cellStyle name="常规 27 13 2 4" xfId="7763"/>
    <cellStyle name="常规 27 13 2 5" xfId="7764"/>
    <cellStyle name="常规 27 13 2 5 2" xfId="7765"/>
    <cellStyle name="常规 27 13 2 6" xfId="7766"/>
    <cellStyle name="常规 27 13 3" xfId="7767"/>
    <cellStyle name="常规 27 14" xfId="7768"/>
    <cellStyle name="常规 27 14 2" xfId="7769"/>
    <cellStyle name="常规 27 14 3" xfId="7770"/>
    <cellStyle name="常规 27 14 4" xfId="7771"/>
    <cellStyle name="常规 27 14 5" xfId="7772"/>
    <cellStyle name="常规 27 14 5 2" xfId="7773"/>
    <cellStyle name="常规 27 14 6" xfId="7774"/>
    <cellStyle name="常规 27 15" xfId="7775"/>
    <cellStyle name="常规 27 2" xfId="7776"/>
    <cellStyle name="常规 27 2 2" xfId="7777"/>
    <cellStyle name="常规 27 2 2 2" xfId="7778"/>
    <cellStyle name="常规 27 2 2 2 2" xfId="7779"/>
    <cellStyle name="常规 27 2 2 2 3" xfId="7780"/>
    <cellStyle name="常规 27 2 2 2 4" xfId="7781"/>
    <cellStyle name="常规 27 2 2 2 5" xfId="7782"/>
    <cellStyle name="常规 27 2 2 2 5 2" xfId="7783"/>
    <cellStyle name="常规 27 2 2 2 6" xfId="7784"/>
    <cellStyle name="常规 27 2 2 3" xfId="7785"/>
    <cellStyle name="常规 27 2 3" xfId="7786"/>
    <cellStyle name="常规 27 2 3 2" xfId="7787"/>
    <cellStyle name="常规 27 2 3 3" xfId="7788"/>
    <cellStyle name="常规 27 2 3 4" xfId="7789"/>
    <cellStyle name="常规 27 2 3 5" xfId="7790"/>
    <cellStyle name="常规 27 2 3 5 2" xfId="7791"/>
    <cellStyle name="常规 27 2 3 6" xfId="7792"/>
    <cellStyle name="常规 27 2 4" xfId="7793"/>
    <cellStyle name="常规 27 3" xfId="7794"/>
    <cellStyle name="常规 27 3 2" xfId="7795"/>
    <cellStyle name="常规 27 3 2 2" xfId="7796"/>
    <cellStyle name="常规 27 3 2 3" xfId="7797"/>
    <cellStyle name="常规 27 3 2 4" xfId="7798"/>
    <cellStyle name="常规 27 3 2 5" xfId="7799"/>
    <cellStyle name="常规 27 3 2 5 2" xfId="7800"/>
    <cellStyle name="常规 27 3 2 6" xfId="7801"/>
    <cellStyle name="常规 27 3 3" xfId="7802"/>
    <cellStyle name="常规 27 4" xfId="7803"/>
    <cellStyle name="常规 27 4 2" xfId="7804"/>
    <cellStyle name="常规 27 4 2 2" xfId="7805"/>
    <cellStyle name="常规 27 4 2 3" xfId="7806"/>
    <cellStyle name="常规 27 4 2 4" xfId="7807"/>
    <cellStyle name="常规 27 4 2 5" xfId="7808"/>
    <cellStyle name="常规 27 4 2 5 2" xfId="7809"/>
    <cellStyle name="常规 27 4 2 6" xfId="7810"/>
    <cellStyle name="常规 27 4 3" xfId="7811"/>
    <cellStyle name="常规 27 5" xfId="7812"/>
    <cellStyle name="常规 27 5 2" xfId="7813"/>
    <cellStyle name="常规 27 5 2 2" xfId="7814"/>
    <cellStyle name="常规 27 5 2 3" xfId="7815"/>
    <cellStyle name="常规 27 5 2 4" xfId="7816"/>
    <cellStyle name="常规 27 5 2 5" xfId="7817"/>
    <cellStyle name="常规 27 5 2 5 2" xfId="7818"/>
    <cellStyle name="常规 27 5 2 6" xfId="7819"/>
    <cellStyle name="常规 27 5 3" xfId="7820"/>
    <cellStyle name="常规 27 6" xfId="7821"/>
    <cellStyle name="常规 27 6 2" xfId="7822"/>
    <cellStyle name="常规 27 6 2 2" xfId="7823"/>
    <cellStyle name="常规 27 6 2 3" xfId="7824"/>
    <cellStyle name="常规 27 6 2 4" xfId="7825"/>
    <cellStyle name="常规 27 6 2 5" xfId="7826"/>
    <cellStyle name="常规 27 6 2 5 2" xfId="7827"/>
    <cellStyle name="常规 27 6 2 6" xfId="7828"/>
    <cellStyle name="常规 27 6 3" xfId="7829"/>
    <cellStyle name="常规 27 7" xfId="7830"/>
    <cellStyle name="常规 27 7 2" xfId="7831"/>
    <cellStyle name="常规 27 7 2 2" xfId="7832"/>
    <cellStyle name="常规 27 7 2 3" xfId="7833"/>
    <cellStyle name="常规 27 7 2 4" xfId="7834"/>
    <cellStyle name="常规 27 7 2 5" xfId="7835"/>
    <cellStyle name="常规 27 7 2 5 2" xfId="7836"/>
    <cellStyle name="常规 27 7 2 6" xfId="7837"/>
    <cellStyle name="常规 27 7 3" xfId="7838"/>
    <cellStyle name="常规 27 8" xfId="7839"/>
    <cellStyle name="常规 27 8 2" xfId="7840"/>
    <cellStyle name="常规 27 8 2 2" xfId="7841"/>
    <cellStyle name="常规 27 8 2 3" xfId="7842"/>
    <cellStyle name="常规 27 8 2 4" xfId="7843"/>
    <cellStyle name="常规 27 8 2 5" xfId="7844"/>
    <cellStyle name="常规 27 8 2 5 2" xfId="7845"/>
    <cellStyle name="常规 27 8 2 6" xfId="7846"/>
    <cellStyle name="常规 27 8 3" xfId="7847"/>
    <cellStyle name="常规 27 9" xfId="7848"/>
    <cellStyle name="常规 27 9 2" xfId="7849"/>
    <cellStyle name="常规 27 9 2 2" xfId="7850"/>
    <cellStyle name="常规 27 9 2 3" xfId="7851"/>
    <cellStyle name="常规 27 9 2 4" xfId="7852"/>
    <cellStyle name="常规 27 9 2 5" xfId="7853"/>
    <cellStyle name="常规 27 9 2 5 2" xfId="7854"/>
    <cellStyle name="常规 27 9 2 6" xfId="7855"/>
    <cellStyle name="常规 27 9 3" xfId="7856"/>
    <cellStyle name="常规 28" xfId="7857"/>
    <cellStyle name="常规 28 10" xfId="7858"/>
    <cellStyle name="常规 28 10 2" xfId="7859"/>
    <cellStyle name="常规 28 10 2 2" xfId="7860"/>
    <cellStyle name="常规 28 10 2 3" xfId="7861"/>
    <cellStyle name="常规 28 10 2 4" xfId="7862"/>
    <cellStyle name="常规 28 10 2 5" xfId="7863"/>
    <cellStyle name="常规 28 10 2 5 2" xfId="7864"/>
    <cellStyle name="常规 28 10 2 6" xfId="7865"/>
    <cellStyle name="常规 28 10 3" xfId="7866"/>
    <cellStyle name="常规 28 11" xfId="7867"/>
    <cellStyle name="常规 28 11 2" xfId="7868"/>
    <cellStyle name="常规 28 11 2 2" xfId="7869"/>
    <cellStyle name="常规 28 11 2 3" xfId="7870"/>
    <cellStyle name="常规 28 11 2 4" xfId="7871"/>
    <cellStyle name="常规 28 11 2 5" xfId="7872"/>
    <cellStyle name="常规 28 11 2 5 2" xfId="7873"/>
    <cellStyle name="常规 28 11 2 6" xfId="7874"/>
    <cellStyle name="常规 28 11 3" xfId="7875"/>
    <cellStyle name="常规 28 12" xfId="7876"/>
    <cellStyle name="常规 28 12 2" xfId="7877"/>
    <cellStyle name="常规 28 12 2 2" xfId="7878"/>
    <cellStyle name="常规 28 12 2 3" xfId="7879"/>
    <cellStyle name="常规 28 12 2 4" xfId="7880"/>
    <cellStyle name="常规 28 12 2 5" xfId="7881"/>
    <cellStyle name="常规 28 12 2 5 2" xfId="7882"/>
    <cellStyle name="常规 28 12 2 6" xfId="7883"/>
    <cellStyle name="常规 28 12 3" xfId="7884"/>
    <cellStyle name="常规 28 13" xfId="7885"/>
    <cellStyle name="常规 28 13 2" xfId="7886"/>
    <cellStyle name="常规 28 13 2 2" xfId="7887"/>
    <cellStyle name="常规 28 13 2 3" xfId="7888"/>
    <cellStyle name="常规 28 13 2 4" xfId="7889"/>
    <cellStyle name="常规 28 13 2 5" xfId="7890"/>
    <cellStyle name="常规 28 13 2 5 2" xfId="7891"/>
    <cellStyle name="常规 28 13 2 6" xfId="7892"/>
    <cellStyle name="常规 28 13 3" xfId="7893"/>
    <cellStyle name="常规 28 14" xfId="7894"/>
    <cellStyle name="常规 28 14 2" xfId="7895"/>
    <cellStyle name="常规 28 14 3" xfId="7896"/>
    <cellStyle name="常规 28 14 4" xfId="7897"/>
    <cellStyle name="常规 28 14 5" xfId="7898"/>
    <cellStyle name="常规 28 14 5 2" xfId="7899"/>
    <cellStyle name="常规 28 14 6" xfId="7900"/>
    <cellStyle name="常规 28 15" xfId="7901"/>
    <cellStyle name="常规 28 2" xfId="7902"/>
    <cellStyle name="常规 28 2 2" xfId="7903"/>
    <cellStyle name="常规 28 2 2 2" xfId="7904"/>
    <cellStyle name="常规 28 2 2 2 2" xfId="7905"/>
    <cellStyle name="常规 28 2 2 2 3" xfId="7906"/>
    <cellStyle name="常规 28 2 2 2 4" xfId="7907"/>
    <cellStyle name="常规 28 2 2 2 5" xfId="7908"/>
    <cellStyle name="常规 28 2 2 2 5 2" xfId="7909"/>
    <cellStyle name="常规 28 2 2 2 6" xfId="7910"/>
    <cellStyle name="常规 28 2 2 3" xfId="7911"/>
    <cellStyle name="常规 28 2 3" xfId="7912"/>
    <cellStyle name="常规 28 2 3 2" xfId="7913"/>
    <cellStyle name="常规 28 2 3 3" xfId="7914"/>
    <cellStyle name="常规 28 2 3 4" xfId="7915"/>
    <cellStyle name="常规 28 2 3 5" xfId="7916"/>
    <cellStyle name="常规 28 2 3 5 2" xfId="7917"/>
    <cellStyle name="常规 28 2 3 6" xfId="7918"/>
    <cellStyle name="常规 28 2 4" xfId="7919"/>
    <cellStyle name="常规 28 3" xfId="7920"/>
    <cellStyle name="常规 28 3 2" xfId="7921"/>
    <cellStyle name="常规 28 3 2 2" xfId="7922"/>
    <cellStyle name="常规 28 3 2 3" xfId="7923"/>
    <cellStyle name="常规 28 3 2 4" xfId="7924"/>
    <cellStyle name="常规 28 3 2 5" xfId="7925"/>
    <cellStyle name="常规 28 3 2 5 2" xfId="7926"/>
    <cellStyle name="常规 28 3 2 6" xfId="7927"/>
    <cellStyle name="常规 28 3 3" xfId="7928"/>
    <cellStyle name="常规 28 4" xfId="7929"/>
    <cellStyle name="常规 28 4 2" xfId="7930"/>
    <cellStyle name="常规 28 4 2 2" xfId="7931"/>
    <cellStyle name="常规 28 4 2 3" xfId="7932"/>
    <cellStyle name="常规 28 4 2 4" xfId="7933"/>
    <cellStyle name="常规 28 4 2 5" xfId="7934"/>
    <cellStyle name="常规 28 4 2 5 2" xfId="7935"/>
    <cellStyle name="常规 28 4 2 6" xfId="7936"/>
    <cellStyle name="常规 28 4 3" xfId="7937"/>
    <cellStyle name="常规 28 5" xfId="7938"/>
    <cellStyle name="常规 28 5 2" xfId="7939"/>
    <cellStyle name="常规 28 5 2 2" xfId="7940"/>
    <cellStyle name="常规 28 5 2 3" xfId="7941"/>
    <cellStyle name="常规 28 5 2 4" xfId="7942"/>
    <cellStyle name="常规 28 5 2 5" xfId="7943"/>
    <cellStyle name="常规 28 5 2 5 2" xfId="7944"/>
    <cellStyle name="常规 28 5 2 6" xfId="7945"/>
    <cellStyle name="常规 28 5 3" xfId="7946"/>
    <cellStyle name="常规 28 6" xfId="7947"/>
    <cellStyle name="常规 28 6 2" xfId="7948"/>
    <cellStyle name="常规 28 6 2 2" xfId="7949"/>
    <cellStyle name="常规 28 6 2 3" xfId="7950"/>
    <cellStyle name="常规 28 6 2 4" xfId="7951"/>
    <cellStyle name="常规 28 6 2 5" xfId="7952"/>
    <cellStyle name="常规 28 6 2 5 2" xfId="7953"/>
    <cellStyle name="常规 28 6 2 6" xfId="7954"/>
    <cellStyle name="常规 28 6 3" xfId="7955"/>
    <cellStyle name="常规 28 7" xfId="7956"/>
    <cellStyle name="常规 28 7 2" xfId="7957"/>
    <cellStyle name="常规 28 7 2 2" xfId="7958"/>
    <cellStyle name="常规 28 7 2 3" xfId="7959"/>
    <cellStyle name="常规 28 7 2 4" xfId="7960"/>
    <cellStyle name="常规 28 7 2 5" xfId="7961"/>
    <cellStyle name="常规 28 7 2 5 2" xfId="7962"/>
    <cellStyle name="常规 28 7 2 6" xfId="7963"/>
    <cellStyle name="常规 28 7 3" xfId="7964"/>
    <cellStyle name="常规 28 8" xfId="7965"/>
    <cellStyle name="常规 28 8 2" xfId="7966"/>
    <cellStyle name="常规 28 8 2 2" xfId="7967"/>
    <cellStyle name="常规 28 8 2 3" xfId="7968"/>
    <cellStyle name="常规 28 8 2 4" xfId="7969"/>
    <cellStyle name="常规 28 8 2 5" xfId="7970"/>
    <cellStyle name="常规 28 8 2 5 2" xfId="7971"/>
    <cellStyle name="常规 28 8 2 6" xfId="7972"/>
    <cellStyle name="常规 28 8 3" xfId="7973"/>
    <cellStyle name="常规 28 9" xfId="7974"/>
    <cellStyle name="常规 28 9 2" xfId="7975"/>
    <cellStyle name="常规 28 9 2 2" xfId="7976"/>
    <cellStyle name="常规 28 9 2 3" xfId="7977"/>
    <cellStyle name="常规 28 9 2 4" xfId="7978"/>
    <cellStyle name="常规 28 9 2 5" xfId="7979"/>
    <cellStyle name="常规 28 9 2 5 2" xfId="7980"/>
    <cellStyle name="常规 28 9 2 6" xfId="7981"/>
    <cellStyle name="常规 28 9 3" xfId="7982"/>
    <cellStyle name="常规 29" xfId="7983"/>
    <cellStyle name="常规 29 10" xfId="7984"/>
    <cellStyle name="常规 29 10 2" xfId="7985"/>
    <cellStyle name="常规 29 10 2 2" xfId="7986"/>
    <cellStyle name="常规 29 10 2 3" xfId="7987"/>
    <cellStyle name="常规 29 10 2 4" xfId="7988"/>
    <cellStyle name="常规 29 10 2 5" xfId="7989"/>
    <cellStyle name="常规 29 10 2 5 2" xfId="7990"/>
    <cellStyle name="常规 29 10 2 6" xfId="7991"/>
    <cellStyle name="常规 29 10 3" xfId="7992"/>
    <cellStyle name="常规 29 11" xfId="7993"/>
    <cellStyle name="常规 29 11 2" xfId="7994"/>
    <cellStyle name="常规 29 11 2 2" xfId="7995"/>
    <cellStyle name="常规 29 11 2 3" xfId="7996"/>
    <cellStyle name="常规 29 11 2 4" xfId="7997"/>
    <cellStyle name="常规 29 11 2 5" xfId="7998"/>
    <cellStyle name="常规 29 11 2 5 2" xfId="7999"/>
    <cellStyle name="常规 29 11 2 6" xfId="8000"/>
    <cellStyle name="常规 29 11 3" xfId="8001"/>
    <cellStyle name="常规 29 12" xfId="8002"/>
    <cellStyle name="常规 29 12 2" xfId="8003"/>
    <cellStyle name="常规 29 12 2 2" xfId="8004"/>
    <cellStyle name="常规 29 12 2 3" xfId="8005"/>
    <cellStyle name="常规 29 12 2 4" xfId="8006"/>
    <cellStyle name="常规 29 12 2 5" xfId="8007"/>
    <cellStyle name="常规 29 12 2 5 2" xfId="8008"/>
    <cellStyle name="常规 29 12 2 6" xfId="8009"/>
    <cellStyle name="常规 29 12 3" xfId="8010"/>
    <cellStyle name="常规 29 13" xfId="8011"/>
    <cellStyle name="常规 29 13 2" xfId="8012"/>
    <cellStyle name="常规 29 13 2 2" xfId="8013"/>
    <cellStyle name="常规 29 13 2 3" xfId="8014"/>
    <cellStyle name="常规 29 13 2 4" xfId="8015"/>
    <cellStyle name="常规 29 13 2 5" xfId="8016"/>
    <cellStyle name="常规 29 13 2 5 2" xfId="8017"/>
    <cellStyle name="常规 29 13 2 6" xfId="8018"/>
    <cellStyle name="常规 29 13 3" xfId="8019"/>
    <cellStyle name="常规 29 14" xfId="8020"/>
    <cellStyle name="常规 29 14 2" xfId="8021"/>
    <cellStyle name="常规 29 14 3" xfId="8022"/>
    <cellStyle name="常规 29 14 4" xfId="8023"/>
    <cellStyle name="常规 29 14 5" xfId="8024"/>
    <cellStyle name="常规 29 14 5 2" xfId="8025"/>
    <cellStyle name="常规 29 14 6" xfId="8026"/>
    <cellStyle name="常规 29 15" xfId="8027"/>
    <cellStyle name="常规 29 2" xfId="8028"/>
    <cellStyle name="常规 29 2 2" xfId="8029"/>
    <cellStyle name="常规 29 2 2 2" xfId="8030"/>
    <cellStyle name="常规 29 2 2 2 2" xfId="8031"/>
    <cellStyle name="常规 29 2 2 2 3" xfId="8032"/>
    <cellStyle name="常规 29 2 2 2 4" xfId="8033"/>
    <cellStyle name="常规 29 2 2 2 5" xfId="8034"/>
    <cellStyle name="常规 29 2 2 2 5 2" xfId="8035"/>
    <cellStyle name="常规 29 2 2 2 6" xfId="8036"/>
    <cellStyle name="常规 29 2 2 3" xfId="8037"/>
    <cellStyle name="常规 29 2 3" xfId="8038"/>
    <cellStyle name="常规 29 2 3 2" xfId="8039"/>
    <cellStyle name="常规 29 2 3 3" xfId="8040"/>
    <cellStyle name="常规 29 2 3 4" xfId="8041"/>
    <cellStyle name="常规 29 2 3 5" xfId="8042"/>
    <cellStyle name="常规 29 2 3 5 2" xfId="8043"/>
    <cellStyle name="常规 29 2 3 6" xfId="8044"/>
    <cellStyle name="常规 29 2 4" xfId="8045"/>
    <cellStyle name="常规 29 3" xfId="8046"/>
    <cellStyle name="常规 29 3 2" xfId="8047"/>
    <cellStyle name="常规 29 3 2 2" xfId="8048"/>
    <cellStyle name="常规 29 3 2 3" xfId="8049"/>
    <cellStyle name="常规 29 3 2 4" xfId="8050"/>
    <cellStyle name="常规 29 3 2 5" xfId="8051"/>
    <cellStyle name="常规 29 3 2 5 2" xfId="8052"/>
    <cellStyle name="常规 29 3 2 6" xfId="8053"/>
    <cellStyle name="常规 29 3 3" xfId="8054"/>
    <cellStyle name="常规 29 4" xfId="8055"/>
    <cellStyle name="常规 29 4 2" xfId="8056"/>
    <cellStyle name="常规 29 4 2 2" xfId="8057"/>
    <cellStyle name="常规 29 4 2 3" xfId="8058"/>
    <cellStyle name="常规 29 4 2 4" xfId="8059"/>
    <cellStyle name="常规 29 4 2 5" xfId="8060"/>
    <cellStyle name="常规 29 4 2 5 2" xfId="8061"/>
    <cellStyle name="常规 29 4 2 6" xfId="8062"/>
    <cellStyle name="常规 29 4 3" xfId="8063"/>
    <cellStyle name="常规 29 5" xfId="8064"/>
    <cellStyle name="常规 29 5 2" xfId="8065"/>
    <cellStyle name="常规 29 5 2 2" xfId="8066"/>
    <cellStyle name="常规 29 5 2 3" xfId="8067"/>
    <cellStyle name="常规 29 5 2 4" xfId="8068"/>
    <cellStyle name="常规 29 5 2 5" xfId="8069"/>
    <cellStyle name="常规 29 5 2 5 2" xfId="8070"/>
    <cellStyle name="常规 29 5 2 6" xfId="8071"/>
    <cellStyle name="常规 29 5 3" xfId="8072"/>
    <cellStyle name="常规 29 6" xfId="8073"/>
    <cellStyle name="常规 29 6 2" xfId="8074"/>
    <cellStyle name="常规 29 6 2 2" xfId="8075"/>
    <cellStyle name="常规 29 6 2 3" xfId="8076"/>
    <cellStyle name="常规 29 6 2 4" xfId="8077"/>
    <cellStyle name="常规 29 6 2 5" xfId="8078"/>
    <cellStyle name="常规 29 6 2 5 2" xfId="8079"/>
    <cellStyle name="常规 29 6 2 6" xfId="8080"/>
    <cellStyle name="常规 29 6 3" xfId="8081"/>
    <cellStyle name="常规 29 7" xfId="8082"/>
    <cellStyle name="常规 29 7 2" xfId="8083"/>
    <cellStyle name="常规 29 7 2 2" xfId="8084"/>
    <cellStyle name="常规 29 7 2 3" xfId="8085"/>
    <cellStyle name="常规 29 7 2 4" xfId="8086"/>
    <cellStyle name="常规 29 7 2 5" xfId="8087"/>
    <cellStyle name="常规 29 7 2 5 2" xfId="8088"/>
    <cellStyle name="常规 29 7 2 6" xfId="8089"/>
    <cellStyle name="常规 29 7 3" xfId="8090"/>
    <cellStyle name="常规 29 8" xfId="8091"/>
    <cellStyle name="常规 29 8 2" xfId="8092"/>
    <cellStyle name="常规 29 8 2 2" xfId="8093"/>
    <cellStyle name="常规 29 8 2 3" xfId="8094"/>
    <cellStyle name="常规 29 8 2 4" xfId="8095"/>
    <cellStyle name="常规 29 8 2 5" xfId="8096"/>
    <cellStyle name="常规 29 8 2 5 2" xfId="8097"/>
    <cellStyle name="常规 29 8 2 6" xfId="8098"/>
    <cellStyle name="常规 29 8 3" xfId="8099"/>
    <cellStyle name="常规 29 9" xfId="8100"/>
    <cellStyle name="常规 29 9 2" xfId="8101"/>
    <cellStyle name="常规 29 9 2 2" xfId="8102"/>
    <cellStyle name="常规 29 9 2 3" xfId="8103"/>
    <cellStyle name="常规 29 9 2 4" xfId="8104"/>
    <cellStyle name="常规 29 9 2 5" xfId="8105"/>
    <cellStyle name="常规 29 9 2 5 2" xfId="8106"/>
    <cellStyle name="常规 29 9 2 6" xfId="8107"/>
    <cellStyle name="常规 29 9 3" xfId="8108"/>
    <cellStyle name="常规 3" xfId="2"/>
    <cellStyle name="常规 3 10" xfId="8109"/>
    <cellStyle name="常规 3 10 2" xfId="8110"/>
    <cellStyle name="常规 3 10 2 2" xfId="8111"/>
    <cellStyle name="常规 3 10 2 3" xfId="8112"/>
    <cellStyle name="常规 3 11" xfId="8113"/>
    <cellStyle name="常规 3 11 2" xfId="8114"/>
    <cellStyle name="常规 3 11 2 2" xfId="8115"/>
    <cellStyle name="常规 3 11 2 3" xfId="8116"/>
    <cellStyle name="常规 3 12" xfId="8117"/>
    <cellStyle name="常规 3 12 2" xfId="8118"/>
    <cellStyle name="常规 3 12 2 2" xfId="8119"/>
    <cellStyle name="常规 3 12 2 3" xfId="8120"/>
    <cellStyle name="常规 3 13" xfId="8121"/>
    <cellStyle name="常规 3 13 2" xfId="8122"/>
    <cellStyle name="常规 3 13 2 2" xfId="8123"/>
    <cellStyle name="常规 3 13 2 3" xfId="8124"/>
    <cellStyle name="常规 3 14" xfId="8125"/>
    <cellStyle name="常规 3 14 2" xfId="8126"/>
    <cellStyle name="常规 3 14 2 2" xfId="8127"/>
    <cellStyle name="常规 3 14 2 3" xfId="8128"/>
    <cellStyle name="常规 3 15" xfId="8129"/>
    <cellStyle name="常规 3 15 2" xfId="8130"/>
    <cellStyle name="常规 3 15 2 2" xfId="8131"/>
    <cellStyle name="常规 3 15 2 3" xfId="8132"/>
    <cellStyle name="常规 3 16" xfId="8133"/>
    <cellStyle name="常规 3 16 2" xfId="8134"/>
    <cellStyle name="常规 3 16 3" xfId="8135"/>
    <cellStyle name="常规 3 17" xfId="8136"/>
    <cellStyle name="常规 3 17 2" xfId="8137"/>
    <cellStyle name="常规 3 2" xfId="3"/>
    <cellStyle name="常规 3 2 10" xfId="8138"/>
    <cellStyle name="常规 3 2 10 2" xfId="8139"/>
    <cellStyle name="常规 3 2 10 2 2" xfId="8140"/>
    <cellStyle name="常规 3 2 10 2 3" xfId="8141"/>
    <cellStyle name="常规 3 2 11" xfId="8142"/>
    <cellStyle name="常规 3 2 11 2" xfId="8143"/>
    <cellStyle name="常规 3 2 11 2 2" xfId="8144"/>
    <cellStyle name="常规 3 2 11 2 3" xfId="8145"/>
    <cellStyle name="常规 3 2 12" xfId="8146"/>
    <cellStyle name="常规 3 2 12 2" xfId="8147"/>
    <cellStyle name="常规 3 2 12 2 2" xfId="8148"/>
    <cellStyle name="常规 3 2 12 2 3" xfId="8149"/>
    <cellStyle name="常规 3 2 13" xfId="8150"/>
    <cellStyle name="常规 3 2 13 2" xfId="8151"/>
    <cellStyle name="常规 3 2 13 2 2" xfId="8152"/>
    <cellStyle name="常规 3 2 13 2 3" xfId="8153"/>
    <cellStyle name="常规 3 2 14" xfId="8154"/>
    <cellStyle name="常规 3 2 14 2" xfId="8155"/>
    <cellStyle name="常规 3 2 14 2 2" xfId="8156"/>
    <cellStyle name="常规 3 2 14 2 3" xfId="8157"/>
    <cellStyle name="常规 3 2 15" xfId="8158"/>
    <cellStyle name="常规 3 2 15 2" xfId="8159"/>
    <cellStyle name="常规 3 2 15 2 2" xfId="8160"/>
    <cellStyle name="常规 3 2 15 2 3" xfId="8161"/>
    <cellStyle name="常规 3 2 16" xfId="8162"/>
    <cellStyle name="常规 3 2 16 2" xfId="8163"/>
    <cellStyle name="常规 3 2 16 2 2" xfId="8164"/>
    <cellStyle name="常规 3 2 16 2 3" xfId="8165"/>
    <cellStyle name="常规 3 2 17" xfId="8166"/>
    <cellStyle name="常规 3 2 17 2" xfId="8167"/>
    <cellStyle name="常规 3 2 17 3" xfId="8168"/>
    <cellStyle name="常规 3 2 2" xfId="8169"/>
    <cellStyle name="常规 3 2 2 2" xfId="8170"/>
    <cellStyle name="常规 3 2 2 2 2" xfId="8171"/>
    <cellStyle name="常规 3 2 2 2 3" xfId="8172"/>
    <cellStyle name="常规 3 2 2 3" xfId="8173"/>
    <cellStyle name="常规 3 2 2 4" xfId="8174"/>
    <cellStyle name="常规 3 2 2 5" xfId="8175"/>
    <cellStyle name="常规 3 2 2 6" xfId="8176"/>
    <cellStyle name="常规 3 2 2 6 2" xfId="8177"/>
    <cellStyle name="常规 3 2 2 7" xfId="8178"/>
    <cellStyle name="常规 3 2 3" xfId="8179"/>
    <cellStyle name="常规 3 2 3 2" xfId="8180"/>
    <cellStyle name="常规 3 2 3 2 2" xfId="8181"/>
    <cellStyle name="常规 3 2 3 2 3" xfId="8182"/>
    <cellStyle name="常规 3 2 4" xfId="8183"/>
    <cellStyle name="常规 3 2 4 2" xfId="8184"/>
    <cellStyle name="常规 3 2 4 2 2" xfId="8185"/>
    <cellStyle name="常规 3 2 4 2 3" xfId="8186"/>
    <cellStyle name="常规 3 2 5" xfId="8187"/>
    <cellStyle name="常规 3 2 5 2" xfId="8188"/>
    <cellStyle name="常规 3 2 5 2 2" xfId="8189"/>
    <cellStyle name="常规 3 2 5 2 3" xfId="8190"/>
    <cellStyle name="常规 3 2 6" xfId="8191"/>
    <cellStyle name="常规 3 2 6 2" xfId="8192"/>
    <cellStyle name="常规 3 2 6 2 2" xfId="8193"/>
    <cellStyle name="常规 3 2 6 2 3" xfId="8194"/>
    <cellStyle name="常规 3 2 7" xfId="8195"/>
    <cellStyle name="常规 3 2 7 2" xfId="8196"/>
    <cellStyle name="常规 3 2 7 2 2" xfId="8197"/>
    <cellStyle name="常规 3 2 7 2 3" xfId="8198"/>
    <cellStyle name="常规 3 2 8" xfId="8199"/>
    <cellStyle name="常规 3 2 8 2" xfId="8200"/>
    <cellStyle name="常规 3 2 8 2 2" xfId="8201"/>
    <cellStyle name="常规 3 2 8 2 3" xfId="8202"/>
    <cellStyle name="常规 3 2 9" xfId="8203"/>
    <cellStyle name="常规 3 2 9 2" xfId="8204"/>
    <cellStyle name="常规 3 2 9 2 2" xfId="8205"/>
    <cellStyle name="常规 3 2 9 2 3" xfId="8206"/>
    <cellStyle name="常规 3 3" xfId="8207"/>
    <cellStyle name="常规 3 3 2" xfId="8208"/>
    <cellStyle name="常规 3 3 2 2" xfId="8209"/>
    <cellStyle name="常规 3 3 2 3" xfId="8210"/>
    <cellStyle name="常规 3 3 3" xfId="8211"/>
    <cellStyle name="常规 3 3 4" xfId="8212"/>
    <cellStyle name="常规 3 3 5" xfId="8213"/>
    <cellStyle name="常规 3 3 5 2" xfId="8214"/>
    <cellStyle name="常规 3 3 6" xfId="8215"/>
    <cellStyle name="常规 3 4" xfId="8216"/>
    <cellStyle name="常规 3 4 2" xfId="8217"/>
    <cellStyle name="常规 3 4 2 2" xfId="8218"/>
    <cellStyle name="常规 3 4 2 3" xfId="8219"/>
    <cellStyle name="常规 3 5" xfId="8220"/>
    <cellStyle name="常规 3 5 2" xfId="8221"/>
    <cellStyle name="常规 3 5 2 2" xfId="8222"/>
    <cellStyle name="常规 3 5 2 3" xfId="8223"/>
    <cellStyle name="常规 3 6" xfId="8224"/>
    <cellStyle name="常规 3 6 2" xfId="8225"/>
    <cellStyle name="常规 3 6 2 2" xfId="8226"/>
    <cellStyle name="常规 3 6 2 3" xfId="8227"/>
    <cellStyle name="常规 3 7" xfId="8228"/>
    <cellStyle name="常规 3 7 2" xfId="8229"/>
    <cellStyle name="常规 3 7 2 2" xfId="8230"/>
    <cellStyle name="常规 3 7 2 3" xfId="8231"/>
    <cellStyle name="常规 3 8" xfId="8232"/>
    <cellStyle name="常规 3 8 2" xfId="8233"/>
    <cellStyle name="常规 3 8 2 2" xfId="8234"/>
    <cellStyle name="常规 3 8 2 3" xfId="8235"/>
    <cellStyle name="常规 3 9" xfId="8236"/>
    <cellStyle name="常规 3 9 2" xfId="8237"/>
    <cellStyle name="常规 3 9 2 2" xfId="8238"/>
    <cellStyle name="常规 3 9 2 3" xfId="8239"/>
    <cellStyle name="常规 30" xfId="8240"/>
    <cellStyle name="常规 30 10" xfId="8241"/>
    <cellStyle name="常规 30 10 2" xfId="8242"/>
    <cellStyle name="常规 30 10 2 2" xfId="8243"/>
    <cellStyle name="常规 30 10 2 3" xfId="8244"/>
    <cellStyle name="常规 30 10 2 4" xfId="8245"/>
    <cellStyle name="常规 30 10 2 5" xfId="8246"/>
    <cellStyle name="常规 30 10 2 5 2" xfId="8247"/>
    <cellStyle name="常规 30 10 2 6" xfId="8248"/>
    <cellStyle name="常规 30 10 3" xfId="8249"/>
    <cellStyle name="常规 30 11" xfId="8250"/>
    <cellStyle name="常规 30 11 2" xfId="8251"/>
    <cellStyle name="常规 30 11 2 2" xfId="8252"/>
    <cellStyle name="常规 30 11 2 3" xfId="8253"/>
    <cellStyle name="常规 30 11 2 4" xfId="8254"/>
    <cellStyle name="常规 30 11 2 5" xfId="8255"/>
    <cellStyle name="常规 30 11 2 5 2" xfId="8256"/>
    <cellStyle name="常规 30 11 2 6" xfId="8257"/>
    <cellStyle name="常规 30 11 3" xfId="8258"/>
    <cellStyle name="常规 30 12" xfId="8259"/>
    <cellStyle name="常规 30 12 2" xfId="8260"/>
    <cellStyle name="常规 30 12 2 2" xfId="8261"/>
    <cellStyle name="常规 30 12 2 3" xfId="8262"/>
    <cellStyle name="常规 30 12 2 4" xfId="8263"/>
    <cellStyle name="常规 30 12 2 5" xfId="8264"/>
    <cellStyle name="常规 30 12 2 5 2" xfId="8265"/>
    <cellStyle name="常规 30 12 2 6" xfId="8266"/>
    <cellStyle name="常规 30 12 3" xfId="8267"/>
    <cellStyle name="常规 30 13" xfId="8268"/>
    <cellStyle name="常规 30 13 2" xfId="8269"/>
    <cellStyle name="常规 30 13 2 2" xfId="8270"/>
    <cellStyle name="常规 30 13 2 3" xfId="8271"/>
    <cellStyle name="常规 30 13 2 4" xfId="8272"/>
    <cellStyle name="常规 30 13 2 5" xfId="8273"/>
    <cellStyle name="常规 30 13 2 5 2" xfId="8274"/>
    <cellStyle name="常规 30 13 2 6" xfId="8275"/>
    <cellStyle name="常规 30 13 3" xfId="8276"/>
    <cellStyle name="常规 30 14" xfId="8277"/>
    <cellStyle name="常规 30 14 2" xfId="8278"/>
    <cellStyle name="常规 30 14 3" xfId="8279"/>
    <cellStyle name="常规 30 14 4" xfId="8280"/>
    <cellStyle name="常规 30 14 5" xfId="8281"/>
    <cellStyle name="常规 30 14 5 2" xfId="8282"/>
    <cellStyle name="常规 30 14 6" xfId="8283"/>
    <cellStyle name="常规 30 15" xfId="8284"/>
    <cellStyle name="常规 30 2" xfId="8285"/>
    <cellStyle name="常规 30 2 2" xfId="8286"/>
    <cellStyle name="常规 30 2 2 2" xfId="8287"/>
    <cellStyle name="常规 30 2 2 2 2" xfId="8288"/>
    <cellStyle name="常规 30 2 2 2 3" xfId="8289"/>
    <cellStyle name="常规 30 2 2 2 4" xfId="8290"/>
    <cellStyle name="常规 30 2 2 2 5" xfId="8291"/>
    <cellStyle name="常规 30 2 2 2 5 2" xfId="8292"/>
    <cellStyle name="常规 30 2 2 2 6" xfId="8293"/>
    <cellStyle name="常规 30 2 2 3" xfId="8294"/>
    <cellStyle name="常规 30 2 3" xfId="8295"/>
    <cellStyle name="常规 30 2 3 2" xfId="8296"/>
    <cellStyle name="常规 30 2 3 3" xfId="8297"/>
    <cellStyle name="常规 30 2 3 4" xfId="8298"/>
    <cellStyle name="常规 30 2 3 5" xfId="8299"/>
    <cellStyle name="常规 30 2 3 5 2" xfId="8300"/>
    <cellStyle name="常规 30 2 3 6" xfId="8301"/>
    <cellStyle name="常规 30 2 4" xfId="8302"/>
    <cellStyle name="常规 30 3" xfId="8303"/>
    <cellStyle name="常规 30 3 2" xfId="8304"/>
    <cellStyle name="常规 30 3 2 2" xfId="8305"/>
    <cellStyle name="常规 30 3 2 3" xfId="8306"/>
    <cellStyle name="常规 30 3 2 4" xfId="8307"/>
    <cellStyle name="常规 30 3 2 5" xfId="8308"/>
    <cellStyle name="常规 30 3 2 5 2" xfId="8309"/>
    <cellStyle name="常规 30 3 2 6" xfId="8310"/>
    <cellStyle name="常规 30 3 3" xfId="8311"/>
    <cellStyle name="常规 30 4" xfId="8312"/>
    <cellStyle name="常规 30 4 2" xfId="8313"/>
    <cellStyle name="常规 30 4 2 2" xfId="8314"/>
    <cellStyle name="常规 30 4 2 3" xfId="8315"/>
    <cellStyle name="常规 30 4 2 4" xfId="8316"/>
    <cellStyle name="常规 30 4 2 5" xfId="8317"/>
    <cellStyle name="常规 30 4 2 5 2" xfId="8318"/>
    <cellStyle name="常规 30 4 2 6" xfId="8319"/>
    <cellStyle name="常规 30 4 3" xfId="8320"/>
    <cellStyle name="常规 30 5" xfId="8321"/>
    <cellStyle name="常规 30 5 2" xfId="8322"/>
    <cellStyle name="常规 30 5 2 2" xfId="8323"/>
    <cellStyle name="常规 30 5 2 3" xfId="8324"/>
    <cellStyle name="常规 30 5 2 4" xfId="8325"/>
    <cellStyle name="常规 30 5 2 5" xfId="8326"/>
    <cellStyle name="常规 30 5 2 5 2" xfId="8327"/>
    <cellStyle name="常规 30 5 2 6" xfId="8328"/>
    <cellStyle name="常规 30 5 3" xfId="8329"/>
    <cellStyle name="常规 30 6" xfId="8330"/>
    <cellStyle name="常规 30 6 2" xfId="8331"/>
    <cellStyle name="常规 30 6 2 2" xfId="8332"/>
    <cellStyle name="常规 30 6 2 3" xfId="8333"/>
    <cellStyle name="常规 30 6 2 4" xfId="8334"/>
    <cellStyle name="常规 30 6 2 5" xfId="8335"/>
    <cellStyle name="常规 30 6 2 5 2" xfId="8336"/>
    <cellStyle name="常规 30 6 2 6" xfId="8337"/>
    <cellStyle name="常规 30 6 3" xfId="8338"/>
    <cellStyle name="常规 30 7" xfId="8339"/>
    <cellStyle name="常规 30 7 2" xfId="8340"/>
    <cellStyle name="常规 30 7 2 2" xfId="8341"/>
    <cellStyle name="常规 30 7 2 3" xfId="8342"/>
    <cellStyle name="常规 30 7 2 4" xfId="8343"/>
    <cellStyle name="常规 30 7 2 5" xfId="8344"/>
    <cellStyle name="常规 30 7 2 5 2" xfId="8345"/>
    <cellStyle name="常规 30 7 2 6" xfId="8346"/>
    <cellStyle name="常规 30 7 3" xfId="8347"/>
    <cellStyle name="常规 30 8" xfId="8348"/>
    <cellStyle name="常规 30 8 2" xfId="8349"/>
    <cellStyle name="常规 30 8 2 2" xfId="8350"/>
    <cellStyle name="常规 30 8 2 3" xfId="8351"/>
    <cellStyle name="常规 30 8 2 4" xfId="8352"/>
    <cellStyle name="常规 30 8 2 5" xfId="8353"/>
    <cellStyle name="常规 30 8 2 5 2" xfId="8354"/>
    <cellStyle name="常规 30 8 2 6" xfId="8355"/>
    <cellStyle name="常规 30 8 3" xfId="8356"/>
    <cellStyle name="常规 30 9" xfId="8357"/>
    <cellStyle name="常规 30 9 2" xfId="8358"/>
    <cellStyle name="常规 30 9 2 2" xfId="8359"/>
    <cellStyle name="常规 30 9 2 3" xfId="8360"/>
    <cellStyle name="常规 30 9 2 4" xfId="8361"/>
    <cellStyle name="常规 30 9 2 5" xfId="8362"/>
    <cellStyle name="常规 30 9 2 5 2" xfId="8363"/>
    <cellStyle name="常规 30 9 2 6" xfId="8364"/>
    <cellStyle name="常规 30 9 3" xfId="8365"/>
    <cellStyle name="常规 31" xfId="8366"/>
    <cellStyle name="常规 31 10" xfId="8367"/>
    <cellStyle name="常规 31 10 2" xfId="8368"/>
    <cellStyle name="常规 31 10 2 2" xfId="8369"/>
    <cellStyle name="常规 31 10 2 3" xfId="8370"/>
    <cellStyle name="常规 31 10 2 4" xfId="8371"/>
    <cellStyle name="常规 31 10 2 5" xfId="8372"/>
    <cellStyle name="常规 31 10 2 5 2" xfId="8373"/>
    <cellStyle name="常规 31 10 2 6" xfId="8374"/>
    <cellStyle name="常规 31 10 3" xfId="8375"/>
    <cellStyle name="常规 31 11" xfId="8376"/>
    <cellStyle name="常规 31 11 2" xfId="8377"/>
    <cellStyle name="常规 31 11 2 2" xfId="8378"/>
    <cellStyle name="常规 31 11 2 3" xfId="8379"/>
    <cellStyle name="常规 31 11 2 4" xfId="8380"/>
    <cellStyle name="常规 31 11 2 5" xfId="8381"/>
    <cellStyle name="常规 31 11 2 5 2" xfId="8382"/>
    <cellStyle name="常规 31 11 2 6" xfId="8383"/>
    <cellStyle name="常规 31 11 3" xfId="8384"/>
    <cellStyle name="常规 31 12" xfId="8385"/>
    <cellStyle name="常规 31 12 2" xfId="8386"/>
    <cellStyle name="常规 31 12 2 2" xfId="8387"/>
    <cellStyle name="常规 31 12 2 3" xfId="8388"/>
    <cellStyle name="常规 31 12 2 4" xfId="8389"/>
    <cellStyle name="常规 31 12 2 5" xfId="8390"/>
    <cellStyle name="常规 31 12 2 5 2" xfId="8391"/>
    <cellStyle name="常规 31 12 2 6" xfId="8392"/>
    <cellStyle name="常规 31 12 3" xfId="8393"/>
    <cellStyle name="常规 31 13" xfId="8394"/>
    <cellStyle name="常规 31 13 2" xfId="8395"/>
    <cellStyle name="常规 31 13 2 2" xfId="8396"/>
    <cellStyle name="常规 31 13 2 3" xfId="8397"/>
    <cellStyle name="常规 31 13 2 4" xfId="8398"/>
    <cellStyle name="常规 31 13 2 5" xfId="8399"/>
    <cellStyle name="常规 31 13 2 5 2" xfId="8400"/>
    <cellStyle name="常规 31 13 2 6" xfId="8401"/>
    <cellStyle name="常规 31 13 3" xfId="8402"/>
    <cellStyle name="常规 31 14" xfId="8403"/>
    <cellStyle name="常规 31 14 2" xfId="8404"/>
    <cellStyle name="常规 31 14 3" xfId="8405"/>
    <cellStyle name="常规 31 14 4" xfId="8406"/>
    <cellStyle name="常规 31 14 5" xfId="8407"/>
    <cellStyle name="常规 31 14 5 2" xfId="8408"/>
    <cellStyle name="常规 31 14 6" xfId="8409"/>
    <cellStyle name="常规 31 15" xfId="8410"/>
    <cellStyle name="常规 31 2" xfId="8411"/>
    <cellStyle name="常规 31 2 2" xfId="8412"/>
    <cellStyle name="常规 31 2 2 2" xfId="8413"/>
    <cellStyle name="常规 31 2 2 2 2" xfId="8414"/>
    <cellStyle name="常规 31 2 2 2 3" xfId="8415"/>
    <cellStyle name="常规 31 2 2 2 4" xfId="8416"/>
    <cellStyle name="常规 31 2 2 2 5" xfId="8417"/>
    <cellStyle name="常规 31 2 2 2 5 2" xfId="8418"/>
    <cellStyle name="常规 31 2 2 2 6" xfId="8419"/>
    <cellStyle name="常规 31 2 2 3" xfId="8420"/>
    <cellStyle name="常规 31 2 3" xfId="8421"/>
    <cellStyle name="常规 31 2 3 2" xfId="8422"/>
    <cellStyle name="常规 31 2 3 3" xfId="8423"/>
    <cellStyle name="常规 31 2 3 4" xfId="8424"/>
    <cellStyle name="常规 31 2 3 5" xfId="8425"/>
    <cellStyle name="常规 31 2 3 5 2" xfId="8426"/>
    <cellStyle name="常规 31 2 3 6" xfId="8427"/>
    <cellStyle name="常规 31 2 4" xfId="8428"/>
    <cellStyle name="常规 31 3" xfId="8429"/>
    <cellStyle name="常规 31 3 2" xfId="8430"/>
    <cellStyle name="常规 31 3 2 2" xfId="8431"/>
    <cellStyle name="常规 31 3 2 3" xfId="8432"/>
    <cellStyle name="常规 31 3 2 4" xfId="8433"/>
    <cellStyle name="常规 31 3 2 5" xfId="8434"/>
    <cellStyle name="常规 31 3 2 5 2" xfId="8435"/>
    <cellStyle name="常规 31 3 2 6" xfId="8436"/>
    <cellStyle name="常规 31 3 3" xfId="8437"/>
    <cellStyle name="常规 31 4" xfId="8438"/>
    <cellStyle name="常规 31 4 2" xfId="8439"/>
    <cellStyle name="常规 31 4 2 2" xfId="8440"/>
    <cellStyle name="常规 31 4 2 3" xfId="8441"/>
    <cellStyle name="常规 31 4 2 4" xfId="8442"/>
    <cellStyle name="常规 31 4 2 5" xfId="8443"/>
    <cellStyle name="常规 31 4 2 5 2" xfId="8444"/>
    <cellStyle name="常规 31 4 2 6" xfId="8445"/>
    <cellStyle name="常规 31 4 3" xfId="8446"/>
    <cellStyle name="常规 31 5" xfId="8447"/>
    <cellStyle name="常规 31 5 2" xfId="8448"/>
    <cellStyle name="常规 31 5 2 2" xfId="8449"/>
    <cellStyle name="常规 31 5 2 3" xfId="8450"/>
    <cellStyle name="常规 31 5 2 4" xfId="8451"/>
    <cellStyle name="常规 31 5 2 5" xfId="8452"/>
    <cellStyle name="常规 31 5 2 5 2" xfId="8453"/>
    <cellStyle name="常规 31 5 2 6" xfId="8454"/>
    <cellStyle name="常规 31 5 3" xfId="8455"/>
    <cellStyle name="常规 31 6" xfId="8456"/>
    <cellStyle name="常规 31 6 2" xfId="8457"/>
    <cellStyle name="常规 31 6 2 2" xfId="8458"/>
    <cellStyle name="常规 31 6 2 3" xfId="8459"/>
    <cellStyle name="常规 31 6 2 4" xfId="8460"/>
    <cellStyle name="常规 31 6 2 5" xfId="8461"/>
    <cellStyle name="常规 31 6 2 5 2" xfId="8462"/>
    <cellStyle name="常规 31 6 2 6" xfId="8463"/>
    <cellStyle name="常规 31 6 3" xfId="8464"/>
    <cellStyle name="常规 31 7" xfId="8465"/>
    <cellStyle name="常规 31 7 2" xfId="8466"/>
    <cellStyle name="常规 31 7 2 2" xfId="8467"/>
    <cellStyle name="常规 31 7 2 3" xfId="8468"/>
    <cellStyle name="常规 31 7 2 4" xfId="8469"/>
    <cellStyle name="常规 31 7 2 5" xfId="8470"/>
    <cellStyle name="常规 31 7 2 5 2" xfId="8471"/>
    <cellStyle name="常规 31 7 2 6" xfId="8472"/>
    <cellStyle name="常规 31 7 3" xfId="8473"/>
    <cellStyle name="常规 31 8" xfId="8474"/>
    <cellStyle name="常规 31 8 2" xfId="8475"/>
    <cellStyle name="常规 31 8 2 2" xfId="8476"/>
    <cellStyle name="常规 31 8 2 3" xfId="8477"/>
    <cellStyle name="常规 31 8 2 4" xfId="8478"/>
    <cellStyle name="常规 31 8 2 5" xfId="8479"/>
    <cellStyle name="常规 31 8 2 5 2" xfId="8480"/>
    <cellStyle name="常规 31 8 2 6" xfId="8481"/>
    <cellStyle name="常规 31 8 3" xfId="8482"/>
    <cellStyle name="常规 31 9" xfId="8483"/>
    <cellStyle name="常规 31 9 2" xfId="8484"/>
    <cellStyle name="常规 31 9 2 2" xfId="8485"/>
    <cellStyle name="常规 31 9 2 3" xfId="8486"/>
    <cellStyle name="常规 31 9 2 4" xfId="8487"/>
    <cellStyle name="常规 31 9 2 5" xfId="8488"/>
    <cellStyle name="常规 31 9 2 5 2" xfId="8489"/>
    <cellStyle name="常规 31 9 2 6" xfId="8490"/>
    <cellStyle name="常规 31 9 3" xfId="8491"/>
    <cellStyle name="常规 32" xfId="8492"/>
    <cellStyle name="常规 32 10" xfId="8493"/>
    <cellStyle name="常规 32 10 2" xfId="8494"/>
    <cellStyle name="常规 32 10 2 2" xfId="8495"/>
    <cellStyle name="常规 32 10 2 3" xfId="8496"/>
    <cellStyle name="常规 32 10 2 4" xfId="8497"/>
    <cellStyle name="常规 32 10 2 5" xfId="8498"/>
    <cellStyle name="常规 32 10 2 5 2" xfId="8499"/>
    <cellStyle name="常规 32 10 2 6" xfId="8500"/>
    <cellStyle name="常规 32 10 3" xfId="8501"/>
    <cellStyle name="常规 32 11" xfId="8502"/>
    <cellStyle name="常规 32 11 2" xfId="8503"/>
    <cellStyle name="常规 32 11 2 2" xfId="8504"/>
    <cellStyle name="常规 32 11 2 3" xfId="8505"/>
    <cellStyle name="常规 32 11 2 4" xfId="8506"/>
    <cellStyle name="常规 32 11 2 5" xfId="8507"/>
    <cellStyle name="常规 32 11 2 5 2" xfId="8508"/>
    <cellStyle name="常规 32 11 2 6" xfId="8509"/>
    <cellStyle name="常规 32 11 3" xfId="8510"/>
    <cellStyle name="常规 32 12" xfId="8511"/>
    <cellStyle name="常规 32 12 2" xfId="8512"/>
    <cellStyle name="常规 32 12 2 2" xfId="8513"/>
    <cellStyle name="常规 32 12 2 3" xfId="8514"/>
    <cellStyle name="常规 32 12 2 4" xfId="8515"/>
    <cellStyle name="常规 32 12 2 5" xfId="8516"/>
    <cellStyle name="常规 32 12 2 5 2" xfId="8517"/>
    <cellStyle name="常规 32 12 2 6" xfId="8518"/>
    <cellStyle name="常规 32 12 3" xfId="8519"/>
    <cellStyle name="常规 32 13" xfId="8520"/>
    <cellStyle name="常规 32 13 2" xfId="8521"/>
    <cellStyle name="常规 32 13 2 2" xfId="8522"/>
    <cellStyle name="常规 32 13 2 3" xfId="8523"/>
    <cellStyle name="常规 32 13 2 4" xfId="8524"/>
    <cellStyle name="常规 32 13 2 5" xfId="8525"/>
    <cellStyle name="常规 32 13 2 5 2" xfId="8526"/>
    <cellStyle name="常规 32 13 2 6" xfId="8527"/>
    <cellStyle name="常规 32 13 3" xfId="8528"/>
    <cellStyle name="常规 32 14" xfId="8529"/>
    <cellStyle name="常规 32 14 2" xfId="8530"/>
    <cellStyle name="常规 32 14 3" xfId="8531"/>
    <cellStyle name="常规 32 14 4" xfId="8532"/>
    <cellStyle name="常规 32 14 5" xfId="8533"/>
    <cellStyle name="常规 32 14 5 2" xfId="8534"/>
    <cellStyle name="常规 32 14 6" xfId="8535"/>
    <cellStyle name="常规 32 15" xfId="8536"/>
    <cellStyle name="常规 32 2" xfId="8537"/>
    <cellStyle name="常规 32 2 2" xfId="8538"/>
    <cellStyle name="常规 32 2 2 2" xfId="8539"/>
    <cellStyle name="常规 32 2 2 2 2" xfId="8540"/>
    <cellStyle name="常规 32 2 2 2 3" xfId="8541"/>
    <cellStyle name="常规 32 2 2 2 4" xfId="8542"/>
    <cellStyle name="常规 32 2 2 2 5" xfId="8543"/>
    <cellStyle name="常规 32 2 2 2 5 2" xfId="8544"/>
    <cellStyle name="常规 32 2 2 2 6" xfId="8545"/>
    <cellStyle name="常规 32 2 2 3" xfId="8546"/>
    <cellStyle name="常规 32 2 3" xfId="8547"/>
    <cellStyle name="常规 32 2 3 2" xfId="8548"/>
    <cellStyle name="常规 32 2 3 3" xfId="8549"/>
    <cellStyle name="常规 32 2 3 4" xfId="8550"/>
    <cellStyle name="常规 32 2 3 5" xfId="8551"/>
    <cellStyle name="常规 32 2 3 5 2" xfId="8552"/>
    <cellStyle name="常规 32 2 3 6" xfId="8553"/>
    <cellStyle name="常规 32 2 4" xfId="8554"/>
    <cellStyle name="常规 32 3" xfId="8555"/>
    <cellStyle name="常规 32 3 2" xfId="8556"/>
    <cellStyle name="常规 32 3 2 2" xfId="8557"/>
    <cellStyle name="常规 32 3 2 3" xfId="8558"/>
    <cellStyle name="常规 32 3 2 4" xfId="8559"/>
    <cellStyle name="常规 32 3 2 5" xfId="8560"/>
    <cellStyle name="常规 32 3 2 5 2" xfId="8561"/>
    <cellStyle name="常规 32 3 2 6" xfId="8562"/>
    <cellStyle name="常规 32 3 3" xfId="8563"/>
    <cellStyle name="常规 32 4" xfId="8564"/>
    <cellStyle name="常规 32 4 2" xfId="8565"/>
    <cellStyle name="常规 32 4 2 2" xfId="8566"/>
    <cellStyle name="常规 32 4 2 3" xfId="8567"/>
    <cellStyle name="常规 32 4 2 4" xfId="8568"/>
    <cellStyle name="常规 32 4 2 5" xfId="8569"/>
    <cellStyle name="常规 32 4 2 5 2" xfId="8570"/>
    <cellStyle name="常规 32 4 2 6" xfId="8571"/>
    <cellStyle name="常规 32 4 3" xfId="8572"/>
    <cellStyle name="常规 32 5" xfId="8573"/>
    <cellStyle name="常规 32 5 2" xfId="8574"/>
    <cellStyle name="常规 32 5 2 2" xfId="8575"/>
    <cellStyle name="常规 32 5 2 3" xfId="8576"/>
    <cellStyle name="常规 32 5 2 4" xfId="8577"/>
    <cellStyle name="常规 32 5 2 5" xfId="8578"/>
    <cellStyle name="常规 32 5 2 5 2" xfId="8579"/>
    <cellStyle name="常规 32 5 2 6" xfId="8580"/>
    <cellStyle name="常规 32 5 3" xfId="8581"/>
    <cellStyle name="常规 32 6" xfId="8582"/>
    <cellStyle name="常规 32 6 2" xfId="8583"/>
    <cellStyle name="常规 32 6 2 2" xfId="8584"/>
    <cellStyle name="常规 32 6 2 3" xfId="8585"/>
    <cellStyle name="常规 32 6 2 4" xfId="8586"/>
    <cellStyle name="常规 32 6 2 5" xfId="8587"/>
    <cellStyle name="常规 32 6 2 5 2" xfId="8588"/>
    <cellStyle name="常规 32 6 2 6" xfId="8589"/>
    <cellStyle name="常规 32 6 3" xfId="8590"/>
    <cellStyle name="常规 32 7" xfId="8591"/>
    <cellStyle name="常规 32 7 2" xfId="8592"/>
    <cellStyle name="常规 32 7 2 2" xfId="8593"/>
    <cellStyle name="常规 32 7 2 3" xfId="8594"/>
    <cellStyle name="常规 32 7 2 4" xfId="8595"/>
    <cellStyle name="常规 32 7 2 5" xfId="8596"/>
    <cellStyle name="常规 32 7 2 5 2" xfId="8597"/>
    <cellStyle name="常规 32 7 2 6" xfId="8598"/>
    <cellStyle name="常规 32 7 3" xfId="8599"/>
    <cellStyle name="常规 32 8" xfId="8600"/>
    <cellStyle name="常规 32 8 2" xfId="8601"/>
    <cellStyle name="常规 32 8 2 2" xfId="8602"/>
    <cellStyle name="常规 32 8 2 3" xfId="8603"/>
    <cellStyle name="常规 32 8 2 4" xfId="8604"/>
    <cellStyle name="常规 32 8 2 5" xfId="8605"/>
    <cellStyle name="常规 32 8 2 5 2" xfId="8606"/>
    <cellStyle name="常规 32 8 2 6" xfId="8607"/>
    <cellStyle name="常规 32 8 3" xfId="8608"/>
    <cellStyle name="常规 32 9" xfId="8609"/>
    <cellStyle name="常规 32 9 2" xfId="8610"/>
    <cellStyle name="常规 32 9 2 2" xfId="8611"/>
    <cellStyle name="常规 32 9 2 3" xfId="8612"/>
    <cellStyle name="常规 32 9 2 4" xfId="8613"/>
    <cellStyle name="常规 32 9 2 5" xfId="8614"/>
    <cellStyle name="常规 32 9 2 5 2" xfId="8615"/>
    <cellStyle name="常规 32 9 2 6" xfId="8616"/>
    <cellStyle name="常规 32 9 3" xfId="8617"/>
    <cellStyle name="常规 33" xfId="8618"/>
    <cellStyle name="常规 33 10" xfId="8619"/>
    <cellStyle name="常规 33 10 2" xfId="8620"/>
    <cellStyle name="常规 33 10 2 2" xfId="8621"/>
    <cellStyle name="常规 33 10 2 3" xfId="8622"/>
    <cellStyle name="常规 33 10 2 4" xfId="8623"/>
    <cellStyle name="常规 33 10 2 5" xfId="8624"/>
    <cellStyle name="常规 33 10 2 5 2" xfId="8625"/>
    <cellStyle name="常规 33 10 2 6" xfId="8626"/>
    <cellStyle name="常规 33 10 3" xfId="8627"/>
    <cellStyle name="常规 33 11" xfId="8628"/>
    <cellStyle name="常规 33 11 2" xfId="8629"/>
    <cellStyle name="常规 33 11 2 2" xfId="8630"/>
    <cellStyle name="常规 33 11 2 3" xfId="8631"/>
    <cellStyle name="常规 33 11 2 4" xfId="8632"/>
    <cellStyle name="常规 33 11 2 5" xfId="8633"/>
    <cellStyle name="常规 33 11 2 5 2" xfId="8634"/>
    <cellStyle name="常规 33 11 2 6" xfId="8635"/>
    <cellStyle name="常规 33 11 3" xfId="8636"/>
    <cellStyle name="常规 33 12" xfId="8637"/>
    <cellStyle name="常规 33 12 2" xfId="8638"/>
    <cellStyle name="常规 33 12 2 2" xfId="8639"/>
    <cellStyle name="常规 33 12 2 3" xfId="8640"/>
    <cellStyle name="常规 33 12 2 4" xfId="8641"/>
    <cellStyle name="常规 33 12 2 5" xfId="8642"/>
    <cellStyle name="常规 33 12 2 5 2" xfId="8643"/>
    <cellStyle name="常规 33 12 2 6" xfId="8644"/>
    <cellStyle name="常规 33 12 3" xfId="8645"/>
    <cellStyle name="常规 33 13" xfId="8646"/>
    <cellStyle name="常规 33 13 2" xfId="8647"/>
    <cellStyle name="常规 33 13 2 2" xfId="8648"/>
    <cellStyle name="常规 33 13 2 3" xfId="8649"/>
    <cellStyle name="常规 33 13 2 4" xfId="8650"/>
    <cellStyle name="常规 33 13 2 5" xfId="8651"/>
    <cellStyle name="常规 33 13 2 5 2" xfId="8652"/>
    <cellStyle name="常规 33 13 2 6" xfId="8653"/>
    <cellStyle name="常规 33 13 3" xfId="8654"/>
    <cellStyle name="常规 33 14" xfId="8655"/>
    <cellStyle name="常规 33 14 2" xfId="8656"/>
    <cellStyle name="常规 33 14 3" xfId="8657"/>
    <cellStyle name="常规 33 14 4" xfId="8658"/>
    <cellStyle name="常规 33 14 5" xfId="8659"/>
    <cellStyle name="常规 33 14 5 2" xfId="8660"/>
    <cellStyle name="常规 33 14 6" xfId="8661"/>
    <cellStyle name="常规 33 15" xfId="8662"/>
    <cellStyle name="常规 33 2" xfId="8663"/>
    <cellStyle name="常规 33 2 2" xfId="8664"/>
    <cellStyle name="常规 33 2 2 2" xfId="8665"/>
    <cellStyle name="常规 33 2 2 2 2" xfId="8666"/>
    <cellStyle name="常规 33 2 2 2 3" xfId="8667"/>
    <cellStyle name="常规 33 2 2 2 4" xfId="8668"/>
    <cellStyle name="常规 33 2 2 2 5" xfId="8669"/>
    <cellStyle name="常规 33 2 2 2 5 2" xfId="8670"/>
    <cellStyle name="常规 33 2 2 2 6" xfId="8671"/>
    <cellStyle name="常规 33 2 2 3" xfId="8672"/>
    <cellStyle name="常规 33 2 3" xfId="8673"/>
    <cellStyle name="常规 33 2 3 2" xfId="8674"/>
    <cellStyle name="常规 33 2 3 3" xfId="8675"/>
    <cellStyle name="常规 33 2 3 4" xfId="8676"/>
    <cellStyle name="常规 33 2 3 5" xfId="8677"/>
    <cellStyle name="常规 33 2 3 5 2" xfId="8678"/>
    <cellStyle name="常规 33 2 3 6" xfId="8679"/>
    <cellStyle name="常规 33 2 4" xfId="8680"/>
    <cellStyle name="常规 33 3" xfId="8681"/>
    <cellStyle name="常规 33 3 2" xfId="8682"/>
    <cellStyle name="常规 33 3 2 2" xfId="8683"/>
    <cellStyle name="常规 33 3 2 3" xfId="8684"/>
    <cellStyle name="常规 33 3 2 4" xfId="8685"/>
    <cellStyle name="常规 33 3 2 5" xfId="8686"/>
    <cellStyle name="常规 33 3 2 5 2" xfId="8687"/>
    <cellStyle name="常规 33 3 2 6" xfId="8688"/>
    <cellStyle name="常规 33 3 3" xfId="8689"/>
    <cellStyle name="常规 33 4" xfId="8690"/>
    <cellStyle name="常规 33 4 2" xfId="8691"/>
    <cellStyle name="常规 33 4 2 2" xfId="8692"/>
    <cellStyle name="常规 33 4 2 3" xfId="8693"/>
    <cellStyle name="常规 33 4 2 4" xfId="8694"/>
    <cellStyle name="常规 33 4 2 5" xfId="8695"/>
    <cellStyle name="常规 33 4 2 5 2" xfId="8696"/>
    <cellStyle name="常规 33 4 2 6" xfId="8697"/>
    <cellStyle name="常规 33 4 3" xfId="8698"/>
    <cellStyle name="常规 33 5" xfId="8699"/>
    <cellStyle name="常规 33 5 2" xfId="8700"/>
    <cellStyle name="常规 33 5 2 2" xfId="8701"/>
    <cellStyle name="常规 33 5 2 3" xfId="8702"/>
    <cellStyle name="常规 33 5 2 4" xfId="8703"/>
    <cellStyle name="常规 33 5 2 5" xfId="8704"/>
    <cellStyle name="常规 33 5 2 5 2" xfId="8705"/>
    <cellStyle name="常规 33 5 2 6" xfId="8706"/>
    <cellStyle name="常规 33 5 3" xfId="8707"/>
    <cellStyle name="常规 33 6" xfId="8708"/>
    <cellStyle name="常规 33 6 2" xfId="8709"/>
    <cellStyle name="常规 33 6 2 2" xfId="8710"/>
    <cellStyle name="常规 33 6 2 3" xfId="8711"/>
    <cellStyle name="常规 33 6 2 4" xfId="8712"/>
    <cellStyle name="常规 33 6 2 5" xfId="8713"/>
    <cellStyle name="常规 33 6 2 5 2" xfId="8714"/>
    <cellStyle name="常规 33 6 2 6" xfId="8715"/>
    <cellStyle name="常规 33 6 3" xfId="8716"/>
    <cellStyle name="常规 33 7" xfId="8717"/>
    <cellStyle name="常规 33 7 2" xfId="8718"/>
    <cellStyle name="常规 33 7 2 2" xfId="8719"/>
    <cellStyle name="常规 33 7 2 3" xfId="8720"/>
    <cellStyle name="常规 33 7 2 4" xfId="8721"/>
    <cellStyle name="常规 33 7 2 5" xfId="8722"/>
    <cellStyle name="常规 33 7 2 5 2" xfId="8723"/>
    <cellStyle name="常规 33 7 2 6" xfId="8724"/>
    <cellStyle name="常规 33 7 3" xfId="8725"/>
    <cellStyle name="常规 33 8" xfId="8726"/>
    <cellStyle name="常规 33 8 2" xfId="8727"/>
    <cellStyle name="常规 33 8 2 2" xfId="8728"/>
    <cellStyle name="常规 33 8 2 3" xfId="8729"/>
    <cellStyle name="常规 33 8 2 4" xfId="8730"/>
    <cellStyle name="常规 33 8 2 5" xfId="8731"/>
    <cellStyle name="常规 33 8 2 5 2" xfId="8732"/>
    <cellStyle name="常规 33 8 2 6" xfId="8733"/>
    <cellStyle name="常规 33 8 3" xfId="8734"/>
    <cellStyle name="常规 33 9" xfId="8735"/>
    <cellStyle name="常规 33 9 2" xfId="8736"/>
    <cellStyle name="常规 33 9 2 2" xfId="8737"/>
    <cellStyle name="常规 33 9 2 3" xfId="8738"/>
    <cellStyle name="常规 33 9 2 4" xfId="8739"/>
    <cellStyle name="常规 33 9 2 5" xfId="8740"/>
    <cellStyle name="常规 33 9 2 5 2" xfId="8741"/>
    <cellStyle name="常规 33 9 2 6" xfId="8742"/>
    <cellStyle name="常规 33 9 3" xfId="8743"/>
    <cellStyle name="常规 34" xfId="8744"/>
    <cellStyle name="常规 34 10" xfId="8745"/>
    <cellStyle name="常规 34 10 2" xfId="8746"/>
    <cellStyle name="常规 34 10 2 2" xfId="8747"/>
    <cellStyle name="常规 34 10 2 3" xfId="8748"/>
    <cellStyle name="常规 34 10 2 4" xfId="8749"/>
    <cellStyle name="常规 34 10 2 5" xfId="8750"/>
    <cellStyle name="常规 34 10 2 5 2" xfId="8751"/>
    <cellStyle name="常规 34 10 2 6" xfId="8752"/>
    <cellStyle name="常规 34 10 3" xfId="8753"/>
    <cellStyle name="常规 34 11" xfId="8754"/>
    <cellStyle name="常规 34 11 2" xfId="8755"/>
    <cellStyle name="常规 34 11 2 2" xfId="8756"/>
    <cellStyle name="常规 34 11 2 3" xfId="8757"/>
    <cellStyle name="常规 34 11 2 4" xfId="8758"/>
    <cellStyle name="常规 34 11 2 5" xfId="8759"/>
    <cellStyle name="常规 34 11 2 5 2" xfId="8760"/>
    <cellStyle name="常规 34 11 2 6" xfId="8761"/>
    <cellStyle name="常规 34 11 3" xfId="8762"/>
    <cellStyle name="常规 34 12" xfId="8763"/>
    <cellStyle name="常规 34 12 2" xfId="8764"/>
    <cellStyle name="常规 34 12 2 2" xfId="8765"/>
    <cellStyle name="常规 34 12 2 3" xfId="8766"/>
    <cellStyle name="常规 34 12 2 4" xfId="8767"/>
    <cellStyle name="常规 34 12 2 5" xfId="8768"/>
    <cellStyle name="常规 34 12 2 5 2" xfId="8769"/>
    <cellStyle name="常规 34 12 2 6" xfId="8770"/>
    <cellStyle name="常规 34 12 3" xfId="8771"/>
    <cellStyle name="常规 34 13" xfId="8772"/>
    <cellStyle name="常规 34 13 2" xfId="8773"/>
    <cellStyle name="常规 34 13 2 2" xfId="8774"/>
    <cellStyle name="常规 34 13 2 3" xfId="8775"/>
    <cellStyle name="常规 34 13 2 4" xfId="8776"/>
    <cellStyle name="常规 34 13 2 5" xfId="8777"/>
    <cellStyle name="常规 34 13 2 5 2" xfId="8778"/>
    <cellStyle name="常规 34 13 2 6" xfId="8779"/>
    <cellStyle name="常规 34 13 3" xfId="8780"/>
    <cellStyle name="常规 34 14" xfId="8781"/>
    <cellStyle name="常规 34 14 2" xfId="8782"/>
    <cellStyle name="常规 34 14 3" xfId="8783"/>
    <cellStyle name="常规 34 14 4" xfId="8784"/>
    <cellStyle name="常规 34 14 5" xfId="8785"/>
    <cellStyle name="常规 34 14 5 2" xfId="8786"/>
    <cellStyle name="常规 34 14 6" xfId="8787"/>
    <cellStyle name="常规 34 15" xfId="8788"/>
    <cellStyle name="常规 34 2" xfId="8789"/>
    <cellStyle name="常规 34 2 2" xfId="8790"/>
    <cellStyle name="常规 34 2 2 2" xfId="8791"/>
    <cellStyle name="常规 34 2 2 2 2" xfId="8792"/>
    <cellStyle name="常规 34 2 2 2 3" xfId="8793"/>
    <cellStyle name="常规 34 2 2 2 4" xfId="8794"/>
    <cellStyle name="常规 34 2 2 2 5" xfId="8795"/>
    <cellStyle name="常规 34 2 2 2 5 2" xfId="8796"/>
    <cellStyle name="常规 34 2 2 2 6" xfId="8797"/>
    <cellStyle name="常规 34 2 2 3" xfId="8798"/>
    <cellStyle name="常规 34 2 3" xfId="8799"/>
    <cellStyle name="常规 34 2 3 2" xfId="8800"/>
    <cellStyle name="常规 34 2 3 3" xfId="8801"/>
    <cellStyle name="常规 34 2 3 4" xfId="8802"/>
    <cellStyle name="常规 34 2 3 5" xfId="8803"/>
    <cellStyle name="常规 34 2 3 5 2" xfId="8804"/>
    <cellStyle name="常规 34 2 3 6" xfId="8805"/>
    <cellStyle name="常规 34 2 4" xfId="8806"/>
    <cellStyle name="常规 34 3" xfId="8807"/>
    <cellStyle name="常规 34 3 2" xfId="8808"/>
    <cellStyle name="常规 34 3 2 2" xfId="8809"/>
    <cellStyle name="常规 34 3 2 3" xfId="8810"/>
    <cellStyle name="常规 34 3 2 4" xfId="8811"/>
    <cellStyle name="常规 34 3 2 5" xfId="8812"/>
    <cellStyle name="常规 34 3 2 5 2" xfId="8813"/>
    <cellStyle name="常规 34 3 2 6" xfId="8814"/>
    <cellStyle name="常规 34 3 3" xfId="8815"/>
    <cellStyle name="常规 34 4" xfId="8816"/>
    <cellStyle name="常规 34 4 2" xfId="8817"/>
    <cellStyle name="常规 34 4 2 2" xfId="8818"/>
    <cellStyle name="常规 34 4 2 3" xfId="8819"/>
    <cellStyle name="常规 34 4 2 4" xfId="8820"/>
    <cellStyle name="常规 34 4 2 5" xfId="8821"/>
    <cellStyle name="常规 34 4 2 5 2" xfId="8822"/>
    <cellStyle name="常规 34 4 2 6" xfId="8823"/>
    <cellStyle name="常规 34 4 3" xfId="8824"/>
    <cellStyle name="常规 34 5" xfId="8825"/>
    <cellStyle name="常规 34 5 2" xfId="8826"/>
    <cellStyle name="常规 34 5 2 2" xfId="8827"/>
    <cellStyle name="常规 34 5 2 3" xfId="8828"/>
    <cellStyle name="常规 34 5 2 4" xfId="8829"/>
    <cellStyle name="常规 34 5 2 5" xfId="8830"/>
    <cellStyle name="常规 34 5 2 5 2" xfId="8831"/>
    <cellStyle name="常规 34 5 2 6" xfId="8832"/>
    <cellStyle name="常规 34 5 3" xfId="8833"/>
    <cellStyle name="常规 34 6" xfId="8834"/>
    <cellStyle name="常规 34 6 2" xfId="8835"/>
    <cellStyle name="常规 34 6 2 2" xfId="8836"/>
    <cellStyle name="常规 34 6 2 3" xfId="8837"/>
    <cellStyle name="常规 34 6 2 4" xfId="8838"/>
    <cellStyle name="常规 34 6 2 5" xfId="8839"/>
    <cellStyle name="常规 34 6 2 5 2" xfId="8840"/>
    <cellStyle name="常规 34 6 2 6" xfId="8841"/>
    <cellStyle name="常规 34 6 3" xfId="8842"/>
    <cellStyle name="常规 34 7" xfId="8843"/>
    <cellStyle name="常规 34 7 2" xfId="8844"/>
    <cellStyle name="常规 34 7 2 2" xfId="8845"/>
    <cellStyle name="常规 34 7 2 3" xfId="8846"/>
    <cellStyle name="常规 34 7 2 4" xfId="8847"/>
    <cellStyle name="常规 34 7 2 5" xfId="8848"/>
    <cellStyle name="常规 34 7 2 5 2" xfId="8849"/>
    <cellStyle name="常规 34 7 2 6" xfId="8850"/>
    <cellStyle name="常规 34 7 3" xfId="8851"/>
    <cellStyle name="常规 34 8" xfId="8852"/>
    <cellStyle name="常规 34 8 2" xfId="8853"/>
    <cellStyle name="常规 34 8 2 2" xfId="8854"/>
    <cellStyle name="常规 34 8 2 3" xfId="8855"/>
    <cellStyle name="常规 34 8 2 4" xfId="8856"/>
    <cellStyle name="常规 34 8 2 5" xfId="8857"/>
    <cellStyle name="常规 34 8 2 5 2" xfId="8858"/>
    <cellStyle name="常规 34 8 2 6" xfId="8859"/>
    <cellStyle name="常规 34 8 3" xfId="8860"/>
    <cellStyle name="常规 34 9" xfId="8861"/>
    <cellStyle name="常规 34 9 2" xfId="8862"/>
    <cellStyle name="常规 34 9 2 2" xfId="8863"/>
    <cellStyle name="常规 34 9 2 3" xfId="8864"/>
    <cellStyle name="常规 34 9 2 4" xfId="8865"/>
    <cellStyle name="常规 34 9 2 5" xfId="8866"/>
    <cellStyle name="常规 34 9 2 5 2" xfId="8867"/>
    <cellStyle name="常规 34 9 2 6" xfId="8868"/>
    <cellStyle name="常规 34 9 3" xfId="8869"/>
    <cellStyle name="常规 35" xfId="8870"/>
    <cellStyle name="常规 35 10" xfId="8871"/>
    <cellStyle name="常规 35 10 2" xfId="8872"/>
    <cellStyle name="常规 35 10 2 2" xfId="8873"/>
    <cellStyle name="常规 35 10 2 3" xfId="8874"/>
    <cellStyle name="常规 35 10 2 4" xfId="8875"/>
    <cellStyle name="常规 35 10 2 5" xfId="8876"/>
    <cellStyle name="常规 35 10 2 5 2" xfId="8877"/>
    <cellStyle name="常规 35 10 2 6" xfId="8878"/>
    <cellStyle name="常规 35 10 3" xfId="8879"/>
    <cellStyle name="常规 35 11" xfId="8880"/>
    <cellStyle name="常规 35 11 2" xfId="8881"/>
    <cellStyle name="常规 35 11 2 2" xfId="8882"/>
    <cellStyle name="常规 35 11 2 3" xfId="8883"/>
    <cellStyle name="常规 35 11 2 4" xfId="8884"/>
    <cellStyle name="常规 35 11 2 5" xfId="8885"/>
    <cellStyle name="常规 35 11 2 5 2" xfId="8886"/>
    <cellStyle name="常规 35 11 2 6" xfId="8887"/>
    <cellStyle name="常规 35 11 3" xfId="8888"/>
    <cellStyle name="常规 35 12" xfId="8889"/>
    <cellStyle name="常规 35 12 2" xfId="8890"/>
    <cellStyle name="常规 35 12 2 2" xfId="8891"/>
    <cellStyle name="常规 35 12 2 3" xfId="8892"/>
    <cellStyle name="常规 35 12 2 4" xfId="8893"/>
    <cellStyle name="常规 35 12 2 5" xfId="8894"/>
    <cellStyle name="常规 35 12 2 5 2" xfId="8895"/>
    <cellStyle name="常规 35 12 2 6" xfId="8896"/>
    <cellStyle name="常规 35 12 3" xfId="8897"/>
    <cellStyle name="常规 35 13" xfId="8898"/>
    <cellStyle name="常规 35 13 2" xfId="8899"/>
    <cellStyle name="常规 35 13 2 2" xfId="8900"/>
    <cellStyle name="常规 35 13 2 3" xfId="8901"/>
    <cellStyle name="常规 35 13 2 4" xfId="8902"/>
    <cellStyle name="常规 35 13 2 5" xfId="8903"/>
    <cellStyle name="常规 35 13 2 5 2" xfId="8904"/>
    <cellStyle name="常规 35 13 2 6" xfId="8905"/>
    <cellStyle name="常规 35 13 3" xfId="8906"/>
    <cellStyle name="常规 35 14" xfId="8907"/>
    <cellStyle name="常规 35 14 2" xfId="8908"/>
    <cellStyle name="常规 35 14 3" xfId="8909"/>
    <cellStyle name="常规 35 14 4" xfId="8910"/>
    <cellStyle name="常规 35 14 5" xfId="8911"/>
    <cellStyle name="常规 35 14 5 2" xfId="8912"/>
    <cellStyle name="常规 35 14 6" xfId="8913"/>
    <cellStyle name="常规 35 15" xfId="8914"/>
    <cellStyle name="常规 35 2" xfId="8915"/>
    <cellStyle name="常规 35 2 2" xfId="8916"/>
    <cellStyle name="常规 35 2 2 2" xfId="8917"/>
    <cellStyle name="常规 35 2 2 2 2" xfId="8918"/>
    <cellStyle name="常规 35 2 2 2 3" xfId="8919"/>
    <cellStyle name="常规 35 2 2 2 4" xfId="8920"/>
    <cellStyle name="常规 35 2 2 2 5" xfId="8921"/>
    <cellStyle name="常规 35 2 2 2 5 2" xfId="8922"/>
    <cellStyle name="常规 35 2 2 2 6" xfId="8923"/>
    <cellStyle name="常规 35 2 2 3" xfId="8924"/>
    <cellStyle name="常规 35 2 3" xfId="8925"/>
    <cellStyle name="常规 35 2 3 2" xfId="8926"/>
    <cellStyle name="常规 35 2 3 3" xfId="8927"/>
    <cellStyle name="常规 35 2 3 4" xfId="8928"/>
    <cellStyle name="常规 35 2 3 5" xfId="8929"/>
    <cellStyle name="常规 35 2 3 5 2" xfId="8930"/>
    <cellStyle name="常规 35 2 3 6" xfId="8931"/>
    <cellStyle name="常规 35 2 4" xfId="8932"/>
    <cellStyle name="常规 35 3" xfId="8933"/>
    <cellStyle name="常规 35 3 2" xfId="8934"/>
    <cellStyle name="常规 35 3 2 2" xfId="8935"/>
    <cellStyle name="常规 35 3 2 3" xfId="8936"/>
    <cellStyle name="常规 35 3 2 4" xfId="8937"/>
    <cellStyle name="常规 35 3 2 5" xfId="8938"/>
    <cellStyle name="常规 35 3 2 5 2" xfId="8939"/>
    <cellStyle name="常规 35 3 2 6" xfId="8940"/>
    <cellStyle name="常规 35 3 3" xfId="8941"/>
    <cellStyle name="常规 35 4" xfId="8942"/>
    <cellStyle name="常规 35 4 2" xfId="8943"/>
    <cellStyle name="常规 35 4 2 2" xfId="8944"/>
    <cellStyle name="常规 35 4 2 3" xfId="8945"/>
    <cellStyle name="常规 35 4 2 4" xfId="8946"/>
    <cellStyle name="常规 35 4 2 5" xfId="8947"/>
    <cellStyle name="常规 35 4 2 5 2" xfId="8948"/>
    <cellStyle name="常规 35 4 2 6" xfId="8949"/>
    <cellStyle name="常规 35 4 3" xfId="8950"/>
    <cellStyle name="常规 35 5" xfId="8951"/>
    <cellStyle name="常规 35 5 2" xfId="8952"/>
    <cellStyle name="常规 35 5 2 2" xfId="8953"/>
    <cellStyle name="常规 35 5 2 3" xfId="8954"/>
    <cellStyle name="常规 35 5 2 4" xfId="8955"/>
    <cellStyle name="常规 35 5 2 5" xfId="8956"/>
    <cellStyle name="常规 35 5 2 5 2" xfId="8957"/>
    <cellStyle name="常规 35 5 2 6" xfId="8958"/>
    <cellStyle name="常规 35 5 3" xfId="8959"/>
    <cellStyle name="常规 35 6" xfId="8960"/>
    <cellStyle name="常规 35 6 2" xfId="8961"/>
    <cellStyle name="常规 35 6 2 2" xfId="8962"/>
    <cellStyle name="常规 35 6 2 3" xfId="8963"/>
    <cellStyle name="常规 35 6 2 4" xfId="8964"/>
    <cellStyle name="常规 35 6 2 5" xfId="8965"/>
    <cellStyle name="常规 35 6 2 5 2" xfId="8966"/>
    <cellStyle name="常规 35 6 2 6" xfId="8967"/>
    <cellStyle name="常规 35 6 3" xfId="8968"/>
    <cellStyle name="常规 35 7" xfId="8969"/>
    <cellStyle name="常规 35 7 2" xfId="8970"/>
    <cellStyle name="常规 35 7 2 2" xfId="8971"/>
    <cellStyle name="常规 35 7 2 3" xfId="8972"/>
    <cellStyle name="常规 35 7 2 4" xfId="8973"/>
    <cellStyle name="常规 35 7 2 5" xfId="8974"/>
    <cellStyle name="常规 35 7 2 5 2" xfId="8975"/>
    <cellStyle name="常规 35 7 2 6" xfId="8976"/>
    <cellStyle name="常规 35 7 3" xfId="8977"/>
    <cellStyle name="常规 35 8" xfId="8978"/>
    <cellStyle name="常规 35 8 2" xfId="8979"/>
    <cellStyle name="常规 35 8 2 2" xfId="8980"/>
    <cellStyle name="常规 35 8 2 3" xfId="8981"/>
    <cellStyle name="常规 35 8 2 4" xfId="8982"/>
    <cellStyle name="常规 35 8 2 5" xfId="8983"/>
    <cellStyle name="常规 35 8 2 5 2" xfId="8984"/>
    <cellStyle name="常规 35 8 2 6" xfId="8985"/>
    <cellStyle name="常规 35 8 3" xfId="8986"/>
    <cellStyle name="常规 35 9" xfId="8987"/>
    <cellStyle name="常规 35 9 2" xfId="8988"/>
    <cellStyle name="常规 35 9 2 2" xfId="8989"/>
    <cellStyle name="常规 35 9 2 3" xfId="8990"/>
    <cellStyle name="常规 35 9 2 4" xfId="8991"/>
    <cellStyle name="常规 35 9 2 5" xfId="8992"/>
    <cellStyle name="常规 35 9 2 5 2" xfId="8993"/>
    <cellStyle name="常规 35 9 2 6" xfId="8994"/>
    <cellStyle name="常规 35 9 3" xfId="8995"/>
    <cellStyle name="常规 36" xfId="8996"/>
    <cellStyle name="常规 36 10" xfId="8997"/>
    <cellStyle name="常规 36 10 2" xfId="8998"/>
    <cellStyle name="常规 36 10 2 2" xfId="8999"/>
    <cellStyle name="常规 36 10 2 3" xfId="9000"/>
    <cellStyle name="常规 36 10 2 4" xfId="9001"/>
    <cellStyle name="常规 36 10 2 5" xfId="9002"/>
    <cellStyle name="常规 36 10 2 5 2" xfId="9003"/>
    <cellStyle name="常规 36 10 2 6" xfId="9004"/>
    <cellStyle name="常规 36 10 3" xfId="9005"/>
    <cellStyle name="常规 36 11" xfId="9006"/>
    <cellStyle name="常规 36 11 2" xfId="9007"/>
    <cellStyle name="常规 36 11 2 2" xfId="9008"/>
    <cellStyle name="常规 36 11 2 3" xfId="9009"/>
    <cellStyle name="常规 36 11 2 4" xfId="9010"/>
    <cellStyle name="常规 36 11 2 5" xfId="9011"/>
    <cellStyle name="常规 36 11 2 5 2" xfId="9012"/>
    <cellStyle name="常规 36 11 2 6" xfId="9013"/>
    <cellStyle name="常规 36 11 3" xfId="9014"/>
    <cellStyle name="常规 36 12" xfId="9015"/>
    <cellStyle name="常规 36 12 2" xfId="9016"/>
    <cellStyle name="常规 36 12 2 2" xfId="9017"/>
    <cellStyle name="常规 36 12 2 3" xfId="9018"/>
    <cellStyle name="常规 36 12 2 4" xfId="9019"/>
    <cellStyle name="常规 36 12 2 5" xfId="9020"/>
    <cellStyle name="常规 36 12 2 5 2" xfId="9021"/>
    <cellStyle name="常规 36 12 2 6" xfId="9022"/>
    <cellStyle name="常规 36 12 3" xfId="9023"/>
    <cellStyle name="常规 36 13" xfId="9024"/>
    <cellStyle name="常规 36 13 2" xfId="9025"/>
    <cellStyle name="常规 36 13 2 2" xfId="9026"/>
    <cellStyle name="常规 36 13 2 3" xfId="9027"/>
    <cellStyle name="常规 36 13 2 4" xfId="9028"/>
    <cellStyle name="常规 36 13 2 5" xfId="9029"/>
    <cellStyle name="常规 36 13 2 5 2" xfId="9030"/>
    <cellStyle name="常规 36 13 2 6" xfId="9031"/>
    <cellStyle name="常规 36 13 3" xfId="9032"/>
    <cellStyle name="常规 36 14" xfId="9033"/>
    <cellStyle name="常规 36 14 2" xfId="9034"/>
    <cellStyle name="常规 36 14 3" xfId="9035"/>
    <cellStyle name="常规 36 14 4" xfId="9036"/>
    <cellStyle name="常规 36 14 5" xfId="9037"/>
    <cellStyle name="常规 36 14 5 2" xfId="9038"/>
    <cellStyle name="常规 36 14 6" xfId="9039"/>
    <cellStyle name="常规 36 15" xfId="9040"/>
    <cellStyle name="常规 36 2" xfId="9041"/>
    <cellStyle name="常规 36 2 2" xfId="9042"/>
    <cellStyle name="常规 36 2 2 2" xfId="9043"/>
    <cellStyle name="常规 36 2 2 2 2" xfId="9044"/>
    <cellStyle name="常规 36 2 2 2 3" xfId="9045"/>
    <cellStyle name="常规 36 2 2 2 4" xfId="9046"/>
    <cellStyle name="常规 36 2 2 2 5" xfId="9047"/>
    <cellStyle name="常规 36 2 2 2 5 2" xfId="9048"/>
    <cellStyle name="常规 36 2 2 2 6" xfId="9049"/>
    <cellStyle name="常规 36 2 2 3" xfId="9050"/>
    <cellStyle name="常规 36 2 3" xfId="9051"/>
    <cellStyle name="常规 36 2 3 2" xfId="9052"/>
    <cellStyle name="常规 36 2 3 3" xfId="9053"/>
    <cellStyle name="常规 36 2 3 4" xfId="9054"/>
    <cellStyle name="常规 36 2 3 5" xfId="9055"/>
    <cellStyle name="常规 36 2 3 5 2" xfId="9056"/>
    <cellStyle name="常规 36 2 3 6" xfId="9057"/>
    <cellStyle name="常规 36 2 4" xfId="9058"/>
    <cellStyle name="常规 36 3" xfId="9059"/>
    <cellStyle name="常规 36 3 2" xfId="9060"/>
    <cellStyle name="常规 36 3 2 2" xfId="9061"/>
    <cellStyle name="常规 36 3 2 3" xfId="9062"/>
    <cellStyle name="常规 36 3 2 4" xfId="9063"/>
    <cellStyle name="常规 36 3 2 5" xfId="9064"/>
    <cellStyle name="常规 36 3 2 5 2" xfId="9065"/>
    <cellStyle name="常规 36 3 2 6" xfId="9066"/>
    <cellStyle name="常规 36 3 3" xfId="9067"/>
    <cellStyle name="常规 36 4" xfId="9068"/>
    <cellStyle name="常规 36 4 2" xfId="9069"/>
    <cellStyle name="常规 36 4 2 2" xfId="9070"/>
    <cellStyle name="常规 36 4 2 3" xfId="9071"/>
    <cellStyle name="常规 36 4 2 4" xfId="9072"/>
    <cellStyle name="常规 36 4 2 5" xfId="9073"/>
    <cellStyle name="常规 36 4 2 5 2" xfId="9074"/>
    <cellStyle name="常规 36 4 2 6" xfId="9075"/>
    <cellStyle name="常规 36 4 3" xfId="9076"/>
    <cellStyle name="常规 36 5" xfId="9077"/>
    <cellStyle name="常规 36 5 2" xfId="9078"/>
    <cellStyle name="常规 36 5 2 2" xfId="9079"/>
    <cellStyle name="常规 36 5 2 3" xfId="9080"/>
    <cellStyle name="常规 36 5 2 4" xfId="9081"/>
    <cellStyle name="常规 36 5 2 5" xfId="9082"/>
    <cellStyle name="常规 36 5 2 5 2" xfId="9083"/>
    <cellStyle name="常规 36 5 2 6" xfId="9084"/>
    <cellStyle name="常规 36 5 3" xfId="9085"/>
    <cellStyle name="常规 36 6" xfId="9086"/>
    <cellStyle name="常规 36 6 2" xfId="9087"/>
    <cellStyle name="常规 36 6 2 2" xfId="9088"/>
    <cellStyle name="常规 36 6 2 3" xfId="9089"/>
    <cellStyle name="常规 36 6 2 4" xfId="9090"/>
    <cellStyle name="常规 36 6 2 5" xfId="9091"/>
    <cellStyle name="常规 36 6 2 5 2" xfId="9092"/>
    <cellStyle name="常规 36 6 2 6" xfId="9093"/>
    <cellStyle name="常规 36 6 3" xfId="9094"/>
    <cellStyle name="常规 36 7" xfId="9095"/>
    <cellStyle name="常规 36 7 2" xfId="9096"/>
    <cellStyle name="常规 36 7 2 2" xfId="9097"/>
    <cellStyle name="常规 36 7 2 3" xfId="9098"/>
    <cellStyle name="常规 36 7 2 4" xfId="9099"/>
    <cellStyle name="常规 36 7 2 5" xfId="9100"/>
    <cellStyle name="常规 36 7 2 5 2" xfId="9101"/>
    <cellStyle name="常规 36 7 2 6" xfId="9102"/>
    <cellStyle name="常规 36 7 3" xfId="9103"/>
    <cellStyle name="常规 36 8" xfId="9104"/>
    <cellStyle name="常规 36 8 2" xfId="9105"/>
    <cellStyle name="常规 36 8 2 2" xfId="9106"/>
    <cellStyle name="常规 36 8 2 3" xfId="9107"/>
    <cellStyle name="常规 36 8 2 4" xfId="9108"/>
    <cellStyle name="常规 36 8 2 5" xfId="9109"/>
    <cellStyle name="常规 36 8 2 5 2" xfId="9110"/>
    <cellStyle name="常规 36 8 2 6" xfId="9111"/>
    <cellStyle name="常规 36 8 3" xfId="9112"/>
    <cellStyle name="常规 36 9" xfId="9113"/>
    <cellStyle name="常规 36 9 2" xfId="9114"/>
    <cellStyle name="常规 36 9 2 2" xfId="9115"/>
    <cellStyle name="常规 36 9 2 3" xfId="9116"/>
    <cellStyle name="常规 36 9 2 4" xfId="9117"/>
    <cellStyle name="常规 36 9 2 5" xfId="9118"/>
    <cellStyle name="常规 36 9 2 5 2" xfId="9119"/>
    <cellStyle name="常规 36 9 2 6" xfId="9120"/>
    <cellStyle name="常规 36 9 3" xfId="9121"/>
    <cellStyle name="常规 37" xfId="9122"/>
    <cellStyle name="常规 37 10" xfId="9123"/>
    <cellStyle name="常规 37 10 2" xfId="9124"/>
    <cellStyle name="常规 37 10 2 2" xfId="9125"/>
    <cellStyle name="常规 37 10 2 3" xfId="9126"/>
    <cellStyle name="常规 37 10 2 4" xfId="9127"/>
    <cellStyle name="常规 37 10 2 5" xfId="9128"/>
    <cellStyle name="常规 37 10 2 5 2" xfId="9129"/>
    <cellStyle name="常规 37 10 2 6" xfId="9130"/>
    <cellStyle name="常规 37 10 3" xfId="9131"/>
    <cellStyle name="常规 37 11" xfId="9132"/>
    <cellStyle name="常规 37 11 2" xfId="9133"/>
    <cellStyle name="常规 37 11 2 2" xfId="9134"/>
    <cellStyle name="常规 37 11 2 3" xfId="9135"/>
    <cellStyle name="常规 37 11 2 4" xfId="9136"/>
    <cellStyle name="常规 37 11 2 5" xfId="9137"/>
    <cellStyle name="常规 37 11 2 5 2" xfId="9138"/>
    <cellStyle name="常规 37 11 2 6" xfId="9139"/>
    <cellStyle name="常规 37 11 3" xfId="9140"/>
    <cellStyle name="常规 37 12" xfId="9141"/>
    <cellStyle name="常规 37 12 2" xfId="9142"/>
    <cellStyle name="常规 37 12 2 2" xfId="9143"/>
    <cellStyle name="常规 37 12 2 3" xfId="9144"/>
    <cellStyle name="常规 37 12 2 4" xfId="9145"/>
    <cellStyle name="常规 37 12 2 5" xfId="9146"/>
    <cellStyle name="常规 37 12 2 5 2" xfId="9147"/>
    <cellStyle name="常规 37 12 2 6" xfId="9148"/>
    <cellStyle name="常规 37 12 3" xfId="9149"/>
    <cellStyle name="常规 37 13" xfId="9150"/>
    <cellStyle name="常规 37 13 2" xfId="9151"/>
    <cellStyle name="常规 37 13 2 2" xfId="9152"/>
    <cellStyle name="常规 37 13 2 3" xfId="9153"/>
    <cellStyle name="常规 37 13 2 4" xfId="9154"/>
    <cellStyle name="常规 37 13 2 5" xfId="9155"/>
    <cellStyle name="常规 37 13 2 5 2" xfId="9156"/>
    <cellStyle name="常规 37 13 2 6" xfId="9157"/>
    <cellStyle name="常规 37 13 3" xfId="9158"/>
    <cellStyle name="常规 37 14" xfId="9159"/>
    <cellStyle name="常规 37 14 2" xfId="9160"/>
    <cellStyle name="常规 37 14 3" xfId="9161"/>
    <cellStyle name="常规 37 14 4" xfId="9162"/>
    <cellStyle name="常规 37 14 5" xfId="9163"/>
    <cellStyle name="常规 37 14 5 2" xfId="9164"/>
    <cellStyle name="常规 37 14 6" xfId="9165"/>
    <cellStyle name="常规 37 15" xfId="9166"/>
    <cellStyle name="常规 37 2" xfId="9167"/>
    <cellStyle name="常规 37 2 2" xfId="9168"/>
    <cellStyle name="常规 37 2 2 2" xfId="9169"/>
    <cellStyle name="常规 37 2 2 2 2" xfId="9170"/>
    <cellStyle name="常规 37 2 2 2 3" xfId="9171"/>
    <cellStyle name="常规 37 2 2 2 4" xfId="9172"/>
    <cellStyle name="常规 37 2 2 2 5" xfId="9173"/>
    <cellStyle name="常规 37 2 2 2 5 2" xfId="9174"/>
    <cellStyle name="常规 37 2 2 2 6" xfId="9175"/>
    <cellStyle name="常规 37 2 2 3" xfId="9176"/>
    <cellStyle name="常规 37 2 3" xfId="9177"/>
    <cellStyle name="常规 37 2 3 2" xfId="9178"/>
    <cellStyle name="常规 37 2 3 3" xfId="9179"/>
    <cellStyle name="常规 37 2 3 4" xfId="9180"/>
    <cellStyle name="常规 37 2 3 5" xfId="9181"/>
    <cellStyle name="常规 37 2 3 5 2" xfId="9182"/>
    <cellStyle name="常规 37 2 3 6" xfId="9183"/>
    <cellStyle name="常规 37 2 4" xfId="9184"/>
    <cellStyle name="常规 37 3" xfId="9185"/>
    <cellStyle name="常规 37 3 2" xfId="9186"/>
    <cellStyle name="常规 37 3 2 2" xfId="9187"/>
    <cellStyle name="常规 37 3 2 3" xfId="9188"/>
    <cellStyle name="常规 37 3 2 4" xfId="9189"/>
    <cellStyle name="常规 37 3 2 5" xfId="9190"/>
    <cellStyle name="常规 37 3 2 5 2" xfId="9191"/>
    <cellStyle name="常规 37 3 2 6" xfId="9192"/>
    <cellStyle name="常规 37 3 3" xfId="9193"/>
    <cellStyle name="常规 37 4" xfId="9194"/>
    <cellStyle name="常规 37 4 2" xfId="9195"/>
    <cellStyle name="常规 37 4 2 2" xfId="9196"/>
    <cellStyle name="常规 37 4 2 3" xfId="9197"/>
    <cellStyle name="常规 37 4 2 4" xfId="9198"/>
    <cellStyle name="常规 37 4 2 5" xfId="9199"/>
    <cellStyle name="常规 37 4 2 5 2" xfId="9200"/>
    <cellStyle name="常规 37 4 2 6" xfId="9201"/>
    <cellStyle name="常规 37 4 3" xfId="9202"/>
    <cellStyle name="常规 37 5" xfId="9203"/>
    <cellStyle name="常规 37 5 2" xfId="9204"/>
    <cellStyle name="常规 37 5 2 2" xfId="9205"/>
    <cellStyle name="常规 37 5 2 3" xfId="9206"/>
    <cellStyle name="常规 37 5 2 4" xfId="9207"/>
    <cellStyle name="常规 37 5 2 5" xfId="9208"/>
    <cellStyle name="常规 37 5 2 5 2" xfId="9209"/>
    <cellStyle name="常规 37 5 2 6" xfId="9210"/>
    <cellStyle name="常规 37 5 3" xfId="9211"/>
    <cellStyle name="常规 37 6" xfId="9212"/>
    <cellStyle name="常规 37 6 2" xfId="9213"/>
    <cellStyle name="常规 37 6 2 2" xfId="9214"/>
    <cellStyle name="常规 37 6 2 3" xfId="9215"/>
    <cellStyle name="常规 37 6 2 4" xfId="9216"/>
    <cellStyle name="常规 37 6 2 5" xfId="9217"/>
    <cellStyle name="常规 37 6 2 5 2" xfId="9218"/>
    <cellStyle name="常规 37 6 2 6" xfId="9219"/>
    <cellStyle name="常规 37 6 3" xfId="9220"/>
    <cellStyle name="常规 37 7" xfId="9221"/>
    <cellStyle name="常规 37 7 2" xfId="9222"/>
    <cellStyle name="常规 37 7 2 2" xfId="9223"/>
    <cellStyle name="常规 37 7 2 3" xfId="9224"/>
    <cellStyle name="常规 37 7 2 4" xfId="9225"/>
    <cellStyle name="常规 37 7 2 5" xfId="9226"/>
    <cellStyle name="常规 37 7 2 5 2" xfId="9227"/>
    <cellStyle name="常规 37 7 2 6" xfId="9228"/>
    <cellStyle name="常规 37 7 3" xfId="9229"/>
    <cellStyle name="常规 37 8" xfId="9230"/>
    <cellStyle name="常规 37 8 2" xfId="9231"/>
    <cellStyle name="常规 37 8 2 2" xfId="9232"/>
    <cellStyle name="常规 37 8 2 3" xfId="9233"/>
    <cellStyle name="常规 37 8 2 4" xfId="9234"/>
    <cellStyle name="常规 37 8 2 5" xfId="9235"/>
    <cellStyle name="常规 37 8 2 5 2" xfId="9236"/>
    <cellStyle name="常规 37 8 2 6" xfId="9237"/>
    <cellStyle name="常规 37 8 3" xfId="9238"/>
    <cellStyle name="常规 37 9" xfId="9239"/>
    <cellStyle name="常规 37 9 2" xfId="9240"/>
    <cellStyle name="常规 37 9 2 2" xfId="9241"/>
    <cellStyle name="常规 37 9 2 3" xfId="9242"/>
    <cellStyle name="常规 37 9 2 4" xfId="9243"/>
    <cellStyle name="常规 37 9 2 5" xfId="9244"/>
    <cellStyle name="常规 37 9 2 5 2" xfId="9245"/>
    <cellStyle name="常规 37 9 2 6" xfId="9246"/>
    <cellStyle name="常规 37 9 3" xfId="9247"/>
    <cellStyle name="常规 38" xfId="9248"/>
    <cellStyle name="常规 38 10" xfId="9249"/>
    <cellStyle name="常规 38 10 2" xfId="9250"/>
    <cellStyle name="常规 38 10 2 2" xfId="9251"/>
    <cellStyle name="常规 38 10 2 3" xfId="9252"/>
    <cellStyle name="常规 38 10 2 4" xfId="9253"/>
    <cellStyle name="常规 38 10 2 5" xfId="9254"/>
    <cellStyle name="常规 38 10 2 5 2" xfId="9255"/>
    <cellStyle name="常规 38 10 2 6" xfId="9256"/>
    <cellStyle name="常规 38 10 3" xfId="9257"/>
    <cellStyle name="常规 38 11" xfId="9258"/>
    <cellStyle name="常规 38 11 2" xfId="9259"/>
    <cellStyle name="常规 38 11 2 2" xfId="9260"/>
    <cellStyle name="常规 38 11 2 3" xfId="9261"/>
    <cellStyle name="常规 38 11 2 4" xfId="9262"/>
    <cellStyle name="常规 38 11 2 5" xfId="9263"/>
    <cellStyle name="常规 38 11 2 5 2" xfId="9264"/>
    <cellStyle name="常规 38 11 2 6" xfId="9265"/>
    <cellStyle name="常规 38 11 3" xfId="9266"/>
    <cellStyle name="常规 38 12" xfId="9267"/>
    <cellStyle name="常规 38 12 2" xfId="9268"/>
    <cellStyle name="常规 38 12 2 2" xfId="9269"/>
    <cellStyle name="常规 38 12 2 3" xfId="9270"/>
    <cellStyle name="常规 38 12 2 4" xfId="9271"/>
    <cellStyle name="常规 38 12 2 5" xfId="9272"/>
    <cellStyle name="常规 38 12 2 5 2" xfId="9273"/>
    <cellStyle name="常规 38 12 2 6" xfId="9274"/>
    <cellStyle name="常规 38 12 3" xfId="9275"/>
    <cellStyle name="常规 38 13" xfId="9276"/>
    <cellStyle name="常规 38 13 2" xfId="9277"/>
    <cellStyle name="常规 38 13 2 2" xfId="9278"/>
    <cellStyle name="常规 38 13 2 3" xfId="9279"/>
    <cellStyle name="常规 38 13 2 4" xfId="9280"/>
    <cellStyle name="常规 38 13 2 5" xfId="9281"/>
    <cellStyle name="常规 38 13 2 5 2" xfId="9282"/>
    <cellStyle name="常规 38 13 2 6" xfId="9283"/>
    <cellStyle name="常规 38 13 3" xfId="9284"/>
    <cellStyle name="常规 38 14" xfId="9285"/>
    <cellStyle name="常规 38 14 2" xfId="9286"/>
    <cellStyle name="常规 38 14 3" xfId="9287"/>
    <cellStyle name="常规 38 14 4" xfId="9288"/>
    <cellStyle name="常规 38 14 5" xfId="9289"/>
    <cellStyle name="常规 38 14 5 2" xfId="9290"/>
    <cellStyle name="常规 38 14 6" xfId="9291"/>
    <cellStyle name="常规 38 15" xfId="9292"/>
    <cellStyle name="常规 38 2" xfId="9293"/>
    <cellStyle name="常规 38 2 2" xfId="9294"/>
    <cellStyle name="常规 38 2 2 2" xfId="9295"/>
    <cellStyle name="常规 38 2 2 2 2" xfId="9296"/>
    <cellStyle name="常规 38 2 2 2 3" xfId="9297"/>
    <cellStyle name="常规 38 2 2 2 4" xfId="9298"/>
    <cellStyle name="常规 38 2 2 2 5" xfId="9299"/>
    <cellStyle name="常规 38 2 2 2 5 2" xfId="9300"/>
    <cellStyle name="常规 38 2 2 2 6" xfId="9301"/>
    <cellStyle name="常规 38 2 2 3" xfId="9302"/>
    <cellStyle name="常规 38 2 3" xfId="9303"/>
    <cellStyle name="常规 38 2 3 2" xfId="9304"/>
    <cellStyle name="常规 38 2 3 3" xfId="9305"/>
    <cellStyle name="常规 38 2 3 4" xfId="9306"/>
    <cellStyle name="常规 38 2 3 5" xfId="9307"/>
    <cellStyle name="常规 38 2 3 5 2" xfId="9308"/>
    <cellStyle name="常规 38 2 3 6" xfId="9309"/>
    <cellStyle name="常规 38 2 4" xfId="9310"/>
    <cellStyle name="常规 38 3" xfId="9311"/>
    <cellStyle name="常规 38 3 2" xfId="9312"/>
    <cellStyle name="常规 38 3 2 2" xfId="9313"/>
    <cellStyle name="常规 38 3 2 3" xfId="9314"/>
    <cellStyle name="常规 38 3 2 4" xfId="9315"/>
    <cellStyle name="常规 38 3 2 5" xfId="9316"/>
    <cellStyle name="常规 38 3 2 5 2" xfId="9317"/>
    <cellStyle name="常规 38 3 2 6" xfId="9318"/>
    <cellStyle name="常规 38 3 3" xfId="9319"/>
    <cellStyle name="常规 38 4" xfId="9320"/>
    <cellStyle name="常规 38 4 2" xfId="9321"/>
    <cellStyle name="常规 38 4 2 2" xfId="9322"/>
    <cellStyle name="常规 38 4 2 3" xfId="9323"/>
    <cellStyle name="常规 38 4 2 4" xfId="9324"/>
    <cellStyle name="常规 38 4 2 5" xfId="9325"/>
    <cellStyle name="常规 38 4 2 5 2" xfId="9326"/>
    <cellStyle name="常规 38 4 2 6" xfId="9327"/>
    <cellStyle name="常规 38 4 3" xfId="9328"/>
    <cellStyle name="常规 38 5" xfId="9329"/>
    <cellStyle name="常规 38 5 2" xfId="9330"/>
    <cellStyle name="常规 38 5 2 2" xfId="9331"/>
    <cellStyle name="常规 38 5 2 3" xfId="9332"/>
    <cellStyle name="常规 38 5 2 4" xfId="9333"/>
    <cellStyle name="常规 38 5 2 5" xfId="9334"/>
    <cellStyle name="常规 38 5 2 5 2" xfId="9335"/>
    <cellStyle name="常规 38 5 2 6" xfId="9336"/>
    <cellStyle name="常规 38 5 3" xfId="9337"/>
    <cellStyle name="常规 38 6" xfId="9338"/>
    <cellStyle name="常规 38 6 2" xfId="9339"/>
    <cellStyle name="常规 38 6 2 2" xfId="9340"/>
    <cellStyle name="常规 38 6 2 3" xfId="9341"/>
    <cellStyle name="常规 38 6 2 4" xfId="9342"/>
    <cellStyle name="常规 38 6 2 5" xfId="9343"/>
    <cellStyle name="常规 38 6 2 5 2" xfId="9344"/>
    <cellStyle name="常规 38 6 2 6" xfId="9345"/>
    <cellStyle name="常规 38 6 3" xfId="9346"/>
    <cellStyle name="常规 38 7" xfId="9347"/>
    <cellStyle name="常规 38 7 2" xfId="9348"/>
    <cellStyle name="常规 38 7 2 2" xfId="9349"/>
    <cellStyle name="常规 38 7 2 3" xfId="9350"/>
    <cellStyle name="常规 38 7 2 4" xfId="9351"/>
    <cellStyle name="常规 38 7 2 5" xfId="9352"/>
    <cellStyle name="常规 38 7 2 5 2" xfId="9353"/>
    <cellStyle name="常规 38 7 2 6" xfId="9354"/>
    <cellStyle name="常规 38 7 3" xfId="9355"/>
    <cellStyle name="常规 38 8" xfId="9356"/>
    <cellStyle name="常规 38 8 2" xfId="9357"/>
    <cellStyle name="常规 38 8 2 2" xfId="9358"/>
    <cellStyle name="常规 38 8 2 3" xfId="9359"/>
    <cellStyle name="常规 38 8 2 4" xfId="9360"/>
    <cellStyle name="常规 38 8 2 5" xfId="9361"/>
    <cellStyle name="常规 38 8 2 5 2" xfId="9362"/>
    <cellStyle name="常规 38 8 2 6" xfId="9363"/>
    <cellStyle name="常规 38 8 3" xfId="9364"/>
    <cellStyle name="常规 38 9" xfId="9365"/>
    <cellStyle name="常规 38 9 2" xfId="9366"/>
    <cellStyle name="常规 38 9 2 2" xfId="9367"/>
    <cellStyle name="常规 38 9 2 3" xfId="9368"/>
    <cellStyle name="常规 38 9 2 4" xfId="9369"/>
    <cellStyle name="常规 38 9 2 5" xfId="9370"/>
    <cellStyle name="常规 38 9 2 5 2" xfId="9371"/>
    <cellStyle name="常规 38 9 2 6" xfId="9372"/>
    <cellStyle name="常规 38 9 3" xfId="9373"/>
    <cellStyle name="常规 39" xfId="9374"/>
    <cellStyle name="常规 39 10" xfId="9375"/>
    <cellStyle name="常规 39 10 2" xfId="9376"/>
    <cellStyle name="常规 39 10 2 2" xfId="9377"/>
    <cellStyle name="常规 39 10 2 3" xfId="9378"/>
    <cellStyle name="常规 39 10 2 4" xfId="9379"/>
    <cellStyle name="常规 39 10 2 5" xfId="9380"/>
    <cellStyle name="常规 39 10 2 5 2" xfId="9381"/>
    <cellStyle name="常规 39 10 2 6" xfId="9382"/>
    <cellStyle name="常规 39 10 3" xfId="9383"/>
    <cellStyle name="常规 39 11" xfId="9384"/>
    <cellStyle name="常规 39 11 2" xfId="9385"/>
    <cellStyle name="常规 39 11 2 2" xfId="9386"/>
    <cellStyle name="常规 39 11 2 3" xfId="9387"/>
    <cellStyle name="常规 39 11 2 4" xfId="9388"/>
    <cellStyle name="常规 39 11 2 5" xfId="9389"/>
    <cellStyle name="常规 39 11 2 5 2" xfId="9390"/>
    <cellStyle name="常规 39 11 2 6" xfId="9391"/>
    <cellStyle name="常规 39 11 3" xfId="9392"/>
    <cellStyle name="常规 39 12" xfId="9393"/>
    <cellStyle name="常规 39 12 2" xfId="9394"/>
    <cellStyle name="常规 39 12 2 2" xfId="9395"/>
    <cellStyle name="常规 39 12 2 3" xfId="9396"/>
    <cellStyle name="常规 39 12 2 4" xfId="9397"/>
    <cellStyle name="常规 39 12 2 5" xfId="9398"/>
    <cellStyle name="常规 39 12 2 5 2" xfId="9399"/>
    <cellStyle name="常规 39 12 2 6" xfId="9400"/>
    <cellStyle name="常规 39 12 3" xfId="9401"/>
    <cellStyle name="常规 39 13" xfId="9402"/>
    <cellStyle name="常规 39 13 2" xfId="9403"/>
    <cellStyle name="常规 39 13 3" xfId="9404"/>
    <cellStyle name="常规 39 13 4" xfId="9405"/>
    <cellStyle name="常规 39 13 5" xfId="9406"/>
    <cellStyle name="常规 39 13 5 2" xfId="9407"/>
    <cellStyle name="常规 39 13 6" xfId="9408"/>
    <cellStyle name="常规 39 14" xfId="9409"/>
    <cellStyle name="常规 39 2" xfId="9410"/>
    <cellStyle name="常规 39 2 2" xfId="9411"/>
    <cellStyle name="常规 39 2 2 2" xfId="9412"/>
    <cellStyle name="常规 39 2 2 2 2" xfId="9413"/>
    <cellStyle name="常规 39 2 2 2 3" xfId="9414"/>
    <cellStyle name="常规 39 2 2 2 4" xfId="9415"/>
    <cellStyle name="常规 39 2 2 2 5" xfId="9416"/>
    <cellStyle name="常规 39 2 2 2 5 2" xfId="9417"/>
    <cellStyle name="常规 39 2 2 2 6" xfId="9418"/>
    <cellStyle name="常规 39 2 2 3" xfId="9419"/>
    <cellStyle name="常规 39 2 3" xfId="9420"/>
    <cellStyle name="常规 39 2 3 2" xfId="9421"/>
    <cellStyle name="常规 39 2 3 3" xfId="9422"/>
    <cellStyle name="常规 39 2 3 4" xfId="9423"/>
    <cellStyle name="常规 39 2 3 5" xfId="9424"/>
    <cellStyle name="常规 39 2 3 5 2" xfId="9425"/>
    <cellStyle name="常规 39 2 3 6" xfId="9426"/>
    <cellStyle name="常规 39 2 4" xfId="9427"/>
    <cellStyle name="常规 39 3" xfId="9428"/>
    <cellStyle name="常规 39 3 2" xfId="9429"/>
    <cellStyle name="常规 39 3 2 2" xfId="9430"/>
    <cellStyle name="常规 39 3 2 3" xfId="9431"/>
    <cellStyle name="常规 39 3 2 4" xfId="9432"/>
    <cellStyle name="常规 39 3 2 5" xfId="9433"/>
    <cellStyle name="常规 39 3 2 5 2" xfId="9434"/>
    <cellStyle name="常规 39 3 2 6" xfId="9435"/>
    <cellStyle name="常规 39 3 3" xfId="9436"/>
    <cellStyle name="常规 39 4" xfId="9437"/>
    <cellStyle name="常规 39 4 2" xfId="9438"/>
    <cellStyle name="常规 39 4 2 2" xfId="9439"/>
    <cellStyle name="常规 39 4 2 3" xfId="9440"/>
    <cellStyle name="常规 39 4 2 4" xfId="9441"/>
    <cellStyle name="常规 39 4 2 5" xfId="9442"/>
    <cellStyle name="常规 39 4 2 5 2" xfId="9443"/>
    <cellStyle name="常规 39 4 2 6" xfId="9444"/>
    <cellStyle name="常规 39 4 3" xfId="9445"/>
    <cellStyle name="常规 39 5" xfId="9446"/>
    <cellStyle name="常规 39 5 2" xfId="9447"/>
    <cellStyle name="常规 39 5 2 2" xfId="9448"/>
    <cellStyle name="常规 39 5 2 3" xfId="9449"/>
    <cellStyle name="常规 39 5 2 4" xfId="9450"/>
    <cellStyle name="常规 39 5 2 5" xfId="9451"/>
    <cellStyle name="常规 39 5 2 5 2" xfId="9452"/>
    <cellStyle name="常规 39 5 2 6" xfId="9453"/>
    <cellStyle name="常规 39 5 3" xfId="9454"/>
    <cellStyle name="常规 39 6" xfId="9455"/>
    <cellStyle name="常规 39 6 2" xfId="9456"/>
    <cellStyle name="常规 39 6 2 2" xfId="9457"/>
    <cellStyle name="常规 39 6 2 3" xfId="9458"/>
    <cellStyle name="常规 39 6 2 4" xfId="9459"/>
    <cellStyle name="常规 39 6 2 5" xfId="9460"/>
    <cellStyle name="常规 39 6 2 5 2" xfId="9461"/>
    <cellStyle name="常规 39 6 2 6" xfId="9462"/>
    <cellStyle name="常规 39 6 3" xfId="9463"/>
    <cellStyle name="常规 39 7" xfId="9464"/>
    <cellStyle name="常规 39 7 2" xfId="9465"/>
    <cellStyle name="常规 39 7 2 2" xfId="9466"/>
    <cellStyle name="常规 39 7 2 3" xfId="9467"/>
    <cellStyle name="常规 39 7 2 4" xfId="9468"/>
    <cellStyle name="常规 39 7 2 5" xfId="9469"/>
    <cellStyle name="常规 39 7 2 5 2" xfId="9470"/>
    <cellStyle name="常规 39 7 2 6" xfId="9471"/>
    <cellStyle name="常规 39 7 3" xfId="9472"/>
    <cellStyle name="常规 39 8" xfId="9473"/>
    <cellStyle name="常规 39 8 2" xfId="9474"/>
    <cellStyle name="常规 39 8 2 2" xfId="9475"/>
    <cellStyle name="常规 39 8 2 3" xfId="9476"/>
    <cellStyle name="常规 39 8 2 4" xfId="9477"/>
    <cellStyle name="常规 39 8 2 5" xfId="9478"/>
    <cellStyle name="常规 39 8 2 5 2" xfId="9479"/>
    <cellStyle name="常规 39 8 2 6" xfId="9480"/>
    <cellStyle name="常规 39 8 3" xfId="9481"/>
    <cellStyle name="常规 39 9" xfId="9482"/>
    <cellStyle name="常规 39 9 2" xfId="9483"/>
    <cellStyle name="常规 39 9 2 2" xfId="9484"/>
    <cellStyle name="常规 39 9 2 3" xfId="9485"/>
    <cellStyle name="常规 39 9 2 4" xfId="9486"/>
    <cellStyle name="常规 39 9 2 5" xfId="9487"/>
    <cellStyle name="常规 39 9 2 5 2" xfId="9488"/>
    <cellStyle name="常规 39 9 2 6" xfId="9489"/>
    <cellStyle name="常规 39 9 3" xfId="9490"/>
    <cellStyle name="常规 4" xfId="4"/>
    <cellStyle name="常规 4 10" xfId="9491"/>
    <cellStyle name="常规 4 10 2" xfId="9492"/>
    <cellStyle name="常规 4 10 2 2" xfId="9493"/>
    <cellStyle name="常规 4 10 2 3" xfId="9494"/>
    <cellStyle name="常规 4 11" xfId="9495"/>
    <cellStyle name="常规 4 11 2" xfId="9496"/>
    <cellStyle name="常规 4 11 2 2" xfId="9497"/>
    <cellStyle name="常规 4 11 2 3" xfId="9498"/>
    <cellStyle name="常规 4 12" xfId="9499"/>
    <cellStyle name="常规 4 12 2" xfId="9500"/>
    <cellStyle name="常规 4 12 2 2" xfId="9501"/>
    <cellStyle name="常规 4 12 2 3" xfId="9502"/>
    <cellStyle name="常规 4 13" xfId="9503"/>
    <cellStyle name="常规 4 13 2" xfId="9504"/>
    <cellStyle name="常规 4 13 2 2" xfId="9505"/>
    <cellStyle name="常规 4 13 2 3" xfId="9506"/>
    <cellStyle name="常规 4 14" xfId="9507"/>
    <cellStyle name="常规 4 14 2" xfId="9508"/>
    <cellStyle name="常规 4 14 2 2" xfId="9509"/>
    <cellStyle name="常规 4 14 2 3" xfId="9510"/>
    <cellStyle name="常规 4 15" xfId="9511"/>
    <cellStyle name="常规 4 15 2" xfId="9512"/>
    <cellStyle name="常规 4 15 2 2" xfId="9513"/>
    <cellStyle name="常规 4 15 2 3" xfId="9514"/>
    <cellStyle name="常规 4 16" xfId="9515"/>
    <cellStyle name="常规 4 16 2" xfId="9516"/>
    <cellStyle name="常规 4 16 3" xfId="9517"/>
    <cellStyle name="常规 4 17" xfId="9518"/>
    <cellStyle name="常规 4 17 2" xfId="9519"/>
    <cellStyle name="常规 4 2" xfId="9520"/>
    <cellStyle name="常规 4 2 10" xfId="9521"/>
    <cellStyle name="常规 4 2 10 2" xfId="9522"/>
    <cellStyle name="常规 4 2 10 2 2" xfId="9523"/>
    <cellStyle name="常规 4 2 10 2 3" xfId="9524"/>
    <cellStyle name="常规 4 2 11" xfId="9525"/>
    <cellStyle name="常规 4 2 11 2" xfId="9526"/>
    <cellStyle name="常规 4 2 11 2 2" xfId="9527"/>
    <cellStyle name="常规 4 2 11 2 3" xfId="9528"/>
    <cellStyle name="常规 4 2 12" xfId="9529"/>
    <cellStyle name="常规 4 2 12 2" xfId="9530"/>
    <cellStyle name="常规 4 2 12 2 2" xfId="9531"/>
    <cellStyle name="常规 4 2 12 2 3" xfId="9532"/>
    <cellStyle name="常规 4 2 13" xfId="9533"/>
    <cellStyle name="常规 4 2 13 2" xfId="9534"/>
    <cellStyle name="常规 4 2 13 2 2" xfId="9535"/>
    <cellStyle name="常规 4 2 13 2 3" xfId="9536"/>
    <cellStyle name="常规 4 2 14" xfId="9537"/>
    <cellStyle name="常规 4 2 14 2" xfId="9538"/>
    <cellStyle name="常规 4 2 14 2 2" xfId="9539"/>
    <cellStyle name="常规 4 2 14 2 3" xfId="9540"/>
    <cellStyle name="常规 4 2 15" xfId="9541"/>
    <cellStyle name="常规 4 2 15 2" xfId="9542"/>
    <cellStyle name="常规 4 2 15 2 2" xfId="9543"/>
    <cellStyle name="常规 4 2 15 2 3" xfId="9544"/>
    <cellStyle name="常规 4 2 16" xfId="9545"/>
    <cellStyle name="常规 4 2 16 2" xfId="9546"/>
    <cellStyle name="常规 4 2 16 2 2" xfId="9547"/>
    <cellStyle name="常规 4 2 16 2 3" xfId="9548"/>
    <cellStyle name="常规 4 2 17" xfId="9549"/>
    <cellStyle name="常规 4 2 17 2" xfId="9550"/>
    <cellStyle name="常规 4 2 17 3" xfId="9551"/>
    <cellStyle name="常规 4 2 2" xfId="9552"/>
    <cellStyle name="常规 4 2 2 2" xfId="9553"/>
    <cellStyle name="常规 4 2 2 2 2" xfId="9554"/>
    <cellStyle name="常规 4 2 2 2 3" xfId="9555"/>
    <cellStyle name="常规 4 2 2 3" xfId="9556"/>
    <cellStyle name="常规 4 2 2 4" xfId="9557"/>
    <cellStyle name="常规 4 2 2 5" xfId="9558"/>
    <cellStyle name="常规 4 2 2 6" xfId="9559"/>
    <cellStyle name="常规 4 2 2 6 2" xfId="9560"/>
    <cellStyle name="常规 4 2 2 7" xfId="9561"/>
    <cellStyle name="常规 4 2 3" xfId="9562"/>
    <cellStyle name="常规 4 2 3 2" xfId="9563"/>
    <cellStyle name="常规 4 2 3 2 2" xfId="9564"/>
    <cellStyle name="常规 4 2 3 2 3" xfId="9565"/>
    <cellStyle name="常规 4 2 4" xfId="9566"/>
    <cellStyle name="常规 4 2 4 2" xfId="9567"/>
    <cellStyle name="常规 4 2 4 2 2" xfId="9568"/>
    <cellStyle name="常规 4 2 4 2 3" xfId="9569"/>
    <cellStyle name="常规 4 2 5" xfId="9570"/>
    <cellStyle name="常规 4 2 5 2" xfId="9571"/>
    <cellStyle name="常规 4 2 5 2 2" xfId="9572"/>
    <cellStyle name="常规 4 2 5 2 3" xfId="9573"/>
    <cellStyle name="常规 4 2 6" xfId="9574"/>
    <cellStyle name="常规 4 2 6 2" xfId="9575"/>
    <cellStyle name="常规 4 2 6 2 2" xfId="9576"/>
    <cellStyle name="常规 4 2 6 2 3" xfId="9577"/>
    <cellStyle name="常规 4 2 7" xfId="9578"/>
    <cellStyle name="常规 4 2 7 2" xfId="9579"/>
    <cellStyle name="常规 4 2 7 2 2" xfId="9580"/>
    <cellStyle name="常规 4 2 7 2 3" xfId="9581"/>
    <cellStyle name="常规 4 2 8" xfId="9582"/>
    <cellStyle name="常规 4 2 8 2" xfId="9583"/>
    <cellStyle name="常规 4 2 8 2 2" xfId="9584"/>
    <cellStyle name="常规 4 2 8 2 3" xfId="9585"/>
    <cellStyle name="常规 4 2 9" xfId="9586"/>
    <cellStyle name="常规 4 2 9 2" xfId="9587"/>
    <cellStyle name="常规 4 2 9 2 2" xfId="9588"/>
    <cellStyle name="常规 4 2 9 2 3" xfId="9589"/>
    <cellStyle name="常规 4 3" xfId="9590"/>
    <cellStyle name="常规 4 3 2" xfId="9591"/>
    <cellStyle name="常规 4 3 2 2" xfId="9592"/>
    <cellStyle name="常规 4 3 2 2 2" xfId="9593"/>
    <cellStyle name="常规 4 3 2 2 3" xfId="9594"/>
    <cellStyle name="常规 4 3 2 3" xfId="9595"/>
    <cellStyle name="常规 4 3 2 4" xfId="9596"/>
    <cellStyle name="常规 4 3 3" xfId="9597"/>
    <cellStyle name="常规 4 3 3 2" xfId="9598"/>
    <cellStyle name="常规 4 3 3 3" xfId="9599"/>
    <cellStyle name="常规 4 3 4" xfId="9600"/>
    <cellStyle name="常规 4 3 5" xfId="9601"/>
    <cellStyle name="常规 4 3 5 2" xfId="9602"/>
    <cellStyle name="常规 4 3 6" xfId="9603"/>
    <cellStyle name="常规 4 4" xfId="9604"/>
    <cellStyle name="常规 4 4 2" xfId="9605"/>
    <cellStyle name="常规 4 4 2 2" xfId="9606"/>
    <cellStyle name="常规 4 4 2 3" xfId="9607"/>
    <cellStyle name="常规 4 5" xfId="9608"/>
    <cellStyle name="常规 4 5 2" xfId="9609"/>
    <cellStyle name="常规 4 5 2 2" xfId="9610"/>
    <cellStyle name="常规 4 5 2 3" xfId="9611"/>
    <cellStyle name="常规 4 6" xfId="9612"/>
    <cellStyle name="常规 4 6 2" xfId="9613"/>
    <cellStyle name="常规 4 6 2 2" xfId="9614"/>
    <cellStyle name="常规 4 6 2 3" xfId="9615"/>
    <cellStyle name="常规 4 7" xfId="9616"/>
    <cellStyle name="常规 4 7 2" xfId="9617"/>
    <cellStyle name="常规 4 7 2 2" xfId="9618"/>
    <cellStyle name="常规 4 7 2 3" xfId="9619"/>
    <cellStyle name="常规 4 8" xfId="9620"/>
    <cellStyle name="常规 4 8 2" xfId="9621"/>
    <cellStyle name="常规 4 8 2 2" xfId="9622"/>
    <cellStyle name="常规 4 8 2 3" xfId="9623"/>
    <cellStyle name="常规 4 9" xfId="9624"/>
    <cellStyle name="常规 4 9 2" xfId="9625"/>
    <cellStyle name="常规 4 9 2 2" xfId="9626"/>
    <cellStyle name="常规 4 9 2 3" xfId="9627"/>
    <cellStyle name="常规 40" xfId="9628"/>
    <cellStyle name="常规 40 2" xfId="9629"/>
    <cellStyle name="常规 40 2 2" xfId="9630"/>
    <cellStyle name="常规 40 2 2 2" xfId="9631"/>
    <cellStyle name="常规 40 2 2 3" xfId="9632"/>
    <cellStyle name="常规 40 2 2 4" xfId="9633"/>
    <cellStyle name="常规 40 2 2 5" xfId="9634"/>
    <cellStyle name="常规 40 2 2 5 2" xfId="9635"/>
    <cellStyle name="常规 40 2 2 6" xfId="9636"/>
    <cellStyle name="常规 40 2 3" xfId="9637"/>
    <cellStyle name="常规 40 3" xfId="9638"/>
    <cellStyle name="常规 40 3 2" xfId="9639"/>
    <cellStyle name="常规 40 3 2 2" xfId="9640"/>
    <cellStyle name="常规 40 3 2 3" xfId="9641"/>
    <cellStyle name="常规 40 3 2 4" xfId="9642"/>
    <cellStyle name="常规 40 3 2 5" xfId="9643"/>
    <cellStyle name="常规 40 3 2 5 2" xfId="9644"/>
    <cellStyle name="常规 40 3 2 6" xfId="9645"/>
    <cellStyle name="常规 40 3 3" xfId="9646"/>
    <cellStyle name="常规 40 4" xfId="9647"/>
    <cellStyle name="常规 40 4 2" xfId="9648"/>
    <cellStyle name="常规 40 4 3" xfId="9649"/>
    <cellStyle name="常规 40 4 4" xfId="9650"/>
    <cellStyle name="常规 40 4 5" xfId="9651"/>
    <cellStyle name="常规 40 4 5 2" xfId="9652"/>
    <cellStyle name="常规 40 4 6" xfId="9653"/>
    <cellStyle name="常规 40 5" xfId="9654"/>
    <cellStyle name="常规 41" xfId="9655"/>
    <cellStyle name="常规 41 2" xfId="9656"/>
    <cellStyle name="常规 41 2 2" xfId="9657"/>
    <cellStyle name="常规 41 2 3" xfId="9658"/>
    <cellStyle name="常规 41 2 4" xfId="9659"/>
    <cellStyle name="常规 41 2 5" xfId="9660"/>
    <cellStyle name="常规 41 2 5 2" xfId="9661"/>
    <cellStyle name="常规 41 2 6" xfId="9662"/>
    <cellStyle name="常规 41 3" xfId="9663"/>
    <cellStyle name="常规 42" xfId="9664"/>
    <cellStyle name="常规 42 2" xfId="9665"/>
    <cellStyle name="常规 42 2 2" xfId="9666"/>
    <cellStyle name="常规 42 2 3" xfId="9667"/>
    <cellStyle name="常规 42 2 4" xfId="9668"/>
    <cellStyle name="常规 42 2 5" xfId="9669"/>
    <cellStyle name="常规 42 2 5 2" xfId="9670"/>
    <cellStyle name="常规 42 2 6" xfId="9671"/>
    <cellStyle name="常规 42 3" xfId="9672"/>
    <cellStyle name="常规 43" xfId="9673"/>
    <cellStyle name="常规 43 2" xfId="9674"/>
    <cellStyle name="常规 43 2 2" xfId="9675"/>
    <cellStyle name="常规 43 2 3" xfId="9676"/>
    <cellStyle name="常规 43 2 4" xfId="9677"/>
    <cellStyle name="常规 43 2 5" xfId="9678"/>
    <cellStyle name="常规 43 2 5 2" xfId="9679"/>
    <cellStyle name="常规 43 2 6" xfId="9680"/>
    <cellStyle name="常规 43 3" xfId="9681"/>
    <cellStyle name="常规 44" xfId="9682"/>
    <cellStyle name="常规 44 2" xfId="9683"/>
    <cellStyle name="常规 44 2 2" xfId="9684"/>
    <cellStyle name="常规 44 2 3" xfId="9685"/>
    <cellStyle name="常规 44 2 4" xfId="9686"/>
    <cellStyle name="常规 44 2 5" xfId="9687"/>
    <cellStyle name="常规 44 2 5 2" xfId="9688"/>
    <cellStyle name="常规 44 2 6" xfId="9689"/>
    <cellStyle name="常规 44 3" xfId="9690"/>
    <cellStyle name="常规 45" xfId="9691"/>
    <cellStyle name="常规 45 2" xfId="9692"/>
    <cellStyle name="常规 45 2 2" xfId="9693"/>
    <cellStyle name="常规 45 2 3" xfId="9694"/>
    <cellStyle name="常规 45 2 4" xfId="9695"/>
    <cellStyle name="常规 45 2 5" xfId="9696"/>
    <cellStyle name="常规 45 2 5 2" xfId="9697"/>
    <cellStyle name="常规 45 2 6" xfId="9698"/>
    <cellStyle name="常规 45 3" xfId="9699"/>
    <cellStyle name="常规 46" xfId="9700"/>
    <cellStyle name="常规 46 2" xfId="9701"/>
    <cellStyle name="常规 46 2 2" xfId="9702"/>
    <cellStyle name="常规 46 2 3" xfId="9703"/>
    <cellStyle name="常规 46 2 4" xfId="9704"/>
    <cellStyle name="常规 46 2 5" xfId="9705"/>
    <cellStyle name="常规 46 2 5 2" xfId="9706"/>
    <cellStyle name="常规 46 2 6" xfId="9707"/>
    <cellStyle name="常规 46 3" xfId="9708"/>
    <cellStyle name="常规 47" xfId="9709"/>
    <cellStyle name="常规 47 2" xfId="9710"/>
    <cellStyle name="常规 47 2 2" xfId="9711"/>
    <cellStyle name="常规 47 2 3" xfId="9712"/>
    <cellStyle name="常规 47 2 4" xfId="9713"/>
    <cellStyle name="常规 47 2 5" xfId="9714"/>
    <cellStyle name="常规 47 2 5 2" xfId="9715"/>
    <cellStyle name="常规 47 2 6" xfId="9716"/>
    <cellStyle name="常规 47 3" xfId="9717"/>
    <cellStyle name="常规 48" xfId="9718"/>
    <cellStyle name="常规 48 2" xfId="9719"/>
    <cellStyle name="常规 48 2 2" xfId="9720"/>
    <cellStyle name="常规 48 2 3" xfId="9721"/>
    <cellStyle name="常规 48 2 4" xfId="9722"/>
    <cellStyle name="常规 48 2 5" xfId="9723"/>
    <cellStyle name="常规 48 2 5 2" xfId="9724"/>
    <cellStyle name="常规 48 2 6" xfId="9725"/>
    <cellStyle name="常规 48 3" xfId="9726"/>
    <cellStyle name="常规 49" xfId="9727"/>
    <cellStyle name="常规 49 2" xfId="9728"/>
    <cellStyle name="常规 49 2 2" xfId="9729"/>
    <cellStyle name="常规 49 2 3" xfId="9730"/>
    <cellStyle name="常规 49 2 4" xfId="9731"/>
    <cellStyle name="常规 49 2 5" xfId="9732"/>
    <cellStyle name="常规 49 2 5 2" xfId="9733"/>
    <cellStyle name="常规 49 2 6" xfId="9734"/>
    <cellStyle name="常规 49 3" xfId="9735"/>
    <cellStyle name="常规 5" xfId="5"/>
    <cellStyle name="常规 5 10" xfId="9736"/>
    <cellStyle name="常规 5 10 2" xfId="9737"/>
    <cellStyle name="常规 5 10 2 2" xfId="9738"/>
    <cellStyle name="常规 5 10 2 3" xfId="9739"/>
    <cellStyle name="常规 5 10 2 4" xfId="9740"/>
    <cellStyle name="常规 5 10 2 5" xfId="9741"/>
    <cellStyle name="常规 5 10 2 5 2" xfId="9742"/>
    <cellStyle name="常规 5 10 2 6" xfId="9743"/>
    <cellStyle name="常规 5 10 3" xfId="9744"/>
    <cellStyle name="常规 5 11" xfId="9745"/>
    <cellStyle name="常规 5 11 2" xfId="9746"/>
    <cellStyle name="常规 5 11 2 2" xfId="9747"/>
    <cellStyle name="常规 5 11 2 3" xfId="9748"/>
    <cellStyle name="常规 5 11 2 4" xfId="9749"/>
    <cellStyle name="常规 5 11 2 5" xfId="9750"/>
    <cellStyle name="常规 5 11 2 5 2" xfId="9751"/>
    <cellStyle name="常规 5 11 2 6" xfId="9752"/>
    <cellStyle name="常规 5 11 3" xfId="9753"/>
    <cellStyle name="常规 5 12" xfId="9754"/>
    <cellStyle name="常规 5 12 2" xfId="9755"/>
    <cellStyle name="常规 5 12 2 2" xfId="9756"/>
    <cellStyle name="常规 5 12 2 3" xfId="9757"/>
    <cellStyle name="常规 5 12 2 4" xfId="9758"/>
    <cellStyle name="常规 5 12 2 5" xfId="9759"/>
    <cellStyle name="常规 5 12 2 5 2" xfId="9760"/>
    <cellStyle name="常规 5 12 2 6" xfId="9761"/>
    <cellStyle name="常规 5 12 3" xfId="9762"/>
    <cellStyle name="常规 5 13" xfId="9763"/>
    <cellStyle name="常规 5 13 2" xfId="9764"/>
    <cellStyle name="常规 5 13 2 2" xfId="9765"/>
    <cellStyle name="常规 5 13 2 3" xfId="9766"/>
    <cellStyle name="常规 5 13 2 4" xfId="9767"/>
    <cellStyle name="常规 5 13 2 5" xfId="9768"/>
    <cellStyle name="常规 5 13 2 5 2" xfId="9769"/>
    <cellStyle name="常规 5 13 2 6" xfId="9770"/>
    <cellStyle name="常规 5 13 3" xfId="9771"/>
    <cellStyle name="常规 5 14" xfId="9772"/>
    <cellStyle name="常规 5 14 2" xfId="9773"/>
    <cellStyle name="常规 5 14 2 2" xfId="9774"/>
    <cellStyle name="常规 5 14 2 2 2" xfId="9775"/>
    <cellStyle name="常规 5 14 2 2 3" xfId="9776"/>
    <cellStyle name="常规 5 14 2 3" xfId="9777"/>
    <cellStyle name="常规 5 14 2 4" xfId="9778"/>
    <cellStyle name="常规 5 14 3" xfId="9779"/>
    <cellStyle name="常规 5 14 3 2" xfId="9780"/>
    <cellStyle name="常规 5 14 3 3" xfId="9781"/>
    <cellStyle name="常规 5 14 3 4" xfId="9782"/>
    <cellStyle name="常规 5 14 4" xfId="9783"/>
    <cellStyle name="常规 5 14 5" xfId="9784"/>
    <cellStyle name="常规 5 14 6" xfId="9785"/>
    <cellStyle name="常规 5 14 7" xfId="9786"/>
    <cellStyle name="常规 5 14 7 2" xfId="9787"/>
    <cellStyle name="常规 5 14 8" xfId="9788"/>
    <cellStyle name="常规 5 15" xfId="9789"/>
    <cellStyle name="常规 5 15 2" xfId="9790"/>
    <cellStyle name="常规 5 15 2 2" xfId="9791"/>
    <cellStyle name="常规 5 15 2 3" xfId="9792"/>
    <cellStyle name="常规 5 16" xfId="9793"/>
    <cellStyle name="常规 5 16 2" xfId="9794"/>
    <cellStyle name="常规 5 16 2 2" xfId="9795"/>
    <cellStyle name="常规 5 16 2 3" xfId="9796"/>
    <cellStyle name="常规 5 17" xfId="9797"/>
    <cellStyle name="常规 5 17 2" xfId="9798"/>
    <cellStyle name="常规 5 17 2 2" xfId="9799"/>
    <cellStyle name="常规 5 17 2 3" xfId="9800"/>
    <cellStyle name="常规 5 18" xfId="9801"/>
    <cellStyle name="常规 5 18 2" xfId="9802"/>
    <cellStyle name="常规 5 18 2 2" xfId="9803"/>
    <cellStyle name="常规 5 18 2 3" xfId="9804"/>
    <cellStyle name="常规 5 19" xfId="9805"/>
    <cellStyle name="常规 5 19 2" xfId="9806"/>
    <cellStyle name="常规 5 19 2 2" xfId="9807"/>
    <cellStyle name="常规 5 19 2 3" xfId="9808"/>
    <cellStyle name="常规 5 2" xfId="9809"/>
    <cellStyle name="常规 5 2 2" xfId="9810"/>
    <cellStyle name="常规 5 2 2 2" xfId="9811"/>
    <cellStyle name="常规 5 2 2 2 2" xfId="9812"/>
    <cellStyle name="常规 5 2 2 2 3" xfId="9813"/>
    <cellStyle name="常规 5 2 2 2 4" xfId="9814"/>
    <cellStyle name="常规 5 2 2 2 5" xfId="9815"/>
    <cellStyle name="常规 5 2 2 2 5 2" xfId="9816"/>
    <cellStyle name="常规 5 2 2 2 6" xfId="9817"/>
    <cellStyle name="常规 5 2 2 3" xfId="9818"/>
    <cellStyle name="常规 5 2 3" xfId="9819"/>
    <cellStyle name="常规 5 2 3 2" xfId="9820"/>
    <cellStyle name="常规 5 2 3 3" xfId="9821"/>
    <cellStyle name="常规 5 2 3 4" xfId="9822"/>
    <cellStyle name="常规 5 2 3 5" xfId="9823"/>
    <cellStyle name="常规 5 2 3 5 2" xfId="9824"/>
    <cellStyle name="常规 5 2 3 6" xfId="9825"/>
    <cellStyle name="常规 5 2 4" xfId="9826"/>
    <cellStyle name="常规 5 20" xfId="9827"/>
    <cellStyle name="常规 5 20 2" xfId="9828"/>
    <cellStyle name="常规 5 20 2 2" xfId="9829"/>
    <cellStyle name="常规 5 20 2 3" xfId="9830"/>
    <cellStyle name="常规 5 21" xfId="9831"/>
    <cellStyle name="常规 5 21 2" xfId="9832"/>
    <cellStyle name="常规 5 21 2 2" xfId="9833"/>
    <cellStyle name="常规 5 21 2 3" xfId="9834"/>
    <cellStyle name="常规 5 22" xfId="9835"/>
    <cellStyle name="常规 5 22 2" xfId="9836"/>
    <cellStyle name="常规 5 22 2 2" xfId="9837"/>
    <cellStyle name="常规 5 22 2 3" xfId="9838"/>
    <cellStyle name="常规 5 23" xfId="9839"/>
    <cellStyle name="常规 5 23 2" xfId="9840"/>
    <cellStyle name="常规 5 23 2 2" xfId="9841"/>
    <cellStyle name="常规 5 23 2 3" xfId="9842"/>
    <cellStyle name="常规 5 24" xfId="9843"/>
    <cellStyle name="常规 5 24 2" xfId="9844"/>
    <cellStyle name="常规 5 24 2 2" xfId="9845"/>
    <cellStyle name="常规 5 24 2 3" xfId="9846"/>
    <cellStyle name="常规 5 25" xfId="9847"/>
    <cellStyle name="常规 5 25 2" xfId="9848"/>
    <cellStyle name="常规 5 25 2 2" xfId="9849"/>
    <cellStyle name="常规 5 25 2 3" xfId="9850"/>
    <cellStyle name="常规 5 26" xfId="9851"/>
    <cellStyle name="常规 5 26 2" xfId="9852"/>
    <cellStyle name="常规 5 26 2 2" xfId="9853"/>
    <cellStyle name="常规 5 26 2 3" xfId="9854"/>
    <cellStyle name="常规 5 27" xfId="9855"/>
    <cellStyle name="常规 5 27 2" xfId="9856"/>
    <cellStyle name="常规 5 27 3" xfId="9857"/>
    <cellStyle name="常规 5 28" xfId="9858"/>
    <cellStyle name="常规 5 3" xfId="9859"/>
    <cellStyle name="常规 5 3 2" xfId="9860"/>
    <cellStyle name="常规 5 3 2 2" xfId="9861"/>
    <cellStyle name="常规 5 3 2 3" xfId="9862"/>
    <cellStyle name="常规 5 3 2 4" xfId="9863"/>
    <cellStyle name="常规 5 3 2 5" xfId="9864"/>
    <cellStyle name="常规 5 3 2 5 2" xfId="9865"/>
    <cellStyle name="常规 5 3 2 6" xfId="9866"/>
    <cellStyle name="常规 5 3 3" xfId="9867"/>
    <cellStyle name="常规 5 4" xfId="9868"/>
    <cellStyle name="常规 5 4 2" xfId="9869"/>
    <cellStyle name="常规 5 4 2 2" xfId="9870"/>
    <cellStyle name="常规 5 4 2 3" xfId="9871"/>
    <cellStyle name="常规 5 4 2 4" xfId="9872"/>
    <cellStyle name="常规 5 4 2 5" xfId="9873"/>
    <cellStyle name="常规 5 4 2 5 2" xfId="9874"/>
    <cellStyle name="常规 5 4 2 6" xfId="9875"/>
    <cellStyle name="常规 5 4 3" xfId="9876"/>
    <cellStyle name="常规 5 5" xfId="9877"/>
    <cellStyle name="常规 5 5 2" xfId="9878"/>
    <cellStyle name="常规 5 5 2 2" xfId="9879"/>
    <cellStyle name="常规 5 5 2 3" xfId="9880"/>
    <cellStyle name="常规 5 5 2 4" xfId="9881"/>
    <cellStyle name="常规 5 5 2 5" xfId="9882"/>
    <cellStyle name="常规 5 5 2 5 2" xfId="9883"/>
    <cellStyle name="常规 5 5 2 6" xfId="9884"/>
    <cellStyle name="常规 5 5 3" xfId="9885"/>
    <cellStyle name="常规 5 6" xfId="9886"/>
    <cellStyle name="常规 5 6 2" xfId="9887"/>
    <cellStyle name="常规 5 6 2 2" xfId="9888"/>
    <cellStyle name="常规 5 6 2 3" xfId="9889"/>
    <cellStyle name="常规 5 6 2 4" xfId="9890"/>
    <cellStyle name="常规 5 6 2 5" xfId="9891"/>
    <cellStyle name="常规 5 6 2 5 2" xfId="9892"/>
    <cellStyle name="常规 5 6 2 6" xfId="9893"/>
    <cellStyle name="常规 5 6 3" xfId="9894"/>
    <cellStyle name="常规 5 7" xfId="9895"/>
    <cellStyle name="常规 5 7 2" xfId="9896"/>
    <cellStyle name="常规 5 7 2 2" xfId="9897"/>
    <cellStyle name="常规 5 7 2 3" xfId="9898"/>
    <cellStyle name="常规 5 7 2 4" xfId="9899"/>
    <cellStyle name="常规 5 7 2 5" xfId="9900"/>
    <cellStyle name="常规 5 7 2 5 2" xfId="9901"/>
    <cellStyle name="常规 5 7 2 6" xfId="9902"/>
    <cellStyle name="常规 5 7 3" xfId="9903"/>
    <cellStyle name="常规 5 8" xfId="9904"/>
    <cellStyle name="常规 5 8 2" xfId="9905"/>
    <cellStyle name="常规 5 8 2 2" xfId="9906"/>
    <cellStyle name="常规 5 8 2 3" xfId="9907"/>
    <cellStyle name="常规 5 8 2 4" xfId="9908"/>
    <cellStyle name="常规 5 8 2 5" xfId="9909"/>
    <cellStyle name="常规 5 8 2 5 2" xfId="9910"/>
    <cellStyle name="常规 5 8 2 6" xfId="9911"/>
    <cellStyle name="常规 5 8 3" xfId="9912"/>
    <cellStyle name="常规 5 9" xfId="9913"/>
    <cellStyle name="常规 5 9 2" xfId="9914"/>
    <cellStyle name="常规 5 9 2 2" xfId="9915"/>
    <cellStyle name="常规 5 9 2 3" xfId="9916"/>
    <cellStyle name="常规 5 9 2 4" xfId="9917"/>
    <cellStyle name="常规 5 9 2 5" xfId="9918"/>
    <cellStyle name="常规 5 9 2 5 2" xfId="9919"/>
    <cellStyle name="常规 5 9 2 6" xfId="9920"/>
    <cellStyle name="常规 5 9 3" xfId="9921"/>
    <cellStyle name="常规 50" xfId="9922"/>
    <cellStyle name="常规 50 2" xfId="9923"/>
    <cellStyle name="常规 50 2 2" xfId="9924"/>
    <cellStyle name="常规 50 2 3" xfId="9925"/>
    <cellStyle name="常规 50 2 4" xfId="9926"/>
    <cellStyle name="常规 50 2 5" xfId="9927"/>
    <cellStyle name="常规 50 2 5 2" xfId="9928"/>
    <cellStyle name="常规 50 2 6" xfId="9929"/>
    <cellStyle name="常规 50 3" xfId="9930"/>
    <cellStyle name="常规 51" xfId="9931"/>
    <cellStyle name="常规 51 2" xfId="9932"/>
    <cellStyle name="常规 51 2 2" xfId="9933"/>
    <cellStyle name="常规 51 2 3" xfId="9934"/>
    <cellStyle name="常规 51 2 4" xfId="9935"/>
    <cellStyle name="常规 51 2 5" xfId="9936"/>
    <cellStyle name="常规 51 2 5 2" xfId="9937"/>
    <cellStyle name="常规 51 2 6" xfId="9938"/>
    <cellStyle name="常规 51 3" xfId="9939"/>
    <cellStyle name="常规 52" xfId="9940"/>
    <cellStyle name="常规 52 2" xfId="9941"/>
    <cellStyle name="常规 52 2 2" xfId="9942"/>
    <cellStyle name="常规 52 2 3" xfId="9943"/>
    <cellStyle name="常规 52 2 4" xfId="9944"/>
    <cellStyle name="常规 52 2 5" xfId="9945"/>
    <cellStyle name="常规 52 2 5 2" xfId="9946"/>
    <cellStyle name="常规 52 2 6" xfId="9947"/>
    <cellStyle name="常规 52 3" xfId="9948"/>
    <cellStyle name="常规 53" xfId="9949"/>
    <cellStyle name="常规 53 2" xfId="9950"/>
    <cellStyle name="常规 53 2 2" xfId="9951"/>
    <cellStyle name="常规 53 2 3" xfId="9952"/>
    <cellStyle name="常规 53 2 4" xfId="9953"/>
    <cellStyle name="常规 53 2 5" xfId="9954"/>
    <cellStyle name="常规 53 2 5 2" xfId="9955"/>
    <cellStyle name="常规 53 2 6" xfId="9956"/>
    <cellStyle name="常规 53 3" xfId="9957"/>
    <cellStyle name="常规 54" xfId="9958"/>
    <cellStyle name="常规 54 2" xfId="9959"/>
    <cellStyle name="常规 54 2 2" xfId="9960"/>
    <cellStyle name="常规 54 2 3" xfId="9961"/>
    <cellStyle name="常规 54 2 4" xfId="9962"/>
    <cellStyle name="常规 54 2 5" xfId="9963"/>
    <cellStyle name="常规 54 2 5 2" xfId="9964"/>
    <cellStyle name="常规 54 2 6" xfId="9965"/>
    <cellStyle name="常规 54 3" xfId="9966"/>
    <cellStyle name="常规 55" xfId="9967"/>
    <cellStyle name="常规 55 2" xfId="9968"/>
    <cellStyle name="常规 55 2 2" xfId="9969"/>
    <cellStyle name="常规 55 2 3" xfId="9970"/>
    <cellStyle name="常规 55 2 4" xfId="9971"/>
    <cellStyle name="常规 55 2 5" xfId="9972"/>
    <cellStyle name="常规 55 2 5 2" xfId="9973"/>
    <cellStyle name="常规 55 2 6" xfId="9974"/>
    <cellStyle name="常规 55 3" xfId="9975"/>
    <cellStyle name="常规 56" xfId="9976"/>
    <cellStyle name="常规 56 2" xfId="9977"/>
    <cellStyle name="常规 56 2 2" xfId="9978"/>
    <cellStyle name="常规 56 2 3" xfId="9979"/>
    <cellStyle name="常规 56 2 4" xfId="9980"/>
    <cellStyle name="常规 56 2 5" xfId="9981"/>
    <cellStyle name="常规 56 2 5 2" xfId="9982"/>
    <cellStyle name="常规 56 2 6" xfId="9983"/>
    <cellStyle name="常规 56 3" xfId="9984"/>
    <cellStyle name="常规 57" xfId="9985"/>
    <cellStyle name="常规 57 2" xfId="9986"/>
    <cellStyle name="常规 57 2 2" xfId="9987"/>
    <cellStyle name="常规 57 2 3" xfId="9988"/>
    <cellStyle name="常规 57 2 4" xfId="9989"/>
    <cellStyle name="常规 57 2 5" xfId="9990"/>
    <cellStyle name="常规 57 2 5 2" xfId="9991"/>
    <cellStyle name="常规 57 2 6" xfId="9992"/>
    <cellStyle name="常规 57 3" xfId="9993"/>
    <cellStyle name="常规 58" xfId="9994"/>
    <cellStyle name="常规 58 2" xfId="9995"/>
    <cellStyle name="常规 58 2 2" xfId="9996"/>
    <cellStyle name="常规 58 2 3" xfId="9997"/>
    <cellStyle name="常规 58 2 4" xfId="9998"/>
    <cellStyle name="常规 58 2 5" xfId="9999"/>
    <cellStyle name="常规 58 2 5 2" xfId="10000"/>
    <cellStyle name="常规 58 2 6" xfId="10001"/>
    <cellStyle name="常规 58 3" xfId="10002"/>
    <cellStyle name="常规 59" xfId="10003"/>
    <cellStyle name="常规 59 2" xfId="10004"/>
    <cellStyle name="常规 59 2 2" xfId="10005"/>
    <cellStyle name="常规 59 2 3" xfId="10006"/>
    <cellStyle name="常规 59 2 4" xfId="10007"/>
    <cellStyle name="常规 59 2 5" xfId="10008"/>
    <cellStyle name="常规 59 2 5 2" xfId="10009"/>
    <cellStyle name="常规 59 2 6" xfId="10010"/>
    <cellStyle name="常规 59 3" xfId="10011"/>
    <cellStyle name="常规 6" xfId="6"/>
    <cellStyle name="常规 6 10" xfId="10012"/>
    <cellStyle name="常规 6 10 2" xfId="10013"/>
    <cellStyle name="常规 6 10 2 2" xfId="10014"/>
    <cellStyle name="常规 6 10 2 3" xfId="10015"/>
    <cellStyle name="常规 6 10 2 4" xfId="10016"/>
    <cellStyle name="常规 6 10 2 5" xfId="10017"/>
    <cellStyle name="常规 6 10 2 5 2" xfId="10018"/>
    <cellStyle name="常规 6 10 2 6" xfId="10019"/>
    <cellStyle name="常规 6 10 3" xfId="10020"/>
    <cellStyle name="常规 6 11" xfId="10021"/>
    <cellStyle name="常规 6 11 2" xfId="10022"/>
    <cellStyle name="常规 6 11 2 2" xfId="10023"/>
    <cellStyle name="常规 6 11 2 3" xfId="10024"/>
    <cellStyle name="常规 6 11 2 4" xfId="10025"/>
    <cellStyle name="常规 6 11 2 5" xfId="10026"/>
    <cellStyle name="常规 6 11 2 5 2" xfId="10027"/>
    <cellStyle name="常规 6 11 2 6" xfId="10028"/>
    <cellStyle name="常规 6 11 3" xfId="10029"/>
    <cellStyle name="常规 6 12" xfId="10030"/>
    <cellStyle name="常规 6 12 2" xfId="10031"/>
    <cellStyle name="常规 6 12 2 2" xfId="10032"/>
    <cellStyle name="常规 6 12 2 3" xfId="10033"/>
    <cellStyle name="常规 6 12 2 4" xfId="10034"/>
    <cellStyle name="常规 6 12 2 5" xfId="10035"/>
    <cellStyle name="常规 6 12 2 5 2" xfId="10036"/>
    <cellStyle name="常规 6 12 2 6" xfId="10037"/>
    <cellStyle name="常规 6 12 3" xfId="10038"/>
    <cellStyle name="常规 6 13" xfId="10039"/>
    <cellStyle name="常规 6 13 2" xfId="10040"/>
    <cellStyle name="常规 6 13 2 2" xfId="10041"/>
    <cellStyle name="常规 6 13 2 3" xfId="10042"/>
    <cellStyle name="常规 6 13 2 4" xfId="10043"/>
    <cellStyle name="常规 6 13 2 5" xfId="10044"/>
    <cellStyle name="常规 6 13 2 5 2" xfId="10045"/>
    <cellStyle name="常规 6 13 2 6" xfId="10046"/>
    <cellStyle name="常规 6 13 3" xfId="10047"/>
    <cellStyle name="常规 6 14" xfId="10048"/>
    <cellStyle name="常规 6 14 2" xfId="10049"/>
    <cellStyle name="常规 6 14 2 2" xfId="10050"/>
    <cellStyle name="常规 6 14 2 2 2" xfId="10051"/>
    <cellStyle name="常规 6 14 2 2 3" xfId="10052"/>
    <cellStyle name="常规 6 14 2 3" xfId="10053"/>
    <cellStyle name="常规 6 14 2 4" xfId="10054"/>
    <cellStyle name="常规 6 14 3" xfId="10055"/>
    <cellStyle name="常规 6 14 3 2" xfId="10056"/>
    <cellStyle name="常规 6 14 3 3" xfId="10057"/>
    <cellStyle name="常规 6 14 4" xfId="10058"/>
    <cellStyle name="常规 6 14 5" xfId="10059"/>
    <cellStyle name="常规 6 14 6" xfId="10060"/>
    <cellStyle name="常规 6 14 6 2" xfId="10061"/>
    <cellStyle name="常规 6 14 7" xfId="10062"/>
    <cellStyle name="常规 6 15" xfId="10063"/>
    <cellStyle name="常规 6 15 2" xfId="10064"/>
    <cellStyle name="常规 6 15 2 2" xfId="10065"/>
    <cellStyle name="常规 6 15 2 3" xfId="10066"/>
    <cellStyle name="常规 6 16" xfId="10067"/>
    <cellStyle name="常规 6 16 2" xfId="10068"/>
    <cellStyle name="常规 6 16 2 2" xfId="10069"/>
    <cellStyle name="常规 6 16 2 3" xfId="10070"/>
    <cellStyle name="常规 6 17" xfId="10071"/>
    <cellStyle name="常规 6 17 2" xfId="10072"/>
    <cellStyle name="常规 6 17 2 2" xfId="10073"/>
    <cellStyle name="常规 6 17 2 3" xfId="10074"/>
    <cellStyle name="常规 6 18" xfId="10075"/>
    <cellStyle name="常规 6 18 2" xfId="10076"/>
    <cellStyle name="常规 6 18 2 2" xfId="10077"/>
    <cellStyle name="常规 6 18 2 3" xfId="10078"/>
    <cellStyle name="常规 6 19" xfId="10079"/>
    <cellStyle name="常规 6 19 2" xfId="10080"/>
    <cellStyle name="常规 6 19 2 2" xfId="10081"/>
    <cellStyle name="常规 6 19 2 3" xfId="10082"/>
    <cellStyle name="常规 6 2" xfId="9"/>
    <cellStyle name="常规 6 2 2" xfId="16"/>
    <cellStyle name="常规 6 2 2 2" xfId="10083"/>
    <cellStyle name="常规 6 2 2 2 2" xfId="10084"/>
    <cellStyle name="常规 6 2 2 2 3" xfId="10085"/>
    <cellStyle name="常规 6 2 2 2 4" xfId="10086"/>
    <cellStyle name="常规 6 2 2 2 5" xfId="10087"/>
    <cellStyle name="常规 6 2 2 2 5 2" xfId="10088"/>
    <cellStyle name="常规 6 2 2 2 6" xfId="10089"/>
    <cellStyle name="常规 6 2 2 3" xfId="10090"/>
    <cellStyle name="常规 6 2 3" xfId="13"/>
    <cellStyle name="常规 6 2 3 2" xfId="10091"/>
    <cellStyle name="常规 6 2 3 3" xfId="10092"/>
    <cellStyle name="常规 6 2 3 4" xfId="10093"/>
    <cellStyle name="常规 6 2 3 5" xfId="10094"/>
    <cellStyle name="常规 6 2 3 5 2" xfId="10095"/>
    <cellStyle name="常规 6 2 3 6" xfId="10096"/>
    <cellStyle name="常规 6 2 4" xfId="10097"/>
    <cellStyle name="常规 6 20" xfId="10098"/>
    <cellStyle name="常规 6 20 2" xfId="10099"/>
    <cellStyle name="常规 6 20 2 2" xfId="10100"/>
    <cellStyle name="常规 6 20 2 3" xfId="10101"/>
    <cellStyle name="常规 6 21" xfId="10102"/>
    <cellStyle name="常规 6 21 2" xfId="10103"/>
    <cellStyle name="常规 6 21 2 2" xfId="10104"/>
    <cellStyle name="常规 6 21 2 3" xfId="10105"/>
    <cellStyle name="常规 6 22" xfId="10106"/>
    <cellStyle name="常规 6 22 2" xfId="10107"/>
    <cellStyle name="常规 6 22 2 2" xfId="10108"/>
    <cellStyle name="常规 6 22 2 3" xfId="10109"/>
    <cellStyle name="常规 6 23" xfId="10110"/>
    <cellStyle name="常规 6 23 2" xfId="10111"/>
    <cellStyle name="常规 6 23 2 2" xfId="10112"/>
    <cellStyle name="常规 6 23 2 3" xfId="10113"/>
    <cellStyle name="常规 6 24" xfId="10114"/>
    <cellStyle name="常规 6 24 2" xfId="10115"/>
    <cellStyle name="常规 6 24 2 2" xfId="10116"/>
    <cellStyle name="常规 6 24 2 3" xfId="10117"/>
    <cellStyle name="常规 6 25" xfId="10118"/>
    <cellStyle name="常规 6 25 2" xfId="10119"/>
    <cellStyle name="常规 6 25 2 2" xfId="10120"/>
    <cellStyle name="常规 6 25 2 3" xfId="10121"/>
    <cellStyle name="常规 6 26" xfId="10122"/>
    <cellStyle name="常规 6 26 2" xfId="10123"/>
    <cellStyle name="常规 6 26 2 2" xfId="10124"/>
    <cellStyle name="常规 6 26 2 3" xfId="10125"/>
    <cellStyle name="常规 6 27" xfId="10126"/>
    <cellStyle name="常规 6 27 2" xfId="10127"/>
    <cellStyle name="常规 6 27 2 2" xfId="10128"/>
    <cellStyle name="常规 6 27 2 3" xfId="10129"/>
    <cellStyle name="常规 6 28" xfId="10130"/>
    <cellStyle name="常规 6 28 2" xfId="10131"/>
    <cellStyle name="常规 6 28 3" xfId="10132"/>
    <cellStyle name="常规 6 29" xfId="10133"/>
    <cellStyle name="常规 6 3" xfId="10134"/>
    <cellStyle name="常规 6 3 2" xfId="10135"/>
    <cellStyle name="常规 6 3 2 2" xfId="10136"/>
    <cellStyle name="常规 6 3 2 3" xfId="10137"/>
    <cellStyle name="常规 6 3 2 4" xfId="10138"/>
    <cellStyle name="常规 6 3 2 5" xfId="10139"/>
    <cellStyle name="常规 6 3 2 5 2" xfId="10140"/>
    <cellStyle name="常规 6 3 2 6" xfId="10141"/>
    <cellStyle name="常规 6 3 3" xfId="10142"/>
    <cellStyle name="常规 6 4" xfId="10143"/>
    <cellStyle name="常规 6 4 2" xfId="10144"/>
    <cellStyle name="常规 6 4 2 2" xfId="10145"/>
    <cellStyle name="常规 6 4 2 3" xfId="10146"/>
    <cellStyle name="常规 6 4 2 4" xfId="10147"/>
    <cellStyle name="常规 6 4 2 5" xfId="10148"/>
    <cellStyle name="常规 6 4 2 5 2" xfId="10149"/>
    <cellStyle name="常规 6 4 2 6" xfId="10150"/>
    <cellStyle name="常规 6 4 3" xfId="10151"/>
    <cellStyle name="常规 6 5" xfId="10152"/>
    <cellStyle name="常规 6 5 2" xfId="10153"/>
    <cellStyle name="常规 6 5 2 2" xfId="10154"/>
    <cellStyle name="常规 6 5 2 3" xfId="10155"/>
    <cellStyle name="常规 6 5 2 4" xfId="10156"/>
    <cellStyle name="常规 6 5 2 5" xfId="10157"/>
    <cellStyle name="常规 6 5 2 5 2" xfId="10158"/>
    <cellStyle name="常规 6 5 2 6" xfId="10159"/>
    <cellStyle name="常规 6 5 3" xfId="10160"/>
    <cellStyle name="常规 6 6" xfId="10161"/>
    <cellStyle name="常规 6 6 2" xfId="10162"/>
    <cellStyle name="常规 6 6 2 2" xfId="10163"/>
    <cellStyle name="常规 6 6 2 3" xfId="10164"/>
    <cellStyle name="常规 6 6 2 4" xfId="10165"/>
    <cellStyle name="常规 6 6 2 5" xfId="10166"/>
    <cellStyle name="常规 6 6 2 5 2" xfId="10167"/>
    <cellStyle name="常规 6 6 2 6" xfId="10168"/>
    <cellStyle name="常规 6 6 3" xfId="10169"/>
    <cellStyle name="常规 6 7" xfId="10170"/>
    <cellStyle name="常规 6 7 2" xfId="10171"/>
    <cellStyle name="常规 6 7 2 2" xfId="10172"/>
    <cellStyle name="常规 6 7 2 3" xfId="10173"/>
    <cellStyle name="常规 6 7 2 4" xfId="10174"/>
    <cellStyle name="常规 6 7 2 5" xfId="10175"/>
    <cellStyle name="常规 6 7 2 5 2" xfId="10176"/>
    <cellStyle name="常规 6 7 2 6" xfId="10177"/>
    <cellStyle name="常规 6 7 3" xfId="10178"/>
    <cellStyle name="常规 6 8" xfId="10179"/>
    <cellStyle name="常规 6 8 2" xfId="10180"/>
    <cellStyle name="常规 6 8 2 2" xfId="10181"/>
    <cellStyle name="常规 6 8 2 3" xfId="10182"/>
    <cellStyle name="常规 6 8 2 4" xfId="10183"/>
    <cellStyle name="常规 6 8 2 5" xfId="10184"/>
    <cellStyle name="常规 6 8 2 5 2" xfId="10185"/>
    <cellStyle name="常规 6 8 2 6" xfId="10186"/>
    <cellStyle name="常规 6 8 3" xfId="10187"/>
    <cellStyle name="常规 6 9" xfId="10188"/>
    <cellStyle name="常规 6 9 2" xfId="10189"/>
    <cellStyle name="常规 6 9 2 2" xfId="10190"/>
    <cellStyle name="常规 6 9 2 3" xfId="10191"/>
    <cellStyle name="常规 6 9 2 4" xfId="10192"/>
    <cellStyle name="常规 6 9 2 5" xfId="10193"/>
    <cellStyle name="常规 6 9 2 5 2" xfId="10194"/>
    <cellStyle name="常规 6 9 2 6" xfId="10195"/>
    <cellStyle name="常规 6 9 3" xfId="10196"/>
    <cellStyle name="常规 60" xfId="10197"/>
    <cellStyle name="常规 60 2" xfId="10198"/>
    <cellStyle name="常规 60 2 2" xfId="10199"/>
    <cellStyle name="常规 60 2 3" xfId="10200"/>
    <cellStyle name="常规 60 2 4" xfId="10201"/>
    <cellStyle name="常规 60 2 5" xfId="10202"/>
    <cellStyle name="常规 60 2 5 2" xfId="10203"/>
    <cellStyle name="常规 60 2 6" xfId="10204"/>
    <cellStyle name="常规 60 3" xfId="10205"/>
    <cellStyle name="常规 61" xfId="10206"/>
    <cellStyle name="常规 61 2" xfId="10207"/>
    <cellStyle name="常规 61 2 2" xfId="10208"/>
    <cellStyle name="常规 61 2 3" xfId="10209"/>
    <cellStyle name="常规 61 3" xfId="10210"/>
    <cellStyle name="常规 61 4" xfId="10211"/>
    <cellStyle name="常规 61 4 2" xfId="10212"/>
    <cellStyle name="常规 62" xfId="10213"/>
    <cellStyle name="常规 62 2" xfId="10214"/>
    <cellStyle name="常规 62 2 2" xfId="10215"/>
    <cellStyle name="常规 62 2 3" xfId="10216"/>
    <cellStyle name="常规 62 3" xfId="10217"/>
    <cellStyle name="常规 62 4" xfId="10218"/>
    <cellStyle name="常规 62 5" xfId="27"/>
    <cellStyle name="常规 63" xfId="10219"/>
    <cellStyle name="常规 63 2" xfId="10220"/>
    <cellStyle name="常规 63 2 2" xfId="10221"/>
    <cellStyle name="常规 63 2 3" xfId="10222"/>
    <cellStyle name="常规 63 2 4" xfId="10223"/>
    <cellStyle name="常规 63 2 5" xfId="10224"/>
    <cellStyle name="常规 63 2 5 2" xfId="10225"/>
    <cellStyle name="常规 63 2 6" xfId="10226"/>
    <cellStyle name="常规 63 3" xfId="10227"/>
    <cellStyle name="常规 64" xfId="10228"/>
    <cellStyle name="常规 64 2" xfId="10229"/>
    <cellStyle name="常规 64 2 2" xfId="10230"/>
    <cellStyle name="常规 64 2 3" xfId="10231"/>
    <cellStyle name="常规 64 2 4" xfId="10232"/>
    <cellStyle name="常规 64 2 5" xfId="10233"/>
    <cellStyle name="常规 64 2 5 2" xfId="10234"/>
    <cellStyle name="常规 64 2 6" xfId="10235"/>
    <cellStyle name="常规 64 3" xfId="10236"/>
    <cellStyle name="常规 65" xfId="10237"/>
    <cellStyle name="常规 65 2" xfId="10238"/>
    <cellStyle name="常规 65 2 2" xfId="10239"/>
    <cellStyle name="常规 65 2 3" xfId="10240"/>
    <cellStyle name="常规 65 3" xfId="10241"/>
    <cellStyle name="常规 65 4" xfId="10242"/>
    <cellStyle name="常规 65 5" xfId="28"/>
    <cellStyle name="常规 66" xfId="10243"/>
    <cellStyle name="常规 66 2" xfId="10244"/>
    <cellStyle name="常规 66 2 2" xfId="10245"/>
    <cellStyle name="常规 66 2 3" xfId="10246"/>
    <cellStyle name="常规 66 3" xfId="10247"/>
    <cellStyle name="常规 66 4" xfId="10248"/>
    <cellStyle name="常规 66 5" xfId="29"/>
    <cellStyle name="常规 67" xfId="10249"/>
    <cellStyle name="常规 67 2" xfId="10250"/>
    <cellStyle name="常规 67 2 2" xfId="10251"/>
    <cellStyle name="常规 67 2 3" xfId="10252"/>
    <cellStyle name="常规 67 3" xfId="10253"/>
    <cellStyle name="常规 67 4" xfId="10254"/>
    <cellStyle name="常规 67 5" xfId="10255"/>
    <cellStyle name="常规 67 6" xfId="10256"/>
    <cellStyle name="常规 67 7" xfId="30"/>
    <cellStyle name="常规 68" xfId="10257"/>
    <cellStyle name="常规 68 2" xfId="10258"/>
    <cellStyle name="常规 68 2 2" xfId="10259"/>
    <cellStyle name="常规 68 2 3" xfId="10260"/>
    <cellStyle name="常规 68 3" xfId="10261"/>
    <cellStyle name="常规 68 4" xfId="10262"/>
    <cellStyle name="常规 68 5" xfId="10263"/>
    <cellStyle name="常规 68 6" xfId="10264"/>
    <cellStyle name="常规 68 7" xfId="10265"/>
    <cellStyle name="常规 69" xfId="10266"/>
    <cellStyle name="常规 69 2" xfId="10267"/>
    <cellStyle name="常规 69 2 2" xfId="10268"/>
    <cellStyle name="常规 69 2 3" xfId="10269"/>
    <cellStyle name="常规 69 3" xfId="10270"/>
    <cellStyle name="常规 69 4" xfId="10271"/>
    <cellStyle name="常规 69 5" xfId="10272"/>
    <cellStyle name="常规 69 6" xfId="10273"/>
    <cellStyle name="常规 69 7" xfId="10274"/>
    <cellStyle name="常规 7" xfId="7"/>
    <cellStyle name="常规 7 10" xfId="10275"/>
    <cellStyle name="常规 7 10 2" xfId="10276"/>
    <cellStyle name="常规 7 10 2 2" xfId="10277"/>
    <cellStyle name="常规 7 10 2 3" xfId="10278"/>
    <cellStyle name="常规 7 10 2 4" xfId="10279"/>
    <cellStyle name="常规 7 10 2 5" xfId="10280"/>
    <cellStyle name="常规 7 10 2 5 2" xfId="10281"/>
    <cellStyle name="常规 7 10 2 6" xfId="10282"/>
    <cellStyle name="常规 7 10 3" xfId="10283"/>
    <cellStyle name="常规 7 11" xfId="10284"/>
    <cellStyle name="常规 7 11 2" xfId="10285"/>
    <cellStyle name="常规 7 11 2 2" xfId="10286"/>
    <cellStyle name="常规 7 11 2 3" xfId="10287"/>
    <cellStyle name="常规 7 11 2 4" xfId="10288"/>
    <cellStyle name="常规 7 11 2 5" xfId="10289"/>
    <cellStyle name="常规 7 11 2 5 2" xfId="10290"/>
    <cellStyle name="常规 7 11 2 6" xfId="10291"/>
    <cellStyle name="常规 7 11 3" xfId="10292"/>
    <cellStyle name="常规 7 12" xfId="10293"/>
    <cellStyle name="常规 7 12 2" xfId="10294"/>
    <cellStyle name="常规 7 12 2 2" xfId="10295"/>
    <cellStyle name="常规 7 12 2 3" xfId="10296"/>
    <cellStyle name="常规 7 12 2 4" xfId="10297"/>
    <cellStyle name="常规 7 12 2 5" xfId="10298"/>
    <cellStyle name="常规 7 12 2 5 2" xfId="10299"/>
    <cellStyle name="常规 7 12 2 6" xfId="10300"/>
    <cellStyle name="常规 7 12 3" xfId="10301"/>
    <cellStyle name="常规 7 13" xfId="10302"/>
    <cellStyle name="常规 7 13 2" xfId="10303"/>
    <cellStyle name="常规 7 13 2 2" xfId="10304"/>
    <cellStyle name="常规 7 13 2 3" xfId="10305"/>
    <cellStyle name="常规 7 13 2 4" xfId="10306"/>
    <cellStyle name="常规 7 13 2 5" xfId="10307"/>
    <cellStyle name="常规 7 13 2 5 2" xfId="10308"/>
    <cellStyle name="常规 7 13 2 6" xfId="10309"/>
    <cellStyle name="常规 7 13 3" xfId="10310"/>
    <cellStyle name="常规 7 14" xfId="10311"/>
    <cellStyle name="常规 7 14 2" xfId="10312"/>
    <cellStyle name="常规 7 14 3" xfId="10313"/>
    <cellStyle name="常规 7 14 4" xfId="10314"/>
    <cellStyle name="常规 7 14 5" xfId="10315"/>
    <cellStyle name="常规 7 14 5 2" xfId="10316"/>
    <cellStyle name="常规 7 14 6" xfId="10317"/>
    <cellStyle name="常规 7 15" xfId="10318"/>
    <cellStyle name="常规 7 2" xfId="10319"/>
    <cellStyle name="常规 7 2 2" xfId="10320"/>
    <cellStyle name="常规 7 2 2 2" xfId="10321"/>
    <cellStyle name="常规 7 2 2 2 2" xfId="10322"/>
    <cellStyle name="常规 7 2 2 2 3" xfId="10323"/>
    <cellStyle name="常规 7 2 2 2 4" xfId="10324"/>
    <cellStyle name="常规 7 2 2 2 5" xfId="10325"/>
    <cellStyle name="常规 7 2 2 2 5 2" xfId="10326"/>
    <cellStyle name="常规 7 2 2 2 6" xfId="10327"/>
    <cellStyle name="常规 7 2 2 3" xfId="10328"/>
    <cellStyle name="常规 7 2 3" xfId="10329"/>
    <cellStyle name="常规 7 2 3 2" xfId="10330"/>
    <cellStyle name="常规 7 2 3 3" xfId="10331"/>
    <cellStyle name="常规 7 2 3 4" xfId="10332"/>
    <cellStyle name="常规 7 2 3 5" xfId="10333"/>
    <cellStyle name="常规 7 2 3 5 2" xfId="10334"/>
    <cellStyle name="常规 7 2 3 6" xfId="10335"/>
    <cellStyle name="常规 7 2 4" xfId="10336"/>
    <cellStyle name="常规 7 3" xfId="10337"/>
    <cellStyle name="常规 7 3 2" xfId="10338"/>
    <cellStyle name="常规 7 3 2 2" xfId="10339"/>
    <cellStyle name="常规 7 3 2 3" xfId="10340"/>
    <cellStyle name="常规 7 3 2 4" xfId="10341"/>
    <cellStyle name="常规 7 3 2 5" xfId="10342"/>
    <cellStyle name="常规 7 3 2 5 2" xfId="10343"/>
    <cellStyle name="常规 7 3 2 6" xfId="10344"/>
    <cellStyle name="常规 7 3 3" xfId="10345"/>
    <cellStyle name="常规 7 4" xfId="10346"/>
    <cellStyle name="常规 7 4 2" xfId="10347"/>
    <cellStyle name="常规 7 4 2 2" xfId="10348"/>
    <cellStyle name="常规 7 4 2 3" xfId="10349"/>
    <cellStyle name="常规 7 4 2 4" xfId="10350"/>
    <cellStyle name="常规 7 4 2 5" xfId="10351"/>
    <cellStyle name="常规 7 4 2 5 2" xfId="10352"/>
    <cellStyle name="常规 7 4 2 6" xfId="10353"/>
    <cellStyle name="常规 7 4 3" xfId="10354"/>
    <cellStyle name="常规 7 5" xfId="10355"/>
    <cellStyle name="常规 7 5 2" xfId="10356"/>
    <cellStyle name="常规 7 5 2 2" xfId="10357"/>
    <cellStyle name="常规 7 5 2 3" xfId="10358"/>
    <cellStyle name="常规 7 5 2 4" xfId="10359"/>
    <cellStyle name="常规 7 5 2 5" xfId="10360"/>
    <cellStyle name="常规 7 5 2 5 2" xfId="10361"/>
    <cellStyle name="常规 7 5 2 6" xfId="10362"/>
    <cellStyle name="常规 7 5 3" xfId="10363"/>
    <cellStyle name="常规 7 6" xfId="10364"/>
    <cellStyle name="常规 7 6 2" xfId="10365"/>
    <cellStyle name="常规 7 6 2 2" xfId="10366"/>
    <cellStyle name="常规 7 6 2 3" xfId="10367"/>
    <cellStyle name="常规 7 6 2 4" xfId="10368"/>
    <cellStyle name="常规 7 6 2 5" xfId="10369"/>
    <cellStyle name="常规 7 6 2 5 2" xfId="10370"/>
    <cellStyle name="常规 7 6 2 6" xfId="10371"/>
    <cellStyle name="常规 7 6 3" xfId="10372"/>
    <cellStyle name="常规 7 7" xfId="10373"/>
    <cellStyle name="常规 7 7 2" xfId="10374"/>
    <cellStyle name="常规 7 7 2 2" xfId="10375"/>
    <cellStyle name="常规 7 7 2 3" xfId="10376"/>
    <cellStyle name="常规 7 7 2 4" xfId="10377"/>
    <cellStyle name="常规 7 7 2 5" xfId="10378"/>
    <cellStyle name="常规 7 7 2 5 2" xfId="10379"/>
    <cellStyle name="常规 7 7 2 6" xfId="10380"/>
    <cellStyle name="常规 7 7 3" xfId="10381"/>
    <cellStyle name="常规 7 8" xfId="10382"/>
    <cellStyle name="常规 7 8 2" xfId="10383"/>
    <cellStyle name="常规 7 8 2 2" xfId="10384"/>
    <cellStyle name="常规 7 8 2 3" xfId="10385"/>
    <cellStyle name="常规 7 8 2 4" xfId="10386"/>
    <cellStyle name="常规 7 8 2 5" xfId="10387"/>
    <cellStyle name="常规 7 8 2 5 2" xfId="10388"/>
    <cellStyle name="常规 7 8 2 6" xfId="10389"/>
    <cellStyle name="常规 7 8 3" xfId="10390"/>
    <cellStyle name="常规 7 9" xfId="10391"/>
    <cellStyle name="常规 7 9 2" xfId="10392"/>
    <cellStyle name="常规 7 9 2 2" xfId="10393"/>
    <cellStyle name="常规 7 9 2 3" xfId="10394"/>
    <cellStyle name="常规 7 9 2 4" xfId="10395"/>
    <cellStyle name="常规 7 9 2 5" xfId="10396"/>
    <cellStyle name="常规 7 9 2 5 2" xfId="10397"/>
    <cellStyle name="常规 7 9 2 6" xfId="10398"/>
    <cellStyle name="常规 7 9 3" xfId="10399"/>
    <cellStyle name="常规 70" xfId="10400"/>
    <cellStyle name="常规 70 2" xfId="10401"/>
    <cellStyle name="常规 70 2 2" xfId="10402"/>
    <cellStyle name="常规 70 2 3" xfId="10403"/>
    <cellStyle name="常规 70 3" xfId="10404"/>
    <cellStyle name="常规 70 4" xfId="10405"/>
    <cellStyle name="常规 70 5" xfId="10406"/>
    <cellStyle name="常规 70 6" xfId="10407"/>
    <cellStyle name="常规 70 7" xfId="31"/>
    <cellStyle name="常规 71" xfId="10408"/>
    <cellStyle name="常规 71 2" xfId="10409"/>
    <cellStyle name="常规 71 2 2" xfId="10410"/>
    <cellStyle name="常规 71 2 3" xfId="10411"/>
    <cellStyle name="常规 71 3" xfId="10412"/>
    <cellStyle name="常规 71 4" xfId="10413"/>
    <cellStyle name="常规 71 5" xfId="10414"/>
    <cellStyle name="常规 71 6" xfId="10415"/>
    <cellStyle name="常规 71 7" xfId="32"/>
    <cellStyle name="常规 72" xfId="10416"/>
    <cellStyle name="常规 72 2" xfId="10417"/>
    <cellStyle name="常规 72 2 2" xfId="10418"/>
    <cellStyle name="常规 72 2 3" xfId="10419"/>
    <cellStyle name="常规 72 3" xfId="10420"/>
    <cellStyle name="常规 72 4" xfId="10421"/>
    <cellStyle name="常规 72 5" xfId="10422"/>
    <cellStyle name="常规 72 6" xfId="10423"/>
    <cellStyle name="常规 72 7" xfId="10424"/>
    <cellStyle name="常规 73" xfId="10425"/>
    <cellStyle name="常规 73 2" xfId="10426"/>
    <cellStyle name="常规 73 2 2" xfId="10427"/>
    <cellStyle name="常规 73 2 3" xfId="10428"/>
    <cellStyle name="常规 73 3" xfId="10429"/>
    <cellStyle name="常规 73 4" xfId="10430"/>
    <cellStyle name="常规 73 5" xfId="10431"/>
    <cellStyle name="常规 73 6" xfId="10432"/>
    <cellStyle name="常规 73 7" xfId="10433"/>
    <cellStyle name="常规 74" xfId="10434"/>
    <cellStyle name="常规 74 2" xfId="10435"/>
    <cellStyle name="常规 74 2 2" xfId="10436"/>
    <cellStyle name="常规 74 2 3" xfId="10437"/>
    <cellStyle name="常规 74 3" xfId="10438"/>
    <cellStyle name="常规 74 4" xfId="10439"/>
    <cellStyle name="常规 74 5" xfId="10440"/>
    <cellStyle name="常规 75" xfId="10441"/>
    <cellStyle name="常规 75 2" xfId="10442"/>
    <cellStyle name="常规 75 2 2" xfId="10443"/>
    <cellStyle name="常规 75 2 3" xfId="10444"/>
    <cellStyle name="常规 75 3" xfId="10445"/>
    <cellStyle name="常规 75 4" xfId="10446"/>
    <cellStyle name="常规 75 5" xfId="10447"/>
    <cellStyle name="常规 76" xfId="10448"/>
    <cellStyle name="常规 76 2" xfId="10449"/>
    <cellStyle name="常规 76 3" xfId="10450"/>
    <cellStyle name="常规 77" xfId="10451"/>
    <cellStyle name="常规 77 2" xfId="10452"/>
    <cellStyle name="常规 78" xfId="10453"/>
    <cellStyle name="常规 78 2" xfId="10454"/>
    <cellStyle name="常规 79" xfId="10455"/>
    <cellStyle name="常规 79 2" xfId="10456"/>
    <cellStyle name="常规 79 3" xfId="10457"/>
    <cellStyle name="常规 79 4" xfId="10458"/>
    <cellStyle name="常规 79 5" xfId="10459"/>
    <cellStyle name="常规 8" xfId="11"/>
    <cellStyle name="常规 8 10" xfId="10460"/>
    <cellStyle name="常规 8 10 2" xfId="10461"/>
    <cellStyle name="常规 8 10 2 2" xfId="10462"/>
    <cellStyle name="常规 8 10 2 3" xfId="10463"/>
    <cellStyle name="常规 8 10 2 4" xfId="10464"/>
    <cellStyle name="常规 8 10 2 5" xfId="10465"/>
    <cellStyle name="常规 8 10 2 5 2" xfId="10466"/>
    <cellStyle name="常规 8 10 2 6" xfId="10467"/>
    <cellStyle name="常规 8 10 3" xfId="10468"/>
    <cellStyle name="常规 8 11" xfId="10469"/>
    <cellStyle name="常规 8 11 2" xfId="10470"/>
    <cellStyle name="常规 8 11 2 2" xfId="10471"/>
    <cellStyle name="常规 8 11 2 3" xfId="10472"/>
    <cellStyle name="常规 8 11 2 4" xfId="10473"/>
    <cellStyle name="常规 8 11 2 5" xfId="10474"/>
    <cellStyle name="常规 8 11 2 5 2" xfId="10475"/>
    <cellStyle name="常规 8 11 2 6" xfId="10476"/>
    <cellStyle name="常规 8 11 3" xfId="10477"/>
    <cellStyle name="常规 8 12" xfId="10478"/>
    <cellStyle name="常规 8 12 2" xfId="10479"/>
    <cellStyle name="常规 8 12 2 2" xfId="10480"/>
    <cellStyle name="常规 8 12 2 3" xfId="10481"/>
    <cellStyle name="常规 8 12 2 4" xfId="10482"/>
    <cellStyle name="常规 8 12 2 5" xfId="10483"/>
    <cellStyle name="常规 8 12 2 5 2" xfId="10484"/>
    <cellStyle name="常规 8 12 2 6" xfId="10485"/>
    <cellStyle name="常规 8 12 3" xfId="10486"/>
    <cellStyle name="常规 8 13" xfId="10487"/>
    <cellStyle name="常规 8 13 2" xfId="10488"/>
    <cellStyle name="常规 8 13 2 2" xfId="10489"/>
    <cellStyle name="常规 8 13 2 3" xfId="10490"/>
    <cellStyle name="常规 8 13 2 4" xfId="10491"/>
    <cellStyle name="常规 8 13 2 5" xfId="10492"/>
    <cellStyle name="常规 8 13 2 5 2" xfId="10493"/>
    <cellStyle name="常规 8 13 2 6" xfId="10494"/>
    <cellStyle name="常规 8 13 3" xfId="10495"/>
    <cellStyle name="常规 8 14" xfId="10496"/>
    <cellStyle name="常规 8 14 2" xfId="10497"/>
    <cellStyle name="常规 8 14 3" xfId="10498"/>
    <cellStyle name="常规 8 14 4" xfId="10499"/>
    <cellStyle name="常规 8 14 5" xfId="10500"/>
    <cellStyle name="常规 8 14 5 2" xfId="10501"/>
    <cellStyle name="常规 8 14 6" xfId="10502"/>
    <cellStyle name="常规 8 15" xfId="10503"/>
    <cellStyle name="常规 8 2" xfId="10504"/>
    <cellStyle name="常规 8 2 2" xfId="10505"/>
    <cellStyle name="常规 8 2 2 2" xfId="10506"/>
    <cellStyle name="常规 8 2 2 2 2" xfId="10507"/>
    <cellStyle name="常规 8 2 2 2 3" xfId="10508"/>
    <cellStyle name="常规 8 2 2 2 4" xfId="10509"/>
    <cellStyle name="常规 8 2 2 2 5" xfId="10510"/>
    <cellStyle name="常规 8 2 2 2 5 2" xfId="10511"/>
    <cellStyle name="常规 8 2 2 2 6" xfId="10512"/>
    <cellStyle name="常规 8 2 2 3" xfId="10513"/>
    <cellStyle name="常规 8 2 3" xfId="10514"/>
    <cellStyle name="常规 8 2 3 2" xfId="10515"/>
    <cellStyle name="常规 8 2 3 3" xfId="10516"/>
    <cellStyle name="常规 8 2 3 4" xfId="10517"/>
    <cellStyle name="常规 8 2 3 5" xfId="10518"/>
    <cellStyle name="常规 8 2 3 5 2" xfId="10519"/>
    <cellStyle name="常规 8 2 3 6" xfId="10520"/>
    <cellStyle name="常规 8 2 4" xfId="10521"/>
    <cellStyle name="常规 8 3" xfId="10522"/>
    <cellStyle name="常规 8 3 2" xfId="10523"/>
    <cellStyle name="常规 8 3 2 2" xfId="10524"/>
    <cellStyle name="常规 8 3 2 3" xfId="10525"/>
    <cellStyle name="常规 8 3 2 4" xfId="10526"/>
    <cellStyle name="常规 8 3 2 5" xfId="10527"/>
    <cellStyle name="常规 8 3 2 5 2" xfId="10528"/>
    <cellStyle name="常规 8 3 2 6" xfId="10529"/>
    <cellStyle name="常规 8 3 3" xfId="10530"/>
    <cellStyle name="常规 8 4" xfId="10531"/>
    <cellStyle name="常规 8 4 2" xfId="10532"/>
    <cellStyle name="常规 8 4 2 2" xfId="10533"/>
    <cellStyle name="常规 8 4 2 3" xfId="10534"/>
    <cellStyle name="常规 8 4 2 4" xfId="10535"/>
    <cellStyle name="常规 8 4 2 5" xfId="10536"/>
    <cellStyle name="常规 8 4 2 5 2" xfId="10537"/>
    <cellStyle name="常规 8 4 2 6" xfId="10538"/>
    <cellStyle name="常规 8 4 3" xfId="10539"/>
    <cellStyle name="常规 8 5" xfId="10540"/>
    <cellStyle name="常规 8 5 2" xfId="10541"/>
    <cellStyle name="常规 8 5 2 2" xfId="10542"/>
    <cellStyle name="常规 8 5 2 3" xfId="10543"/>
    <cellStyle name="常规 8 5 2 4" xfId="10544"/>
    <cellStyle name="常规 8 5 2 5" xfId="10545"/>
    <cellStyle name="常规 8 5 2 5 2" xfId="10546"/>
    <cellStyle name="常规 8 5 2 6" xfId="10547"/>
    <cellStyle name="常规 8 5 3" xfId="10548"/>
    <cellStyle name="常规 8 6" xfId="10549"/>
    <cellStyle name="常规 8 6 2" xfId="10550"/>
    <cellStyle name="常规 8 6 2 2" xfId="10551"/>
    <cellStyle name="常规 8 6 2 3" xfId="10552"/>
    <cellStyle name="常规 8 6 2 4" xfId="10553"/>
    <cellStyle name="常规 8 6 2 5" xfId="10554"/>
    <cellStyle name="常规 8 6 2 5 2" xfId="10555"/>
    <cellStyle name="常规 8 6 2 6" xfId="10556"/>
    <cellStyle name="常规 8 6 3" xfId="10557"/>
    <cellStyle name="常规 8 7" xfId="10558"/>
    <cellStyle name="常规 8 7 2" xfId="10559"/>
    <cellStyle name="常规 8 7 2 2" xfId="10560"/>
    <cellStyle name="常规 8 7 2 3" xfId="10561"/>
    <cellStyle name="常规 8 7 2 4" xfId="10562"/>
    <cellStyle name="常规 8 7 2 5" xfId="10563"/>
    <cellStyle name="常规 8 7 2 5 2" xfId="10564"/>
    <cellStyle name="常规 8 7 2 6" xfId="10565"/>
    <cellStyle name="常规 8 7 3" xfId="10566"/>
    <cellStyle name="常规 8 8" xfId="10567"/>
    <cellStyle name="常规 8 8 2" xfId="10568"/>
    <cellStyle name="常规 8 8 2 2" xfId="10569"/>
    <cellStyle name="常规 8 8 2 3" xfId="10570"/>
    <cellStyle name="常规 8 8 2 4" xfId="10571"/>
    <cellStyle name="常规 8 8 2 5" xfId="10572"/>
    <cellStyle name="常规 8 8 2 5 2" xfId="10573"/>
    <cellStyle name="常规 8 8 2 6" xfId="10574"/>
    <cellStyle name="常规 8 8 3" xfId="10575"/>
    <cellStyle name="常规 8 9" xfId="10576"/>
    <cellStyle name="常规 8 9 2" xfId="10577"/>
    <cellStyle name="常规 8 9 2 2" xfId="10578"/>
    <cellStyle name="常规 8 9 2 3" xfId="10579"/>
    <cellStyle name="常规 8 9 2 4" xfId="10580"/>
    <cellStyle name="常规 8 9 2 5" xfId="10581"/>
    <cellStyle name="常规 8 9 2 5 2" xfId="10582"/>
    <cellStyle name="常规 8 9 2 6" xfId="10583"/>
    <cellStyle name="常规 8 9 3" xfId="10584"/>
    <cellStyle name="常规 80" xfId="10585"/>
    <cellStyle name="常规 81" xfId="10586"/>
    <cellStyle name="常规 82" xfId="10587"/>
    <cellStyle name="常规 83" xfId="10588"/>
    <cellStyle name="常规 84" xfId="10589"/>
    <cellStyle name="常规 85" xfId="10590"/>
    <cellStyle name="常规 86" xfId="10591"/>
    <cellStyle name="常规 87" xfId="10592"/>
    <cellStyle name="常规 88" xfId="10593"/>
    <cellStyle name="常规 89" xfId="10594"/>
    <cellStyle name="常规 9" xfId="12"/>
    <cellStyle name="常规 9 10" xfId="10595"/>
    <cellStyle name="常规 9 10 2" xfId="10596"/>
    <cellStyle name="常规 9 10 2 2" xfId="10597"/>
    <cellStyle name="常规 9 10 2 3" xfId="10598"/>
    <cellStyle name="常规 9 10 2 4" xfId="10599"/>
    <cellStyle name="常规 9 10 2 5" xfId="10600"/>
    <cellStyle name="常规 9 10 2 5 2" xfId="10601"/>
    <cellStyle name="常规 9 10 2 6" xfId="10602"/>
    <cellStyle name="常规 9 10 3" xfId="10603"/>
    <cellStyle name="常规 9 11" xfId="10604"/>
    <cellStyle name="常规 9 11 2" xfId="10605"/>
    <cellStyle name="常规 9 11 2 2" xfId="10606"/>
    <cellStyle name="常规 9 11 2 3" xfId="10607"/>
    <cellStyle name="常规 9 11 2 4" xfId="10608"/>
    <cellStyle name="常规 9 11 2 5" xfId="10609"/>
    <cellStyle name="常规 9 11 2 5 2" xfId="10610"/>
    <cellStyle name="常规 9 11 2 6" xfId="10611"/>
    <cellStyle name="常规 9 11 3" xfId="10612"/>
    <cellStyle name="常规 9 12" xfId="10613"/>
    <cellStyle name="常规 9 12 2" xfId="10614"/>
    <cellStyle name="常规 9 12 2 2" xfId="10615"/>
    <cellStyle name="常规 9 12 2 3" xfId="10616"/>
    <cellStyle name="常规 9 12 2 4" xfId="10617"/>
    <cellStyle name="常规 9 12 2 5" xfId="10618"/>
    <cellStyle name="常规 9 12 2 5 2" xfId="10619"/>
    <cellStyle name="常规 9 12 2 6" xfId="10620"/>
    <cellStyle name="常规 9 12 3" xfId="10621"/>
    <cellStyle name="常规 9 13" xfId="10622"/>
    <cellStyle name="常规 9 13 2" xfId="10623"/>
    <cellStyle name="常规 9 13 2 2" xfId="10624"/>
    <cellStyle name="常规 9 13 2 3" xfId="10625"/>
    <cellStyle name="常规 9 13 2 4" xfId="10626"/>
    <cellStyle name="常规 9 13 2 5" xfId="10627"/>
    <cellStyle name="常规 9 13 2 5 2" xfId="10628"/>
    <cellStyle name="常规 9 13 2 6" xfId="10629"/>
    <cellStyle name="常规 9 13 3" xfId="10630"/>
    <cellStyle name="常规 9 14" xfId="10631"/>
    <cellStyle name="常规 9 14 2" xfId="10632"/>
    <cellStyle name="常规 9 14 3" xfId="10633"/>
    <cellStyle name="常规 9 14 4" xfId="10634"/>
    <cellStyle name="常规 9 14 5" xfId="10635"/>
    <cellStyle name="常规 9 14 5 2" xfId="10636"/>
    <cellStyle name="常规 9 14 6" xfId="10637"/>
    <cellStyle name="常规 9 15" xfId="10638"/>
    <cellStyle name="常规 9 2" xfId="10639"/>
    <cellStyle name="常规 9 2 2" xfId="10640"/>
    <cellStyle name="常规 9 2 2 2" xfId="10641"/>
    <cellStyle name="常规 9 2 2 2 2" xfId="10642"/>
    <cellStyle name="常规 9 2 2 2 3" xfId="10643"/>
    <cellStyle name="常规 9 2 2 2 4" xfId="10644"/>
    <cellStyle name="常规 9 2 2 2 5" xfId="10645"/>
    <cellStyle name="常规 9 2 2 2 5 2" xfId="10646"/>
    <cellStyle name="常规 9 2 2 2 6" xfId="10647"/>
    <cellStyle name="常规 9 2 2 3" xfId="10648"/>
    <cellStyle name="常规 9 2 3" xfId="10649"/>
    <cellStyle name="常规 9 2 3 2" xfId="10650"/>
    <cellStyle name="常规 9 2 3 3" xfId="10651"/>
    <cellStyle name="常规 9 2 3 4" xfId="10652"/>
    <cellStyle name="常规 9 2 3 5" xfId="10653"/>
    <cellStyle name="常规 9 2 3 5 2" xfId="10654"/>
    <cellStyle name="常规 9 2 3 6" xfId="10655"/>
    <cellStyle name="常规 9 2 4" xfId="10656"/>
    <cellStyle name="常规 9 3" xfId="10657"/>
    <cellStyle name="常规 9 3 2" xfId="10658"/>
    <cellStyle name="常规 9 3 2 2" xfId="10659"/>
    <cellStyle name="常规 9 3 2 3" xfId="10660"/>
    <cellStyle name="常规 9 3 2 4" xfId="10661"/>
    <cellStyle name="常规 9 3 2 5" xfId="10662"/>
    <cellStyle name="常规 9 3 2 5 2" xfId="10663"/>
    <cellStyle name="常规 9 3 2 6" xfId="10664"/>
    <cellStyle name="常规 9 3 3" xfId="10665"/>
    <cellStyle name="常规 9 4" xfId="10666"/>
    <cellStyle name="常规 9 4 2" xfId="10667"/>
    <cellStyle name="常规 9 4 2 2" xfId="10668"/>
    <cellStyle name="常规 9 4 2 3" xfId="10669"/>
    <cellStyle name="常规 9 4 2 4" xfId="10670"/>
    <cellStyle name="常规 9 4 2 5" xfId="10671"/>
    <cellStyle name="常规 9 4 2 5 2" xfId="10672"/>
    <cellStyle name="常规 9 4 2 6" xfId="10673"/>
    <cellStyle name="常规 9 4 3" xfId="10674"/>
    <cellStyle name="常规 9 5" xfId="10675"/>
    <cellStyle name="常规 9 5 2" xfId="10676"/>
    <cellStyle name="常规 9 5 2 2" xfId="10677"/>
    <cellStyle name="常规 9 5 2 3" xfId="10678"/>
    <cellStyle name="常规 9 5 2 4" xfId="10679"/>
    <cellStyle name="常规 9 5 2 5" xfId="10680"/>
    <cellStyle name="常规 9 5 2 5 2" xfId="10681"/>
    <cellStyle name="常规 9 5 2 6" xfId="10682"/>
    <cellStyle name="常规 9 5 3" xfId="10683"/>
    <cellStyle name="常规 9 6" xfId="10684"/>
    <cellStyle name="常规 9 6 2" xfId="10685"/>
    <cellStyle name="常规 9 6 2 2" xfId="10686"/>
    <cellStyle name="常规 9 6 2 3" xfId="10687"/>
    <cellStyle name="常规 9 6 2 4" xfId="10688"/>
    <cellStyle name="常规 9 6 2 5" xfId="10689"/>
    <cellStyle name="常规 9 6 2 5 2" xfId="10690"/>
    <cellStyle name="常规 9 6 2 6" xfId="10691"/>
    <cellStyle name="常规 9 6 3" xfId="10692"/>
    <cellStyle name="常规 9 7" xfId="10693"/>
    <cellStyle name="常规 9 7 2" xfId="10694"/>
    <cellStyle name="常规 9 7 2 2" xfId="10695"/>
    <cellStyle name="常规 9 7 2 3" xfId="10696"/>
    <cellStyle name="常规 9 7 2 4" xfId="10697"/>
    <cellStyle name="常规 9 7 2 5" xfId="10698"/>
    <cellStyle name="常规 9 7 2 5 2" xfId="10699"/>
    <cellStyle name="常规 9 7 2 6" xfId="10700"/>
    <cellStyle name="常规 9 7 3" xfId="10701"/>
    <cellStyle name="常规 9 8" xfId="10702"/>
    <cellStyle name="常规 9 8 2" xfId="10703"/>
    <cellStyle name="常规 9 8 2 2" xfId="10704"/>
    <cellStyle name="常规 9 8 2 3" xfId="10705"/>
    <cellStyle name="常规 9 8 2 4" xfId="10706"/>
    <cellStyle name="常规 9 8 2 5" xfId="10707"/>
    <cellStyle name="常规 9 8 2 5 2" xfId="10708"/>
    <cellStyle name="常规 9 8 2 6" xfId="10709"/>
    <cellStyle name="常规 9 8 3" xfId="10710"/>
    <cellStyle name="常规 9 9" xfId="10711"/>
    <cellStyle name="常规 9 9 2" xfId="10712"/>
    <cellStyle name="常规 9 9 2 2" xfId="10713"/>
    <cellStyle name="常规 9 9 2 3" xfId="10714"/>
    <cellStyle name="常规 9 9 2 4" xfId="10715"/>
    <cellStyle name="常规 9 9 2 5" xfId="10716"/>
    <cellStyle name="常规 9 9 2 5 2" xfId="10717"/>
    <cellStyle name="常规 9 9 2 6" xfId="10718"/>
    <cellStyle name="常规 9 9 3" xfId="10719"/>
    <cellStyle name="常规 90" xfId="10720"/>
    <cellStyle name="常规 91" xfId="10721"/>
    <cellStyle name="常规 92" xfId="10722"/>
    <cellStyle name="常规 93" xfId="10723"/>
    <cellStyle name="常规 94" xfId="10724"/>
    <cellStyle name="常规 95" xfId="10725"/>
    <cellStyle name="常规 96" xfId="10726"/>
    <cellStyle name="常规 97" xfId="10727"/>
    <cellStyle name="常规 98" xfId="10728"/>
    <cellStyle name="常规 99" xfId="10729"/>
    <cellStyle name="好 2" xfId="10730"/>
    <cellStyle name="好 2 2" xfId="10731"/>
    <cellStyle name="好 2 2 2" xfId="10732"/>
    <cellStyle name="好 2 2 3" xfId="10733"/>
    <cellStyle name="好 2 2 4" xfId="10734"/>
    <cellStyle name="好 2 2 5" xfId="10735"/>
    <cellStyle name="好 2 2 5 2" xfId="10736"/>
    <cellStyle name="好 2 2 6" xfId="10737"/>
    <cellStyle name="好 2 3" xfId="10738"/>
    <cellStyle name="好 3" xfId="10739"/>
    <cellStyle name="好 3 2" xfId="10740"/>
    <cellStyle name="好 3 2 2" xfId="10741"/>
    <cellStyle name="好 3 2 3" xfId="10742"/>
    <cellStyle name="好 3 2 4" xfId="10743"/>
    <cellStyle name="好 3 2 5" xfId="10744"/>
    <cellStyle name="好 3 2 5 2" xfId="10745"/>
    <cellStyle name="好 3 2 6" xfId="10746"/>
    <cellStyle name="好 3 3" xfId="10747"/>
    <cellStyle name="好 4" xfId="10748"/>
    <cellStyle name="好 4 2" xfId="10749"/>
    <cellStyle name="好 4 2 2" xfId="10750"/>
    <cellStyle name="好 4 2 3" xfId="10751"/>
    <cellStyle name="好 4 2 4" xfId="10752"/>
    <cellStyle name="好 4 2 5" xfId="10753"/>
    <cellStyle name="好 4 2 5 2" xfId="10754"/>
    <cellStyle name="好 4 2 6" xfId="10755"/>
    <cellStyle name="好 4 3" xfId="10756"/>
    <cellStyle name="好 5" xfId="10757"/>
    <cellStyle name="好 5 2" xfId="10758"/>
    <cellStyle name="好 5 2 2" xfId="10759"/>
    <cellStyle name="好 5 2 3" xfId="10760"/>
    <cellStyle name="好 5 2 4" xfId="10761"/>
    <cellStyle name="好 5 2 5" xfId="10762"/>
    <cellStyle name="好 5 2 5 2" xfId="10763"/>
    <cellStyle name="好 5 2 6" xfId="10764"/>
    <cellStyle name="好 5 3" xfId="10765"/>
    <cellStyle name="好 6" xfId="10766"/>
    <cellStyle name="好 6 2" xfId="10767"/>
    <cellStyle name="好 6 2 2" xfId="10768"/>
    <cellStyle name="好 6 2 3" xfId="10769"/>
    <cellStyle name="好 6 2 4" xfId="10770"/>
    <cellStyle name="好 6 2 5" xfId="10771"/>
    <cellStyle name="好 6 2 5 2" xfId="10772"/>
    <cellStyle name="好 6 2 6" xfId="10773"/>
    <cellStyle name="好 6 3" xfId="10774"/>
    <cellStyle name="好 7" xfId="10775"/>
    <cellStyle name="好 7 2" xfId="10776"/>
    <cellStyle name="好 7 2 2" xfId="10777"/>
    <cellStyle name="好 7 2 3" xfId="10778"/>
    <cellStyle name="好 7 2 4" xfId="10779"/>
    <cellStyle name="好 7 2 5" xfId="10780"/>
    <cellStyle name="好 7 2 5 2" xfId="10781"/>
    <cellStyle name="好 7 2 6" xfId="10782"/>
    <cellStyle name="好 7 3" xfId="10783"/>
    <cellStyle name="好_未放款明细18#19#8.6" xfId="10784"/>
    <cellStyle name="好_未放款明细18#19#8.6 2" xfId="10785"/>
    <cellStyle name="好_未放款明细18#19#8.6 2 2" xfId="10786"/>
    <cellStyle name="好_未放款明细18#19#8.6 2 3" xfId="10787"/>
    <cellStyle name="好_未放款明细18#19#8.6 2 4" xfId="10788"/>
    <cellStyle name="好_未放款明细18#19#8.6 2 5" xfId="10789"/>
    <cellStyle name="好_未放款明细18#19#8.6 2 5 2" xfId="10790"/>
    <cellStyle name="好_未放款明细18#19#8.6 2 6" xfId="10791"/>
    <cellStyle name="好_未放款明细18#19#8.6 3" xfId="10792"/>
    <cellStyle name="好_未放款明细7.26" xfId="10793"/>
    <cellStyle name="好_未放款明细7.26 2" xfId="10794"/>
    <cellStyle name="好_未放款明细7.26 2 2" xfId="10795"/>
    <cellStyle name="好_未放款明细7.26 2 3" xfId="10796"/>
    <cellStyle name="好_未放款明细7.26 2 4" xfId="10797"/>
    <cellStyle name="好_未放款明细7.26 2 5" xfId="10798"/>
    <cellStyle name="好_未放款明细7.26 2 5 2" xfId="10799"/>
    <cellStyle name="好_未放款明细7.26 2 6" xfId="10800"/>
    <cellStyle name="好_未放款明细7.26 3" xfId="10801"/>
    <cellStyle name="汇总 2" xfId="10802"/>
    <cellStyle name="汇总 2 10" xfId="10803"/>
    <cellStyle name="汇总 2 10 2" xfId="10804"/>
    <cellStyle name="汇总 2 11" xfId="10805"/>
    <cellStyle name="汇总 2 12" xfId="10806"/>
    <cellStyle name="汇总 2 2" xfId="10807"/>
    <cellStyle name="汇总 2 2 10" xfId="10808"/>
    <cellStyle name="汇总 2 2 10 2" xfId="10809"/>
    <cellStyle name="汇总 2 2 11" xfId="10810"/>
    <cellStyle name="汇总 2 2 11 2" xfId="10811"/>
    <cellStyle name="汇总 2 2 12" xfId="10812"/>
    <cellStyle name="汇总 2 2 13" xfId="10813"/>
    <cellStyle name="汇总 2 2 2" xfId="10814"/>
    <cellStyle name="汇总 2 2 2 2" xfId="10815"/>
    <cellStyle name="汇总 2 2 2 2 2" xfId="10816"/>
    <cellStyle name="汇总 2 2 2 2 2 2" xfId="10817"/>
    <cellStyle name="汇总 2 2 2 2 2 2 2" xfId="10818"/>
    <cellStyle name="汇总 2 2 2 2 2 3" xfId="10819"/>
    <cellStyle name="汇总 2 2 2 2 2 3 2" xfId="10820"/>
    <cellStyle name="汇总 2 2 2 2 2 4" xfId="10821"/>
    <cellStyle name="汇总 2 2 2 2 3" xfId="10822"/>
    <cellStyle name="汇总 2 2 2 2 3 2" xfId="10823"/>
    <cellStyle name="汇总 2 2 2 2 4" xfId="10824"/>
    <cellStyle name="汇总 2 2 2 2 4 2" xfId="10825"/>
    <cellStyle name="汇总 2 2 2 2 5" xfId="10826"/>
    <cellStyle name="汇总 2 2 2 3" xfId="10827"/>
    <cellStyle name="汇总 2 2 2 3 2" xfId="10828"/>
    <cellStyle name="汇总 2 2 2 3 2 2" xfId="10829"/>
    <cellStyle name="汇总 2 2 2 3 3" xfId="10830"/>
    <cellStyle name="汇总 2 2 2 3 3 2" xfId="10831"/>
    <cellStyle name="汇总 2 2 2 3 4" xfId="10832"/>
    <cellStyle name="汇总 2 2 2 4" xfId="10833"/>
    <cellStyle name="汇总 2 2 2 4 2" xfId="10834"/>
    <cellStyle name="汇总 2 2 2 5" xfId="10835"/>
    <cellStyle name="汇总 2 2 2 5 2" xfId="10836"/>
    <cellStyle name="汇总 2 2 2 6" xfId="10837"/>
    <cellStyle name="汇总 2 2 3" xfId="10838"/>
    <cellStyle name="汇总 2 2 3 2" xfId="10839"/>
    <cellStyle name="汇总 2 2 3 2 2" xfId="10840"/>
    <cellStyle name="汇总 2 2 3 2 2 2" xfId="10841"/>
    <cellStyle name="汇总 2 2 3 2 2 2 2" xfId="10842"/>
    <cellStyle name="汇总 2 2 3 2 2 3" xfId="10843"/>
    <cellStyle name="汇总 2 2 3 2 2 3 2" xfId="10844"/>
    <cellStyle name="汇总 2 2 3 2 2 4" xfId="10845"/>
    <cellStyle name="汇总 2 2 3 2 3" xfId="10846"/>
    <cellStyle name="汇总 2 2 3 2 3 2" xfId="10847"/>
    <cellStyle name="汇总 2 2 3 2 4" xfId="10848"/>
    <cellStyle name="汇总 2 2 3 2 4 2" xfId="10849"/>
    <cellStyle name="汇总 2 2 3 2 5" xfId="10850"/>
    <cellStyle name="汇总 2 2 3 3" xfId="10851"/>
    <cellStyle name="汇总 2 2 3 3 2" xfId="10852"/>
    <cellStyle name="汇总 2 2 3 3 2 2" xfId="10853"/>
    <cellStyle name="汇总 2 2 3 3 2 2 2" xfId="10854"/>
    <cellStyle name="汇总 2 2 3 3 2 3" xfId="10855"/>
    <cellStyle name="汇总 2 2 3 3 2 3 2" xfId="10856"/>
    <cellStyle name="汇总 2 2 3 3 2 4" xfId="10857"/>
    <cellStyle name="汇总 2 2 3 3 3" xfId="10858"/>
    <cellStyle name="汇总 2 2 3 3 3 2" xfId="10859"/>
    <cellStyle name="汇总 2 2 3 3 4" xfId="10860"/>
    <cellStyle name="汇总 2 2 3 3 4 2" xfId="10861"/>
    <cellStyle name="汇总 2 2 3 3 5" xfId="10862"/>
    <cellStyle name="汇总 2 2 3 4" xfId="10863"/>
    <cellStyle name="汇总 2 2 3 4 2" xfId="10864"/>
    <cellStyle name="汇总 2 2 3 4 2 2" xfId="10865"/>
    <cellStyle name="汇总 2 2 3 4 3" xfId="10866"/>
    <cellStyle name="汇总 2 2 3 4 3 2" xfId="10867"/>
    <cellStyle name="汇总 2 2 3 4 4" xfId="10868"/>
    <cellStyle name="汇总 2 2 3 5" xfId="10869"/>
    <cellStyle name="汇总 2 2 3 5 2" xfId="10870"/>
    <cellStyle name="汇总 2 2 3 6" xfId="10871"/>
    <cellStyle name="汇总 2 2 3 6 2" xfId="10872"/>
    <cellStyle name="汇总 2 2 3 7" xfId="10873"/>
    <cellStyle name="汇总 2 2 4" xfId="10874"/>
    <cellStyle name="汇总 2 2 4 2" xfId="10875"/>
    <cellStyle name="汇总 2 2 4 2 2" xfId="10876"/>
    <cellStyle name="汇总 2 2 4 2 2 2" xfId="10877"/>
    <cellStyle name="汇总 2 2 4 2 2 2 2" xfId="10878"/>
    <cellStyle name="汇总 2 2 4 2 2 3" xfId="10879"/>
    <cellStyle name="汇总 2 2 4 2 2 3 2" xfId="10880"/>
    <cellStyle name="汇总 2 2 4 2 2 4" xfId="10881"/>
    <cellStyle name="汇总 2 2 4 2 3" xfId="10882"/>
    <cellStyle name="汇总 2 2 4 2 3 2" xfId="10883"/>
    <cellStyle name="汇总 2 2 4 2 4" xfId="10884"/>
    <cellStyle name="汇总 2 2 4 2 4 2" xfId="10885"/>
    <cellStyle name="汇总 2 2 4 2 5" xfId="10886"/>
    <cellStyle name="汇总 2 2 4 3" xfId="10887"/>
    <cellStyle name="汇总 2 2 4 3 2" xfId="10888"/>
    <cellStyle name="汇总 2 2 4 3 2 2" xfId="10889"/>
    <cellStyle name="汇总 2 2 4 3 2 2 2" xfId="10890"/>
    <cellStyle name="汇总 2 2 4 3 2 3" xfId="10891"/>
    <cellStyle name="汇总 2 2 4 3 2 3 2" xfId="10892"/>
    <cellStyle name="汇总 2 2 4 3 2 4" xfId="10893"/>
    <cellStyle name="汇总 2 2 4 3 3" xfId="10894"/>
    <cellStyle name="汇总 2 2 4 3 3 2" xfId="10895"/>
    <cellStyle name="汇总 2 2 4 3 4" xfId="10896"/>
    <cellStyle name="汇总 2 2 4 3 4 2" xfId="10897"/>
    <cellStyle name="汇总 2 2 4 3 5" xfId="10898"/>
    <cellStyle name="汇总 2 2 4 4" xfId="10899"/>
    <cellStyle name="汇总 2 2 4 4 2" xfId="10900"/>
    <cellStyle name="汇总 2 2 4 4 2 2" xfId="10901"/>
    <cellStyle name="汇总 2 2 4 4 3" xfId="10902"/>
    <cellStyle name="汇总 2 2 4 4 3 2" xfId="10903"/>
    <cellStyle name="汇总 2 2 4 4 4" xfId="10904"/>
    <cellStyle name="汇总 2 2 4 5" xfId="10905"/>
    <cellStyle name="汇总 2 2 4 5 2" xfId="10906"/>
    <cellStyle name="汇总 2 2 4 6" xfId="10907"/>
    <cellStyle name="汇总 2 2 4 6 2" xfId="10908"/>
    <cellStyle name="汇总 2 2 4 7" xfId="10909"/>
    <cellStyle name="汇总 2 2 5" xfId="10910"/>
    <cellStyle name="汇总 2 2 5 2" xfId="10911"/>
    <cellStyle name="汇总 2 2 5 2 2" xfId="10912"/>
    <cellStyle name="汇总 2 2 5 2 2 2" xfId="10913"/>
    <cellStyle name="汇总 2 2 5 2 3" xfId="10914"/>
    <cellStyle name="汇总 2 2 5 2 3 2" xfId="10915"/>
    <cellStyle name="汇总 2 2 5 2 4" xfId="10916"/>
    <cellStyle name="汇总 2 2 5 3" xfId="10917"/>
    <cellStyle name="汇总 2 2 5 3 2" xfId="10918"/>
    <cellStyle name="汇总 2 2 5 4" xfId="10919"/>
    <cellStyle name="汇总 2 2 5 4 2" xfId="10920"/>
    <cellStyle name="汇总 2 2 5 5" xfId="10921"/>
    <cellStyle name="汇总 2 2 6" xfId="10922"/>
    <cellStyle name="汇总 2 2 7" xfId="10923"/>
    <cellStyle name="汇总 2 2 7 2" xfId="10924"/>
    <cellStyle name="汇总 2 2 7 2 2" xfId="10925"/>
    <cellStyle name="汇总 2 2 7 3" xfId="10926"/>
    <cellStyle name="汇总 2 2 7 3 2" xfId="10927"/>
    <cellStyle name="汇总 2 2 7 4" xfId="10928"/>
    <cellStyle name="汇总 2 2 8" xfId="10929"/>
    <cellStyle name="汇总 2 2 8 2" xfId="10930"/>
    <cellStyle name="汇总 2 2 8 2 2" xfId="10931"/>
    <cellStyle name="汇总 2 2 8 3" xfId="10932"/>
    <cellStyle name="汇总 2 2 8 3 2" xfId="10933"/>
    <cellStyle name="汇总 2 2 8 4" xfId="10934"/>
    <cellStyle name="汇总 2 2 9" xfId="10935"/>
    <cellStyle name="汇总 2 2 9 2" xfId="10936"/>
    <cellStyle name="汇总 2 3" xfId="10937"/>
    <cellStyle name="汇总 2 3 2" xfId="10938"/>
    <cellStyle name="汇总 2 3 2 2" xfId="10939"/>
    <cellStyle name="汇总 2 3 2 2 2" xfId="10940"/>
    <cellStyle name="汇总 2 3 2 2 2 2" xfId="10941"/>
    <cellStyle name="汇总 2 3 2 2 2 2 2" xfId="10942"/>
    <cellStyle name="汇总 2 3 2 2 2 3" xfId="10943"/>
    <cellStyle name="汇总 2 3 2 2 2 3 2" xfId="10944"/>
    <cellStyle name="汇总 2 3 2 2 2 4" xfId="10945"/>
    <cellStyle name="汇总 2 3 2 2 3" xfId="10946"/>
    <cellStyle name="汇总 2 3 2 2 3 2" xfId="10947"/>
    <cellStyle name="汇总 2 3 2 2 4" xfId="10948"/>
    <cellStyle name="汇总 2 3 2 2 4 2" xfId="10949"/>
    <cellStyle name="汇总 2 3 2 2 5" xfId="10950"/>
    <cellStyle name="汇总 2 3 2 3" xfId="10951"/>
    <cellStyle name="汇总 2 3 2 3 2" xfId="10952"/>
    <cellStyle name="汇总 2 3 2 3 2 2" xfId="10953"/>
    <cellStyle name="汇总 2 3 2 3 3" xfId="10954"/>
    <cellStyle name="汇总 2 3 2 3 3 2" xfId="10955"/>
    <cellStyle name="汇总 2 3 2 3 4" xfId="10956"/>
    <cellStyle name="汇总 2 3 2 4" xfId="10957"/>
    <cellStyle name="汇总 2 3 2 4 2" xfId="10958"/>
    <cellStyle name="汇总 2 3 2 5" xfId="10959"/>
    <cellStyle name="汇总 2 3 2 5 2" xfId="10960"/>
    <cellStyle name="汇总 2 3 2 6" xfId="10961"/>
    <cellStyle name="汇总 2 3 3" xfId="10962"/>
    <cellStyle name="汇总 2 3 3 2" xfId="10963"/>
    <cellStyle name="汇总 2 3 3 2 2" xfId="10964"/>
    <cellStyle name="汇总 2 3 3 2 2 2" xfId="10965"/>
    <cellStyle name="汇总 2 3 3 2 3" xfId="10966"/>
    <cellStyle name="汇总 2 3 3 2 3 2" xfId="10967"/>
    <cellStyle name="汇总 2 3 3 2 4" xfId="10968"/>
    <cellStyle name="汇总 2 3 3 3" xfId="10969"/>
    <cellStyle name="汇总 2 3 3 3 2" xfId="10970"/>
    <cellStyle name="汇总 2 3 3 4" xfId="10971"/>
    <cellStyle name="汇总 2 3 3 4 2" xfId="10972"/>
    <cellStyle name="汇总 2 3 3 5" xfId="10973"/>
    <cellStyle name="汇总 2 3 4" xfId="10974"/>
    <cellStyle name="汇总 2 3 4 2" xfId="10975"/>
    <cellStyle name="汇总 2 3 4 2 2" xfId="10976"/>
    <cellStyle name="汇总 2 3 4 3" xfId="10977"/>
    <cellStyle name="汇总 2 3 4 3 2" xfId="10978"/>
    <cellStyle name="汇总 2 3 4 4" xfId="10979"/>
    <cellStyle name="汇总 2 3 5" xfId="10980"/>
    <cellStyle name="汇总 2 3 5 2" xfId="10981"/>
    <cellStyle name="汇总 2 3 6" xfId="10982"/>
    <cellStyle name="汇总 2 3 6 2" xfId="10983"/>
    <cellStyle name="汇总 2 3 7" xfId="10984"/>
    <cellStyle name="汇总 2 4" xfId="10985"/>
    <cellStyle name="汇总 2 4 2" xfId="10986"/>
    <cellStyle name="汇总 2 4 2 2" xfId="10987"/>
    <cellStyle name="汇总 2 4 2 2 2" xfId="10988"/>
    <cellStyle name="汇总 2 4 2 2 2 2" xfId="10989"/>
    <cellStyle name="汇总 2 4 2 2 3" xfId="10990"/>
    <cellStyle name="汇总 2 4 2 2 3 2" xfId="10991"/>
    <cellStyle name="汇总 2 4 2 2 4" xfId="10992"/>
    <cellStyle name="汇总 2 4 2 3" xfId="10993"/>
    <cellStyle name="汇总 2 4 2 3 2" xfId="10994"/>
    <cellStyle name="汇总 2 4 2 4" xfId="10995"/>
    <cellStyle name="汇总 2 4 2 4 2" xfId="10996"/>
    <cellStyle name="汇总 2 4 2 5" xfId="10997"/>
    <cellStyle name="汇总 2 4 3" xfId="10998"/>
    <cellStyle name="汇总 2 4 3 2" xfId="10999"/>
    <cellStyle name="汇总 2 4 3 2 2" xfId="11000"/>
    <cellStyle name="汇总 2 4 3 3" xfId="11001"/>
    <cellStyle name="汇总 2 4 3 3 2" xfId="11002"/>
    <cellStyle name="汇总 2 4 3 4" xfId="11003"/>
    <cellStyle name="汇总 2 4 4" xfId="11004"/>
    <cellStyle name="汇总 2 4 4 2" xfId="11005"/>
    <cellStyle name="汇总 2 4 5" xfId="11006"/>
    <cellStyle name="汇总 2 4 5 2" xfId="11007"/>
    <cellStyle name="汇总 2 4 6" xfId="11008"/>
    <cellStyle name="汇总 2 5" xfId="11009"/>
    <cellStyle name="汇总 2 5 2" xfId="11010"/>
    <cellStyle name="汇总 2 5 2 2" xfId="11011"/>
    <cellStyle name="汇总 2 5 2 2 2" xfId="11012"/>
    <cellStyle name="汇总 2 5 2 2 2 2" xfId="11013"/>
    <cellStyle name="汇总 2 5 2 2 3" xfId="11014"/>
    <cellStyle name="汇总 2 5 2 2 3 2" xfId="11015"/>
    <cellStyle name="汇总 2 5 2 2 4" xfId="11016"/>
    <cellStyle name="汇总 2 5 2 3" xfId="11017"/>
    <cellStyle name="汇总 2 5 2 3 2" xfId="11018"/>
    <cellStyle name="汇总 2 5 2 4" xfId="11019"/>
    <cellStyle name="汇总 2 5 2 4 2" xfId="11020"/>
    <cellStyle name="汇总 2 5 2 5" xfId="11021"/>
    <cellStyle name="汇总 2 5 3" xfId="11022"/>
    <cellStyle name="汇总 2 5 3 2" xfId="11023"/>
    <cellStyle name="汇总 2 5 3 2 2" xfId="11024"/>
    <cellStyle name="汇总 2 5 3 2 2 2" xfId="11025"/>
    <cellStyle name="汇总 2 5 3 2 3" xfId="11026"/>
    <cellStyle name="汇总 2 5 3 2 3 2" xfId="11027"/>
    <cellStyle name="汇总 2 5 3 2 4" xfId="11028"/>
    <cellStyle name="汇总 2 5 3 3" xfId="11029"/>
    <cellStyle name="汇总 2 5 3 3 2" xfId="11030"/>
    <cellStyle name="汇总 2 5 3 4" xfId="11031"/>
    <cellStyle name="汇总 2 5 3 4 2" xfId="11032"/>
    <cellStyle name="汇总 2 5 3 5" xfId="11033"/>
    <cellStyle name="汇总 2 5 4" xfId="11034"/>
    <cellStyle name="汇总 2 5 4 2" xfId="11035"/>
    <cellStyle name="汇总 2 5 4 2 2" xfId="11036"/>
    <cellStyle name="汇总 2 5 4 3" xfId="11037"/>
    <cellStyle name="汇总 2 5 4 3 2" xfId="11038"/>
    <cellStyle name="汇总 2 5 4 4" xfId="11039"/>
    <cellStyle name="汇总 2 5 5" xfId="11040"/>
    <cellStyle name="汇总 2 5 5 2" xfId="11041"/>
    <cellStyle name="汇总 2 5 6" xfId="11042"/>
    <cellStyle name="汇总 2 5 6 2" xfId="11043"/>
    <cellStyle name="汇总 2 5 7" xfId="11044"/>
    <cellStyle name="汇总 2 6" xfId="11045"/>
    <cellStyle name="汇总 2 7" xfId="11046"/>
    <cellStyle name="汇总 2 7 2" xfId="11047"/>
    <cellStyle name="汇总 2 7 2 2" xfId="11048"/>
    <cellStyle name="汇总 2 7 3" xfId="11049"/>
    <cellStyle name="汇总 2 7 3 2" xfId="11050"/>
    <cellStyle name="汇总 2 7 4" xfId="11051"/>
    <cellStyle name="汇总 2 8" xfId="11052"/>
    <cellStyle name="汇总 2 8 2" xfId="11053"/>
    <cellStyle name="汇总 2 8 2 2" xfId="11054"/>
    <cellStyle name="汇总 2 8 3" xfId="11055"/>
    <cellStyle name="汇总 2 8 3 2" xfId="11056"/>
    <cellStyle name="汇总 2 8 4" xfId="11057"/>
    <cellStyle name="汇总 2 9" xfId="11058"/>
    <cellStyle name="汇总 2 9 2" xfId="11059"/>
    <cellStyle name="汇总 3" xfId="11060"/>
    <cellStyle name="汇总 3 10" xfId="11061"/>
    <cellStyle name="汇总 3 10 2" xfId="11062"/>
    <cellStyle name="汇总 3 11" xfId="11063"/>
    <cellStyle name="汇总 3 12" xfId="11064"/>
    <cellStyle name="汇总 3 2" xfId="11065"/>
    <cellStyle name="汇总 3 2 10" xfId="11066"/>
    <cellStyle name="汇总 3 2 10 2" xfId="11067"/>
    <cellStyle name="汇总 3 2 11" xfId="11068"/>
    <cellStyle name="汇总 3 2 11 2" xfId="11069"/>
    <cellStyle name="汇总 3 2 12" xfId="11070"/>
    <cellStyle name="汇总 3 2 13" xfId="11071"/>
    <cellStyle name="汇总 3 2 2" xfId="11072"/>
    <cellStyle name="汇总 3 2 2 2" xfId="11073"/>
    <cellStyle name="汇总 3 2 2 2 2" xfId="11074"/>
    <cellStyle name="汇总 3 2 2 2 2 2" xfId="11075"/>
    <cellStyle name="汇总 3 2 2 2 2 2 2" xfId="11076"/>
    <cellStyle name="汇总 3 2 2 2 2 3" xfId="11077"/>
    <cellStyle name="汇总 3 2 2 2 2 3 2" xfId="11078"/>
    <cellStyle name="汇总 3 2 2 2 2 4" xfId="11079"/>
    <cellStyle name="汇总 3 2 2 2 3" xfId="11080"/>
    <cellStyle name="汇总 3 2 2 2 3 2" xfId="11081"/>
    <cellStyle name="汇总 3 2 2 2 4" xfId="11082"/>
    <cellStyle name="汇总 3 2 2 2 4 2" xfId="11083"/>
    <cellStyle name="汇总 3 2 2 2 5" xfId="11084"/>
    <cellStyle name="汇总 3 2 2 3" xfId="11085"/>
    <cellStyle name="汇总 3 2 2 3 2" xfId="11086"/>
    <cellStyle name="汇总 3 2 2 3 2 2" xfId="11087"/>
    <cellStyle name="汇总 3 2 2 3 3" xfId="11088"/>
    <cellStyle name="汇总 3 2 2 3 3 2" xfId="11089"/>
    <cellStyle name="汇总 3 2 2 3 4" xfId="11090"/>
    <cellStyle name="汇总 3 2 2 4" xfId="11091"/>
    <cellStyle name="汇总 3 2 2 4 2" xfId="11092"/>
    <cellStyle name="汇总 3 2 2 5" xfId="11093"/>
    <cellStyle name="汇总 3 2 2 5 2" xfId="11094"/>
    <cellStyle name="汇总 3 2 2 6" xfId="11095"/>
    <cellStyle name="汇总 3 2 3" xfId="11096"/>
    <cellStyle name="汇总 3 2 3 2" xfId="11097"/>
    <cellStyle name="汇总 3 2 3 2 2" xfId="11098"/>
    <cellStyle name="汇总 3 2 3 2 2 2" xfId="11099"/>
    <cellStyle name="汇总 3 2 3 2 2 2 2" xfId="11100"/>
    <cellStyle name="汇总 3 2 3 2 2 3" xfId="11101"/>
    <cellStyle name="汇总 3 2 3 2 2 3 2" xfId="11102"/>
    <cellStyle name="汇总 3 2 3 2 2 4" xfId="11103"/>
    <cellStyle name="汇总 3 2 3 2 3" xfId="11104"/>
    <cellStyle name="汇总 3 2 3 2 3 2" xfId="11105"/>
    <cellStyle name="汇总 3 2 3 2 4" xfId="11106"/>
    <cellStyle name="汇总 3 2 3 2 4 2" xfId="11107"/>
    <cellStyle name="汇总 3 2 3 2 5" xfId="11108"/>
    <cellStyle name="汇总 3 2 3 3" xfId="11109"/>
    <cellStyle name="汇总 3 2 3 3 2" xfId="11110"/>
    <cellStyle name="汇总 3 2 3 3 2 2" xfId="11111"/>
    <cellStyle name="汇总 3 2 3 3 2 2 2" xfId="11112"/>
    <cellStyle name="汇总 3 2 3 3 2 3" xfId="11113"/>
    <cellStyle name="汇总 3 2 3 3 2 3 2" xfId="11114"/>
    <cellStyle name="汇总 3 2 3 3 2 4" xfId="11115"/>
    <cellStyle name="汇总 3 2 3 3 3" xfId="11116"/>
    <cellStyle name="汇总 3 2 3 3 3 2" xfId="11117"/>
    <cellStyle name="汇总 3 2 3 3 4" xfId="11118"/>
    <cellStyle name="汇总 3 2 3 3 4 2" xfId="11119"/>
    <cellStyle name="汇总 3 2 3 3 5" xfId="11120"/>
    <cellStyle name="汇总 3 2 3 4" xfId="11121"/>
    <cellStyle name="汇总 3 2 3 4 2" xfId="11122"/>
    <cellStyle name="汇总 3 2 3 4 2 2" xfId="11123"/>
    <cellStyle name="汇总 3 2 3 4 3" xfId="11124"/>
    <cellStyle name="汇总 3 2 3 4 3 2" xfId="11125"/>
    <cellStyle name="汇总 3 2 3 4 4" xfId="11126"/>
    <cellStyle name="汇总 3 2 3 5" xfId="11127"/>
    <cellStyle name="汇总 3 2 3 5 2" xfId="11128"/>
    <cellStyle name="汇总 3 2 3 6" xfId="11129"/>
    <cellStyle name="汇总 3 2 3 6 2" xfId="11130"/>
    <cellStyle name="汇总 3 2 3 7" xfId="11131"/>
    <cellStyle name="汇总 3 2 4" xfId="11132"/>
    <cellStyle name="汇总 3 2 4 2" xfId="11133"/>
    <cellStyle name="汇总 3 2 4 2 2" xfId="11134"/>
    <cellStyle name="汇总 3 2 4 2 2 2" xfId="11135"/>
    <cellStyle name="汇总 3 2 4 2 2 2 2" xfId="11136"/>
    <cellStyle name="汇总 3 2 4 2 2 3" xfId="11137"/>
    <cellStyle name="汇总 3 2 4 2 2 3 2" xfId="11138"/>
    <cellStyle name="汇总 3 2 4 2 2 4" xfId="11139"/>
    <cellStyle name="汇总 3 2 4 2 3" xfId="11140"/>
    <cellStyle name="汇总 3 2 4 2 3 2" xfId="11141"/>
    <cellStyle name="汇总 3 2 4 2 4" xfId="11142"/>
    <cellStyle name="汇总 3 2 4 2 4 2" xfId="11143"/>
    <cellStyle name="汇总 3 2 4 2 5" xfId="11144"/>
    <cellStyle name="汇总 3 2 4 3" xfId="11145"/>
    <cellStyle name="汇总 3 2 4 3 2" xfId="11146"/>
    <cellStyle name="汇总 3 2 4 3 2 2" xfId="11147"/>
    <cellStyle name="汇总 3 2 4 3 2 2 2" xfId="11148"/>
    <cellStyle name="汇总 3 2 4 3 2 3" xfId="11149"/>
    <cellStyle name="汇总 3 2 4 3 2 3 2" xfId="11150"/>
    <cellStyle name="汇总 3 2 4 3 2 4" xfId="11151"/>
    <cellStyle name="汇总 3 2 4 3 3" xfId="11152"/>
    <cellStyle name="汇总 3 2 4 3 3 2" xfId="11153"/>
    <cellStyle name="汇总 3 2 4 3 4" xfId="11154"/>
    <cellStyle name="汇总 3 2 4 3 4 2" xfId="11155"/>
    <cellStyle name="汇总 3 2 4 3 5" xfId="11156"/>
    <cellStyle name="汇总 3 2 4 4" xfId="11157"/>
    <cellStyle name="汇总 3 2 4 4 2" xfId="11158"/>
    <cellStyle name="汇总 3 2 4 4 2 2" xfId="11159"/>
    <cellStyle name="汇总 3 2 4 4 3" xfId="11160"/>
    <cellStyle name="汇总 3 2 4 4 3 2" xfId="11161"/>
    <cellStyle name="汇总 3 2 4 4 4" xfId="11162"/>
    <cellStyle name="汇总 3 2 4 5" xfId="11163"/>
    <cellStyle name="汇总 3 2 4 5 2" xfId="11164"/>
    <cellStyle name="汇总 3 2 4 6" xfId="11165"/>
    <cellStyle name="汇总 3 2 4 6 2" xfId="11166"/>
    <cellStyle name="汇总 3 2 4 7" xfId="11167"/>
    <cellStyle name="汇总 3 2 5" xfId="11168"/>
    <cellStyle name="汇总 3 2 5 2" xfId="11169"/>
    <cellStyle name="汇总 3 2 5 2 2" xfId="11170"/>
    <cellStyle name="汇总 3 2 5 2 2 2" xfId="11171"/>
    <cellStyle name="汇总 3 2 5 2 3" xfId="11172"/>
    <cellStyle name="汇总 3 2 5 2 3 2" xfId="11173"/>
    <cellStyle name="汇总 3 2 5 2 4" xfId="11174"/>
    <cellStyle name="汇总 3 2 5 3" xfId="11175"/>
    <cellStyle name="汇总 3 2 5 3 2" xfId="11176"/>
    <cellStyle name="汇总 3 2 5 4" xfId="11177"/>
    <cellStyle name="汇总 3 2 5 4 2" xfId="11178"/>
    <cellStyle name="汇总 3 2 5 5" xfId="11179"/>
    <cellStyle name="汇总 3 2 6" xfId="11180"/>
    <cellStyle name="汇总 3 2 7" xfId="11181"/>
    <cellStyle name="汇总 3 2 7 2" xfId="11182"/>
    <cellStyle name="汇总 3 2 7 2 2" xfId="11183"/>
    <cellStyle name="汇总 3 2 7 3" xfId="11184"/>
    <cellStyle name="汇总 3 2 7 3 2" xfId="11185"/>
    <cellStyle name="汇总 3 2 7 4" xfId="11186"/>
    <cellStyle name="汇总 3 2 8" xfId="11187"/>
    <cellStyle name="汇总 3 2 8 2" xfId="11188"/>
    <cellStyle name="汇总 3 2 8 2 2" xfId="11189"/>
    <cellStyle name="汇总 3 2 8 3" xfId="11190"/>
    <cellStyle name="汇总 3 2 8 3 2" xfId="11191"/>
    <cellStyle name="汇总 3 2 8 4" xfId="11192"/>
    <cellStyle name="汇总 3 2 9" xfId="11193"/>
    <cellStyle name="汇总 3 2 9 2" xfId="11194"/>
    <cellStyle name="汇总 3 3" xfId="11195"/>
    <cellStyle name="汇总 3 3 2" xfId="11196"/>
    <cellStyle name="汇总 3 3 2 2" xfId="11197"/>
    <cellStyle name="汇总 3 3 2 2 2" xfId="11198"/>
    <cellStyle name="汇总 3 3 2 2 2 2" xfId="11199"/>
    <cellStyle name="汇总 3 3 2 2 2 2 2" xfId="11200"/>
    <cellStyle name="汇总 3 3 2 2 2 3" xfId="11201"/>
    <cellStyle name="汇总 3 3 2 2 2 3 2" xfId="11202"/>
    <cellStyle name="汇总 3 3 2 2 2 4" xfId="11203"/>
    <cellStyle name="汇总 3 3 2 2 3" xfId="11204"/>
    <cellStyle name="汇总 3 3 2 2 3 2" xfId="11205"/>
    <cellStyle name="汇总 3 3 2 2 4" xfId="11206"/>
    <cellStyle name="汇总 3 3 2 2 4 2" xfId="11207"/>
    <cellStyle name="汇总 3 3 2 2 5" xfId="11208"/>
    <cellStyle name="汇总 3 3 2 3" xfId="11209"/>
    <cellStyle name="汇总 3 3 2 3 2" xfId="11210"/>
    <cellStyle name="汇总 3 3 2 3 2 2" xfId="11211"/>
    <cellStyle name="汇总 3 3 2 3 3" xfId="11212"/>
    <cellStyle name="汇总 3 3 2 3 3 2" xfId="11213"/>
    <cellStyle name="汇总 3 3 2 3 4" xfId="11214"/>
    <cellStyle name="汇总 3 3 2 4" xfId="11215"/>
    <cellStyle name="汇总 3 3 2 4 2" xfId="11216"/>
    <cellStyle name="汇总 3 3 2 5" xfId="11217"/>
    <cellStyle name="汇总 3 3 2 5 2" xfId="11218"/>
    <cellStyle name="汇总 3 3 2 6" xfId="11219"/>
    <cellStyle name="汇总 3 3 3" xfId="11220"/>
    <cellStyle name="汇总 3 3 3 2" xfId="11221"/>
    <cellStyle name="汇总 3 3 3 2 2" xfId="11222"/>
    <cellStyle name="汇总 3 3 3 2 2 2" xfId="11223"/>
    <cellStyle name="汇总 3 3 3 2 3" xfId="11224"/>
    <cellStyle name="汇总 3 3 3 2 3 2" xfId="11225"/>
    <cellStyle name="汇总 3 3 3 2 4" xfId="11226"/>
    <cellStyle name="汇总 3 3 3 3" xfId="11227"/>
    <cellStyle name="汇总 3 3 3 3 2" xfId="11228"/>
    <cellStyle name="汇总 3 3 3 4" xfId="11229"/>
    <cellStyle name="汇总 3 3 3 4 2" xfId="11230"/>
    <cellStyle name="汇总 3 3 3 5" xfId="11231"/>
    <cellStyle name="汇总 3 3 4" xfId="11232"/>
    <cellStyle name="汇总 3 3 4 2" xfId="11233"/>
    <cellStyle name="汇总 3 3 4 2 2" xfId="11234"/>
    <cellStyle name="汇总 3 3 4 3" xfId="11235"/>
    <cellStyle name="汇总 3 3 4 3 2" xfId="11236"/>
    <cellStyle name="汇总 3 3 4 4" xfId="11237"/>
    <cellStyle name="汇总 3 3 5" xfId="11238"/>
    <cellStyle name="汇总 3 3 5 2" xfId="11239"/>
    <cellStyle name="汇总 3 3 6" xfId="11240"/>
    <cellStyle name="汇总 3 3 6 2" xfId="11241"/>
    <cellStyle name="汇总 3 3 7" xfId="11242"/>
    <cellStyle name="汇总 3 4" xfId="11243"/>
    <cellStyle name="汇总 3 4 2" xfId="11244"/>
    <cellStyle name="汇总 3 4 2 2" xfId="11245"/>
    <cellStyle name="汇总 3 4 2 2 2" xfId="11246"/>
    <cellStyle name="汇总 3 4 2 2 2 2" xfId="11247"/>
    <cellStyle name="汇总 3 4 2 2 3" xfId="11248"/>
    <cellStyle name="汇总 3 4 2 2 3 2" xfId="11249"/>
    <cellStyle name="汇总 3 4 2 2 4" xfId="11250"/>
    <cellStyle name="汇总 3 4 2 3" xfId="11251"/>
    <cellStyle name="汇总 3 4 2 3 2" xfId="11252"/>
    <cellStyle name="汇总 3 4 2 4" xfId="11253"/>
    <cellStyle name="汇总 3 4 2 4 2" xfId="11254"/>
    <cellStyle name="汇总 3 4 2 5" xfId="11255"/>
    <cellStyle name="汇总 3 4 3" xfId="11256"/>
    <cellStyle name="汇总 3 4 3 2" xfId="11257"/>
    <cellStyle name="汇总 3 4 3 2 2" xfId="11258"/>
    <cellStyle name="汇总 3 4 3 3" xfId="11259"/>
    <cellStyle name="汇总 3 4 3 3 2" xfId="11260"/>
    <cellStyle name="汇总 3 4 3 4" xfId="11261"/>
    <cellStyle name="汇总 3 4 4" xfId="11262"/>
    <cellStyle name="汇总 3 4 4 2" xfId="11263"/>
    <cellStyle name="汇总 3 4 5" xfId="11264"/>
    <cellStyle name="汇总 3 4 5 2" xfId="11265"/>
    <cellStyle name="汇总 3 4 6" xfId="11266"/>
    <cellStyle name="汇总 3 5" xfId="11267"/>
    <cellStyle name="汇总 3 5 2" xfId="11268"/>
    <cellStyle name="汇总 3 5 2 2" xfId="11269"/>
    <cellStyle name="汇总 3 5 2 2 2" xfId="11270"/>
    <cellStyle name="汇总 3 5 2 2 2 2" xfId="11271"/>
    <cellStyle name="汇总 3 5 2 2 3" xfId="11272"/>
    <cellStyle name="汇总 3 5 2 2 3 2" xfId="11273"/>
    <cellStyle name="汇总 3 5 2 2 4" xfId="11274"/>
    <cellStyle name="汇总 3 5 2 3" xfId="11275"/>
    <cellStyle name="汇总 3 5 2 3 2" xfId="11276"/>
    <cellStyle name="汇总 3 5 2 4" xfId="11277"/>
    <cellStyle name="汇总 3 5 2 4 2" xfId="11278"/>
    <cellStyle name="汇总 3 5 2 5" xfId="11279"/>
    <cellStyle name="汇总 3 5 3" xfId="11280"/>
    <cellStyle name="汇总 3 5 3 2" xfId="11281"/>
    <cellStyle name="汇总 3 5 3 2 2" xfId="11282"/>
    <cellStyle name="汇总 3 5 3 2 2 2" xfId="11283"/>
    <cellStyle name="汇总 3 5 3 2 3" xfId="11284"/>
    <cellStyle name="汇总 3 5 3 2 3 2" xfId="11285"/>
    <cellStyle name="汇总 3 5 3 2 4" xfId="11286"/>
    <cellStyle name="汇总 3 5 3 3" xfId="11287"/>
    <cellStyle name="汇总 3 5 3 3 2" xfId="11288"/>
    <cellStyle name="汇总 3 5 3 4" xfId="11289"/>
    <cellStyle name="汇总 3 5 3 4 2" xfId="11290"/>
    <cellStyle name="汇总 3 5 3 5" xfId="11291"/>
    <cellStyle name="汇总 3 5 4" xfId="11292"/>
    <cellStyle name="汇总 3 5 4 2" xfId="11293"/>
    <cellStyle name="汇总 3 5 4 2 2" xfId="11294"/>
    <cellStyle name="汇总 3 5 4 3" xfId="11295"/>
    <cellStyle name="汇总 3 5 4 3 2" xfId="11296"/>
    <cellStyle name="汇总 3 5 4 4" xfId="11297"/>
    <cellStyle name="汇总 3 5 5" xfId="11298"/>
    <cellStyle name="汇总 3 5 5 2" xfId="11299"/>
    <cellStyle name="汇总 3 5 6" xfId="11300"/>
    <cellStyle name="汇总 3 5 6 2" xfId="11301"/>
    <cellStyle name="汇总 3 5 7" xfId="11302"/>
    <cellStyle name="汇总 3 6" xfId="11303"/>
    <cellStyle name="汇总 3 7" xfId="11304"/>
    <cellStyle name="汇总 3 7 2" xfId="11305"/>
    <cellStyle name="汇总 3 7 2 2" xfId="11306"/>
    <cellStyle name="汇总 3 7 3" xfId="11307"/>
    <cellStyle name="汇总 3 7 3 2" xfId="11308"/>
    <cellStyle name="汇总 3 7 4" xfId="11309"/>
    <cellStyle name="汇总 3 8" xfId="11310"/>
    <cellStyle name="汇总 3 8 2" xfId="11311"/>
    <cellStyle name="汇总 3 8 2 2" xfId="11312"/>
    <cellStyle name="汇总 3 8 3" xfId="11313"/>
    <cellStyle name="汇总 3 8 3 2" xfId="11314"/>
    <cellStyle name="汇总 3 8 4" xfId="11315"/>
    <cellStyle name="汇总 3 9" xfId="11316"/>
    <cellStyle name="汇总 3 9 2" xfId="11317"/>
    <cellStyle name="汇总 4" xfId="11318"/>
    <cellStyle name="汇总 4 10" xfId="11319"/>
    <cellStyle name="汇总 4 10 2" xfId="11320"/>
    <cellStyle name="汇总 4 11" xfId="11321"/>
    <cellStyle name="汇总 4 12" xfId="11322"/>
    <cellStyle name="汇总 4 2" xfId="11323"/>
    <cellStyle name="汇总 4 2 10" xfId="11324"/>
    <cellStyle name="汇总 4 2 10 2" xfId="11325"/>
    <cellStyle name="汇总 4 2 11" xfId="11326"/>
    <cellStyle name="汇总 4 2 11 2" xfId="11327"/>
    <cellStyle name="汇总 4 2 12" xfId="11328"/>
    <cellStyle name="汇总 4 2 13" xfId="11329"/>
    <cellStyle name="汇总 4 2 2" xfId="11330"/>
    <cellStyle name="汇总 4 2 2 2" xfId="11331"/>
    <cellStyle name="汇总 4 2 2 2 2" xfId="11332"/>
    <cellStyle name="汇总 4 2 2 2 2 2" xfId="11333"/>
    <cellStyle name="汇总 4 2 2 2 2 2 2" xfId="11334"/>
    <cellStyle name="汇总 4 2 2 2 2 3" xfId="11335"/>
    <cellStyle name="汇总 4 2 2 2 2 3 2" xfId="11336"/>
    <cellStyle name="汇总 4 2 2 2 2 4" xfId="11337"/>
    <cellStyle name="汇总 4 2 2 2 3" xfId="11338"/>
    <cellStyle name="汇总 4 2 2 2 3 2" xfId="11339"/>
    <cellStyle name="汇总 4 2 2 2 4" xfId="11340"/>
    <cellStyle name="汇总 4 2 2 2 4 2" xfId="11341"/>
    <cellStyle name="汇总 4 2 2 2 5" xfId="11342"/>
    <cellStyle name="汇总 4 2 2 3" xfId="11343"/>
    <cellStyle name="汇总 4 2 2 3 2" xfId="11344"/>
    <cellStyle name="汇总 4 2 2 3 2 2" xfId="11345"/>
    <cellStyle name="汇总 4 2 2 3 3" xfId="11346"/>
    <cellStyle name="汇总 4 2 2 3 3 2" xfId="11347"/>
    <cellStyle name="汇总 4 2 2 3 4" xfId="11348"/>
    <cellStyle name="汇总 4 2 2 4" xfId="11349"/>
    <cellStyle name="汇总 4 2 2 4 2" xfId="11350"/>
    <cellStyle name="汇总 4 2 2 5" xfId="11351"/>
    <cellStyle name="汇总 4 2 2 5 2" xfId="11352"/>
    <cellStyle name="汇总 4 2 2 6" xfId="11353"/>
    <cellStyle name="汇总 4 2 3" xfId="11354"/>
    <cellStyle name="汇总 4 2 3 2" xfId="11355"/>
    <cellStyle name="汇总 4 2 3 2 2" xfId="11356"/>
    <cellStyle name="汇总 4 2 3 2 2 2" xfId="11357"/>
    <cellStyle name="汇总 4 2 3 2 2 2 2" xfId="11358"/>
    <cellStyle name="汇总 4 2 3 2 2 3" xfId="11359"/>
    <cellStyle name="汇总 4 2 3 2 2 3 2" xfId="11360"/>
    <cellStyle name="汇总 4 2 3 2 2 4" xfId="11361"/>
    <cellStyle name="汇总 4 2 3 2 3" xfId="11362"/>
    <cellStyle name="汇总 4 2 3 2 3 2" xfId="11363"/>
    <cellStyle name="汇总 4 2 3 2 4" xfId="11364"/>
    <cellStyle name="汇总 4 2 3 2 4 2" xfId="11365"/>
    <cellStyle name="汇总 4 2 3 2 5" xfId="11366"/>
    <cellStyle name="汇总 4 2 3 3" xfId="11367"/>
    <cellStyle name="汇总 4 2 3 3 2" xfId="11368"/>
    <cellStyle name="汇总 4 2 3 3 2 2" xfId="11369"/>
    <cellStyle name="汇总 4 2 3 3 2 2 2" xfId="11370"/>
    <cellStyle name="汇总 4 2 3 3 2 3" xfId="11371"/>
    <cellStyle name="汇总 4 2 3 3 2 3 2" xfId="11372"/>
    <cellStyle name="汇总 4 2 3 3 2 4" xfId="11373"/>
    <cellStyle name="汇总 4 2 3 3 3" xfId="11374"/>
    <cellStyle name="汇总 4 2 3 3 3 2" xfId="11375"/>
    <cellStyle name="汇总 4 2 3 3 4" xfId="11376"/>
    <cellStyle name="汇总 4 2 3 3 4 2" xfId="11377"/>
    <cellStyle name="汇总 4 2 3 3 5" xfId="11378"/>
    <cellStyle name="汇总 4 2 3 4" xfId="11379"/>
    <cellStyle name="汇总 4 2 3 4 2" xfId="11380"/>
    <cellStyle name="汇总 4 2 3 4 2 2" xfId="11381"/>
    <cellStyle name="汇总 4 2 3 4 3" xfId="11382"/>
    <cellStyle name="汇总 4 2 3 4 3 2" xfId="11383"/>
    <cellStyle name="汇总 4 2 3 4 4" xfId="11384"/>
    <cellStyle name="汇总 4 2 3 5" xfId="11385"/>
    <cellStyle name="汇总 4 2 3 5 2" xfId="11386"/>
    <cellStyle name="汇总 4 2 3 6" xfId="11387"/>
    <cellStyle name="汇总 4 2 3 6 2" xfId="11388"/>
    <cellStyle name="汇总 4 2 3 7" xfId="11389"/>
    <cellStyle name="汇总 4 2 4" xfId="11390"/>
    <cellStyle name="汇总 4 2 4 2" xfId="11391"/>
    <cellStyle name="汇总 4 2 4 2 2" xfId="11392"/>
    <cellStyle name="汇总 4 2 4 2 2 2" xfId="11393"/>
    <cellStyle name="汇总 4 2 4 2 2 2 2" xfId="11394"/>
    <cellStyle name="汇总 4 2 4 2 2 3" xfId="11395"/>
    <cellStyle name="汇总 4 2 4 2 2 3 2" xfId="11396"/>
    <cellStyle name="汇总 4 2 4 2 2 4" xfId="11397"/>
    <cellStyle name="汇总 4 2 4 2 3" xfId="11398"/>
    <cellStyle name="汇总 4 2 4 2 3 2" xfId="11399"/>
    <cellStyle name="汇总 4 2 4 2 4" xfId="11400"/>
    <cellStyle name="汇总 4 2 4 2 4 2" xfId="11401"/>
    <cellStyle name="汇总 4 2 4 2 5" xfId="11402"/>
    <cellStyle name="汇总 4 2 4 3" xfId="11403"/>
    <cellStyle name="汇总 4 2 4 3 2" xfId="11404"/>
    <cellStyle name="汇总 4 2 4 3 2 2" xfId="11405"/>
    <cellStyle name="汇总 4 2 4 3 2 2 2" xfId="11406"/>
    <cellStyle name="汇总 4 2 4 3 2 3" xfId="11407"/>
    <cellStyle name="汇总 4 2 4 3 2 3 2" xfId="11408"/>
    <cellStyle name="汇总 4 2 4 3 2 4" xfId="11409"/>
    <cellStyle name="汇总 4 2 4 3 3" xfId="11410"/>
    <cellStyle name="汇总 4 2 4 3 3 2" xfId="11411"/>
    <cellStyle name="汇总 4 2 4 3 4" xfId="11412"/>
    <cellStyle name="汇总 4 2 4 3 4 2" xfId="11413"/>
    <cellStyle name="汇总 4 2 4 3 5" xfId="11414"/>
    <cellStyle name="汇总 4 2 4 4" xfId="11415"/>
    <cellStyle name="汇总 4 2 4 4 2" xfId="11416"/>
    <cellStyle name="汇总 4 2 4 4 2 2" xfId="11417"/>
    <cellStyle name="汇总 4 2 4 4 3" xfId="11418"/>
    <cellStyle name="汇总 4 2 4 4 3 2" xfId="11419"/>
    <cellStyle name="汇总 4 2 4 4 4" xfId="11420"/>
    <cellStyle name="汇总 4 2 4 5" xfId="11421"/>
    <cellStyle name="汇总 4 2 4 5 2" xfId="11422"/>
    <cellStyle name="汇总 4 2 4 6" xfId="11423"/>
    <cellStyle name="汇总 4 2 4 6 2" xfId="11424"/>
    <cellStyle name="汇总 4 2 4 7" xfId="11425"/>
    <cellStyle name="汇总 4 2 5" xfId="11426"/>
    <cellStyle name="汇总 4 2 5 2" xfId="11427"/>
    <cellStyle name="汇总 4 2 5 2 2" xfId="11428"/>
    <cellStyle name="汇总 4 2 5 2 2 2" xfId="11429"/>
    <cellStyle name="汇总 4 2 5 2 3" xfId="11430"/>
    <cellStyle name="汇总 4 2 5 2 3 2" xfId="11431"/>
    <cellStyle name="汇总 4 2 5 2 4" xfId="11432"/>
    <cellStyle name="汇总 4 2 5 3" xfId="11433"/>
    <cellStyle name="汇总 4 2 5 3 2" xfId="11434"/>
    <cellStyle name="汇总 4 2 5 4" xfId="11435"/>
    <cellStyle name="汇总 4 2 5 4 2" xfId="11436"/>
    <cellStyle name="汇总 4 2 5 5" xfId="11437"/>
    <cellStyle name="汇总 4 2 6" xfId="11438"/>
    <cellStyle name="汇总 4 2 7" xfId="11439"/>
    <cellStyle name="汇总 4 2 7 2" xfId="11440"/>
    <cellStyle name="汇总 4 2 7 2 2" xfId="11441"/>
    <cellStyle name="汇总 4 2 7 3" xfId="11442"/>
    <cellStyle name="汇总 4 2 7 3 2" xfId="11443"/>
    <cellStyle name="汇总 4 2 7 4" xfId="11444"/>
    <cellStyle name="汇总 4 2 8" xfId="11445"/>
    <cellStyle name="汇总 4 2 8 2" xfId="11446"/>
    <cellStyle name="汇总 4 2 8 2 2" xfId="11447"/>
    <cellStyle name="汇总 4 2 8 3" xfId="11448"/>
    <cellStyle name="汇总 4 2 8 3 2" xfId="11449"/>
    <cellStyle name="汇总 4 2 8 4" xfId="11450"/>
    <cellStyle name="汇总 4 2 9" xfId="11451"/>
    <cellStyle name="汇总 4 2 9 2" xfId="11452"/>
    <cellStyle name="汇总 4 3" xfId="11453"/>
    <cellStyle name="汇总 4 3 2" xfId="11454"/>
    <cellStyle name="汇总 4 3 2 2" xfId="11455"/>
    <cellStyle name="汇总 4 3 2 2 2" xfId="11456"/>
    <cellStyle name="汇总 4 3 2 2 2 2" xfId="11457"/>
    <cellStyle name="汇总 4 3 2 2 2 2 2" xfId="11458"/>
    <cellStyle name="汇总 4 3 2 2 2 3" xfId="11459"/>
    <cellStyle name="汇总 4 3 2 2 2 3 2" xfId="11460"/>
    <cellStyle name="汇总 4 3 2 2 2 4" xfId="11461"/>
    <cellStyle name="汇总 4 3 2 2 3" xfId="11462"/>
    <cellStyle name="汇总 4 3 2 2 3 2" xfId="11463"/>
    <cellStyle name="汇总 4 3 2 2 4" xfId="11464"/>
    <cellStyle name="汇总 4 3 2 2 4 2" xfId="11465"/>
    <cellStyle name="汇总 4 3 2 2 5" xfId="11466"/>
    <cellStyle name="汇总 4 3 2 3" xfId="11467"/>
    <cellStyle name="汇总 4 3 2 3 2" xfId="11468"/>
    <cellStyle name="汇总 4 3 2 3 2 2" xfId="11469"/>
    <cellStyle name="汇总 4 3 2 3 3" xfId="11470"/>
    <cellStyle name="汇总 4 3 2 3 3 2" xfId="11471"/>
    <cellStyle name="汇总 4 3 2 3 4" xfId="11472"/>
    <cellStyle name="汇总 4 3 2 4" xfId="11473"/>
    <cellStyle name="汇总 4 3 2 4 2" xfId="11474"/>
    <cellStyle name="汇总 4 3 2 5" xfId="11475"/>
    <cellStyle name="汇总 4 3 2 5 2" xfId="11476"/>
    <cellStyle name="汇总 4 3 2 6" xfId="11477"/>
    <cellStyle name="汇总 4 3 3" xfId="11478"/>
    <cellStyle name="汇总 4 3 3 2" xfId="11479"/>
    <cellStyle name="汇总 4 3 3 2 2" xfId="11480"/>
    <cellStyle name="汇总 4 3 3 2 2 2" xfId="11481"/>
    <cellStyle name="汇总 4 3 3 2 3" xfId="11482"/>
    <cellStyle name="汇总 4 3 3 2 3 2" xfId="11483"/>
    <cellStyle name="汇总 4 3 3 2 4" xfId="11484"/>
    <cellStyle name="汇总 4 3 3 3" xfId="11485"/>
    <cellStyle name="汇总 4 3 3 3 2" xfId="11486"/>
    <cellStyle name="汇总 4 3 3 4" xfId="11487"/>
    <cellStyle name="汇总 4 3 3 4 2" xfId="11488"/>
    <cellStyle name="汇总 4 3 3 5" xfId="11489"/>
    <cellStyle name="汇总 4 3 4" xfId="11490"/>
    <cellStyle name="汇总 4 3 4 2" xfId="11491"/>
    <cellStyle name="汇总 4 3 4 2 2" xfId="11492"/>
    <cellStyle name="汇总 4 3 4 3" xfId="11493"/>
    <cellStyle name="汇总 4 3 4 3 2" xfId="11494"/>
    <cellStyle name="汇总 4 3 4 4" xfId="11495"/>
    <cellStyle name="汇总 4 3 5" xfId="11496"/>
    <cellStyle name="汇总 4 3 5 2" xfId="11497"/>
    <cellStyle name="汇总 4 3 6" xfId="11498"/>
    <cellStyle name="汇总 4 3 6 2" xfId="11499"/>
    <cellStyle name="汇总 4 3 7" xfId="11500"/>
    <cellStyle name="汇总 4 4" xfId="11501"/>
    <cellStyle name="汇总 4 4 2" xfId="11502"/>
    <cellStyle name="汇总 4 4 2 2" xfId="11503"/>
    <cellStyle name="汇总 4 4 2 2 2" xfId="11504"/>
    <cellStyle name="汇总 4 4 2 2 2 2" xfId="11505"/>
    <cellStyle name="汇总 4 4 2 2 3" xfId="11506"/>
    <cellStyle name="汇总 4 4 2 2 3 2" xfId="11507"/>
    <cellStyle name="汇总 4 4 2 2 4" xfId="11508"/>
    <cellStyle name="汇总 4 4 2 3" xfId="11509"/>
    <cellStyle name="汇总 4 4 2 3 2" xfId="11510"/>
    <cellStyle name="汇总 4 4 2 4" xfId="11511"/>
    <cellStyle name="汇总 4 4 2 4 2" xfId="11512"/>
    <cellStyle name="汇总 4 4 2 5" xfId="11513"/>
    <cellStyle name="汇总 4 4 3" xfId="11514"/>
    <cellStyle name="汇总 4 4 3 2" xfId="11515"/>
    <cellStyle name="汇总 4 4 3 2 2" xfId="11516"/>
    <cellStyle name="汇总 4 4 3 3" xfId="11517"/>
    <cellStyle name="汇总 4 4 3 3 2" xfId="11518"/>
    <cellStyle name="汇总 4 4 3 4" xfId="11519"/>
    <cellStyle name="汇总 4 4 4" xfId="11520"/>
    <cellStyle name="汇总 4 4 4 2" xfId="11521"/>
    <cellStyle name="汇总 4 4 5" xfId="11522"/>
    <cellStyle name="汇总 4 4 5 2" xfId="11523"/>
    <cellStyle name="汇总 4 4 6" xfId="11524"/>
    <cellStyle name="汇总 4 5" xfId="11525"/>
    <cellStyle name="汇总 4 5 2" xfId="11526"/>
    <cellStyle name="汇总 4 5 2 2" xfId="11527"/>
    <cellStyle name="汇总 4 5 2 2 2" xfId="11528"/>
    <cellStyle name="汇总 4 5 2 2 2 2" xfId="11529"/>
    <cellStyle name="汇总 4 5 2 2 3" xfId="11530"/>
    <cellStyle name="汇总 4 5 2 2 3 2" xfId="11531"/>
    <cellStyle name="汇总 4 5 2 2 4" xfId="11532"/>
    <cellStyle name="汇总 4 5 2 3" xfId="11533"/>
    <cellStyle name="汇总 4 5 2 3 2" xfId="11534"/>
    <cellStyle name="汇总 4 5 2 4" xfId="11535"/>
    <cellStyle name="汇总 4 5 2 4 2" xfId="11536"/>
    <cellStyle name="汇总 4 5 2 5" xfId="11537"/>
    <cellStyle name="汇总 4 5 3" xfId="11538"/>
    <cellStyle name="汇总 4 5 3 2" xfId="11539"/>
    <cellStyle name="汇总 4 5 3 2 2" xfId="11540"/>
    <cellStyle name="汇总 4 5 3 2 2 2" xfId="11541"/>
    <cellStyle name="汇总 4 5 3 2 3" xfId="11542"/>
    <cellStyle name="汇总 4 5 3 2 3 2" xfId="11543"/>
    <cellStyle name="汇总 4 5 3 2 4" xfId="11544"/>
    <cellStyle name="汇总 4 5 3 3" xfId="11545"/>
    <cellStyle name="汇总 4 5 3 3 2" xfId="11546"/>
    <cellStyle name="汇总 4 5 3 4" xfId="11547"/>
    <cellStyle name="汇总 4 5 3 4 2" xfId="11548"/>
    <cellStyle name="汇总 4 5 3 5" xfId="11549"/>
    <cellStyle name="汇总 4 5 4" xfId="11550"/>
    <cellStyle name="汇总 4 5 4 2" xfId="11551"/>
    <cellStyle name="汇总 4 5 4 2 2" xfId="11552"/>
    <cellStyle name="汇总 4 5 4 3" xfId="11553"/>
    <cellStyle name="汇总 4 5 4 3 2" xfId="11554"/>
    <cellStyle name="汇总 4 5 4 4" xfId="11555"/>
    <cellStyle name="汇总 4 5 5" xfId="11556"/>
    <cellStyle name="汇总 4 5 5 2" xfId="11557"/>
    <cellStyle name="汇总 4 5 6" xfId="11558"/>
    <cellStyle name="汇总 4 5 6 2" xfId="11559"/>
    <cellStyle name="汇总 4 5 7" xfId="11560"/>
    <cellStyle name="汇总 4 6" xfId="11561"/>
    <cellStyle name="汇总 4 7" xfId="11562"/>
    <cellStyle name="汇总 4 7 2" xfId="11563"/>
    <cellStyle name="汇总 4 7 2 2" xfId="11564"/>
    <cellStyle name="汇总 4 7 3" xfId="11565"/>
    <cellStyle name="汇总 4 7 3 2" xfId="11566"/>
    <cellStyle name="汇总 4 7 4" xfId="11567"/>
    <cellStyle name="汇总 4 8" xfId="11568"/>
    <cellStyle name="汇总 4 8 2" xfId="11569"/>
    <cellStyle name="汇总 4 8 2 2" xfId="11570"/>
    <cellStyle name="汇总 4 8 3" xfId="11571"/>
    <cellStyle name="汇总 4 8 3 2" xfId="11572"/>
    <cellStyle name="汇总 4 8 4" xfId="11573"/>
    <cellStyle name="汇总 4 9" xfId="11574"/>
    <cellStyle name="汇总 4 9 2" xfId="11575"/>
    <cellStyle name="汇总 5" xfId="11576"/>
    <cellStyle name="汇总 5 10" xfId="11577"/>
    <cellStyle name="汇总 5 10 2" xfId="11578"/>
    <cellStyle name="汇总 5 11" xfId="11579"/>
    <cellStyle name="汇总 5 12" xfId="11580"/>
    <cellStyle name="汇总 5 2" xfId="11581"/>
    <cellStyle name="汇总 5 2 10" xfId="11582"/>
    <cellStyle name="汇总 5 2 10 2" xfId="11583"/>
    <cellStyle name="汇总 5 2 11" xfId="11584"/>
    <cellStyle name="汇总 5 2 11 2" xfId="11585"/>
    <cellStyle name="汇总 5 2 12" xfId="11586"/>
    <cellStyle name="汇总 5 2 13" xfId="11587"/>
    <cellStyle name="汇总 5 2 2" xfId="11588"/>
    <cellStyle name="汇总 5 2 2 2" xfId="11589"/>
    <cellStyle name="汇总 5 2 2 2 2" xfId="11590"/>
    <cellStyle name="汇总 5 2 2 2 2 2" xfId="11591"/>
    <cellStyle name="汇总 5 2 2 2 2 2 2" xfId="11592"/>
    <cellStyle name="汇总 5 2 2 2 2 3" xfId="11593"/>
    <cellStyle name="汇总 5 2 2 2 2 3 2" xfId="11594"/>
    <cellStyle name="汇总 5 2 2 2 2 4" xfId="11595"/>
    <cellStyle name="汇总 5 2 2 2 3" xfId="11596"/>
    <cellStyle name="汇总 5 2 2 2 3 2" xfId="11597"/>
    <cellStyle name="汇总 5 2 2 2 4" xfId="11598"/>
    <cellStyle name="汇总 5 2 2 2 4 2" xfId="11599"/>
    <cellStyle name="汇总 5 2 2 2 5" xfId="11600"/>
    <cellStyle name="汇总 5 2 2 3" xfId="11601"/>
    <cellStyle name="汇总 5 2 2 3 2" xfId="11602"/>
    <cellStyle name="汇总 5 2 2 3 2 2" xfId="11603"/>
    <cellStyle name="汇总 5 2 2 3 3" xfId="11604"/>
    <cellStyle name="汇总 5 2 2 3 3 2" xfId="11605"/>
    <cellStyle name="汇总 5 2 2 3 4" xfId="11606"/>
    <cellStyle name="汇总 5 2 2 4" xfId="11607"/>
    <cellStyle name="汇总 5 2 2 4 2" xfId="11608"/>
    <cellStyle name="汇总 5 2 2 5" xfId="11609"/>
    <cellStyle name="汇总 5 2 2 5 2" xfId="11610"/>
    <cellStyle name="汇总 5 2 2 6" xfId="11611"/>
    <cellStyle name="汇总 5 2 3" xfId="11612"/>
    <cellStyle name="汇总 5 2 3 2" xfId="11613"/>
    <cellStyle name="汇总 5 2 3 2 2" xfId="11614"/>
    <cellStyle name="汇总 5 2 3 2 2 2" xfId="11615"/>
    <cellStyle name="汇总 5 2 3 2 2 2 2" xfId="11616"/>
    <cellStyle name="汇总 5 2 3 2 2 3" xfId="11617"/>
    <cellStyle name="汇总 5 2 3 2 2 3 2" xfId="11618"/>
    <cellStyle name="汇总 5 2 3 2 2 4" xfId="11619"/>
    <cellStyle name="汇总 5 2 3 2 3" xfId="11620"/>
    <cellStyle name="汇总 5 2 3 2 3 2" xfId="11621"/>
    <cellStyle name="汇总 5 2 3 2 4" xfId="11622"/>
    <cellStyle name="汇总 5 2 3 2 4 2" xfId="11623"/>
    <cellStyle name="汇总 5 2 3 2 5" xfId="11624"/>
    <cellStyle name="汇总 5 2 3 3" xfId="11625"/>
    <cellStyle name="汇总 5 2 3 3 2" xfId="11626"/>
    <cellStyle name="汇总 5 2 3 3 2 2" xfId="11627"/>
    <cellStyle name="汇总 5 2 3 3 2 2 2" xfId="11628"/>
    <cellStyle name="汇总 5 2 3 3 2 3" xfId="11629"/>
    <cellStyle name="汇总 5 2 3 3 2 3 2" xfId="11630"/>
    <cellStyle name="汇总 5 2 3 3 2 4" xfId="11631"/>
    <cellStyle name="汇总 5 2 3 3 3" xfId="11632"/>
    <cellStyle name="汇总 5 2 3 3 3 2" xfId="11633"/>
    <cellStyle name="汇总 5 2 3 3 4" xfId="11634"/>
    <cellStyle name="汇总 5 2 3 3 4 2" xfId="11635"/>
    <cellStyle name="汇总 5 2 3 3 5" xfId="11636"/>
    <cellStyle name="汇总 5 2 3 4" xfId="11637"/>
    <cellStyle name="汇总 5 2 3 4 2" xfId="11638"/>
    <cellStyle name="汇总 5 2 3 4 2 2" xfId="11639"/>
    <cellStyle name="汇总 5 2 3 4 3" xfId="11640"/>
    <cellStyle name="汇总 5 2 3 4 3 2" xfId="11641"/>
    <cellStyle name="汇总 5 2 3 4 4" xfId="11642"/>
    <cellStyle name="汇总 5 2 3 5" xfId="11643"/>
    <cellStyle name="汇总 5 2 3 5 2" xfId="11644"/>
    <cellStyle name="汇总 5 2 3 6" xfId="11645"/>
    <cellStyle name="汇总 5 2 3 6 2" xfId="11646"/>
    <cellStyle name="汇总 5 2 3 7" xfId="11647"/>
    <cellStyle name="汇总 5 2 4" xfId="11648"/>
    <cellStyle name="汇总 5 2 4 2" xfId="11649"/>
    <cellStyle name="汇总 5 2 4 2 2" xfId="11650"/>
    <cellStyle name="汇总 5 2 4 2 2 2" xfId="11651"/>
    <cellStyle name="汇总 5 2 4 2 2 2 2" xfId="11652"/>
    <cellStyle name="汇总 5 2 4 2 2 3" xfId="11653"/>
    <cellStyle name="汇总 5 2 4 2 2 3 2" xfId="11654"/>
    <cellStyle name="汇总 5 2 4 2 2 4" xfId="11655"/>
    <cellStyle name="汇总 5 2 4 2 3" xfId="11656"/>
    <cellStyle name="汇总 5 2 4 2 3 2" xfId="11657"/>
    <cellStyle name="汇总 5 2 4 2 4" xfId="11658"/>
    <cellStyle name="汇总 5 2 4 2 4 2" xfId="11659"/>
    <cellStyle name="汇总 5 2 4 2 5" xfId="11660"/>
    <cellStyle name="汇总 5 2 4 3" xfId="11661"/>
    <cellStyle name="汇总 5 2 4 3 2" xfId="11662"/>
    <cellStyle name="汇总 5 2 4 3 2 2" xfId="11663"/>
    <cellStyle name="汇总 5 2 4 3 2 2 2" xfId="11664"/>
    <cellStyle name="汇总 5 2 4 3 2 3" xfId="11665"/>
    <cellStyle name="汇总 5 2 4 3 2 3 2" xfId="11666"/>
    <cellStyle name="汇总 5 2 4 3 2 4" xfId="11667"/>
    <cellStyle name="汇总 5 2 4 3 3" xfId="11668"/>
    <cellStyle name="汇总 5 2 4 3 3 2" xfId="11669"/>
    <cellStyle name="汇总 5 2 4 3 4" xfId="11670"/>
    <cellStyle name="汇总 5 2 4 3 4 2" xfId="11671"/>
    <cellStyle name="汇总 5 2 4 3 5" xfId="11672"/>
    <cellStyle name="汇总 5 2 4 4" xfId="11673"/>
    <cellStyle name="汇总 5 2 4 4 2" xfId="11674"/>
    <cellStyle name="汇总 5 2 4 4 2 2" xfId="11675"/>
    <cellStyle name="汇总 5 2 4 4 3" xfId="11676"/>
    <cellStyle name="汇总 5 2 4 4 3 2" xfId="11677"/>
    <cellStyle name="汇总 5 2 4 4 4" xfId="11678"/>
    <cellStyle name="汇总 5 2 4 5" xfId="11679"/>
    <cellStyle name="汇总 5 2 4 5 2" xfId="11680"/>
    <cellStyle name="汇总 5 2 4 6" xfId="11681"/>
    <cellStyle name="汇总 5 2 4 6 2" xfId="11682"/>
    <cellStyle name="汇总 5 2 4 7" xfId="11683"/>
    <cellStyle name="汇总 5 2 5" xfId="11684"/>
    <cellStyle name="汇总 5 2 5 2" xfId="11685"/>
    <cellStyle name="汇总 5 2 5 2 2" xfId="11686"/>
    <cellStyle name="汇总 5 2 5 2 2 2" xfId="11687"/>
    <cellStyle name="汇总 5 2 5 2 3" xfId="11688"/>
    <cellStyle name="汇总 5 2 5 2 3 2" xfId="11689"/>
    <cellStyle name="汇总 5 2 5 2 4" xfId="11690"/>
    <cellStyle name="汇总 5 2 5 3" xfId="11691"/>
    <cellStyle name="汇总 5 2 5 3 2" xfId="11692"/>
    <cellStyle name="汇总 5 2 5 4" xfId="11693"/>
    <cellStyle name="汇总 5 2 5 4 2" xfId="11694"/>
    <cellStyle name="汇总 5 2 5 5" xfId="11695"/>
    <cellStyle name="汇总 5 2 6" xfId="11696"/>
    <cellStyle name="汇总 5 2 7" xfId="11697"/>
    <cellStyle name="汇总 5 2 7 2" xfId="11698"/>
    <cellStyle name="汇总 5 2 7 2 2" xfId="11699"/>
    <cellStyle name="汇总 5 2 7 3" xfId="11700"/>
    <cellStyle name="汇总 5 2 7 3 2" xfId="11701"/>
    <cellStyle name="汇总 5 2 7 4" xfId="11702"/>
    <cellStyle name="汇总 5 2 8" xfId="11703"/>
    <cellStyle name="汇总 5 2 8 2" xfId="11704"/>
    <cellStyle name="汇总 5 2 8 2 2" xfId="11705"/>
    <cellStyle name="汇总 5 2 8 3" xfId="11706"/>
    <cellStyle name="汇总 5 2 8 3 2" xfId="11707"/>
    <cellStyle name="汇总 5 2 8 4" xfId="11708"/>
    <cellStyle name="汇总 5 2 9" xfId="11709"/>
    <cellStyle name="汇总 5 2 9 2" xfId="11710"/>
    <cellStyle name="汇总 5 3" xfId="11711"/>
    <cellStyle name="汇总 5 3 2" xfId="11712"/>
    <cellStyle name="汇总 5 3 2 2" xfId="11713"/>
    <cellStyle name="汇总 5 3 2 2 2" xfId="11714"/>
    <cellStyle name="汇总 5 3 2 2 2 2" xfId="11715"/>
    <cellStyle name="汇总 5 3 2 2 2 2 2" xfId="11716"/>
    <cellStyle name="汇总 5 3 2 2 2 3" xfId="11717"/>
    <cellStyle name="汇总 5 3 2 2 2 3 2" xfId="11718"/>
    <cellStyle name="汇总 5 3 2 2 2 4" xfId="11719"/>
    <cellStyle name="汇总 5 3 2 2 3" xfId="11720"/>
    <cellStyle name="汇总 5 3 2 2 3 2" xfId="11721"/>
    <cellStyle name="汇总 5 3 2 2 4" xfId="11722"/>
    <cellStyle name="汇总 5 3 2 2 4 2" xfId="11723"/>
    <cellStyle name="汇总 5 3 2 2 5" xfId="11724"/>
    <cellStyle name="汇总 5 3 2 3" xfId="11725"/>
    <cellStyle name="汇总 5 3 2 3 2" xfId="11726"/>
    <cellStyle name="汇总 5 3 2 3 2 2" xfId="11727"/>
    <cellStyle name="汇总 5 3 2 3 3" xfId="11728"/>
    <cellStyle name="汇总 5 3 2 3 3 2" xfId="11729"/>
    <cellStyle name="汇总 5 3 2 3 4" xfId="11730"/>
    <cellStyle name="汇总 5 3 2 4" xfId="11731"/>
    <cellStyle name="汇总 5 3 2 4 2" xfId="11732"/>
    <cellStyle name="汇总 5 3 2 5" xfId="11733"/>
    <cellStyle name="汇总 5 3 2 5 2" xfId="11734"/>
    <cellStyle name="汇总 5 3 2 6" xfId="11735"/>
    <cellStyle name="汇总 5 3 3" xfId="11736"/>
    <cellStyle name="汇总 5 3 3 2" xfId="11737"/>
    <cellStyle name="汇总 5 3 3 2 2" xfId="11738"/>
    <cellStyle name="汇总 5 3 3 2 2 2" xfId="11739"/>
    <cellStyle name="汇总 5 3 3 2 3" xfId="11740"/>
    <cellStyle name="汇总 5 3 3 2 3 2" xfId="11741"/>
    <cellStyle name="汇总 5 3 3 2 4" xfId="11742"/>
    <cellStyle name="汇总 5 3 3 3" xfId="11743"/>
    <cellStyle name="汇总 5 3 3 3 2" xfId="11744"/>
    <cellStyle name="汇总 5 3 3 4" xfId="11745"/>
    <cellStyle name="汇总 5 3 3 4 2" xfId="11746"/>
    <cellStyle name="汇总 5 3 3 5" xfId="11747"/>
    <cellStyle name="汇总 5 3 4" xfId="11748"/>
    <cellStyle name="汇总 5 3 4 2" xfId="11749"/>
    <cellStyle name="汇总 5 3 4 2 2" xfId="11750"/>
    <cellStyle name="汇总 5 3 4 3" xfId="11751"/>
    <cellStyle name="汇总 5 3 4 3 2" xfId="11752"/>
    <cellStyle name="汇总 5 3 4 4" xfId="11753"/>
    <cellStyle name="汇总 5 3 5" xfId="11754"/>
    <cellStyle name="汇总 5 3 5 2" xfId="11755"/>
    <cellStyle name="汇总 5 3 6" xfId="11756"/>
    <cellStyle name="汇总 5 3 6 2" xfId="11757"/>
    <cellStyle name="汇总 5 3 7" xfId="11758"/>
    <cellStyle name="汇总 5 4" xfId="11759"/>
    <cellStyle name="汇总 5 4 2" xfId="11760"/>
    <cellStyle name="汇总 5 4 2 2" xfId="11761"/>
    <cellStyle name="汇总 5 4 2 2 2" xfId="11762"/>
    <cellStyle name="汇总 5 4 2 2 2 2" xfId="11763"/>
    <cellStyle name="汇总 5 4 2 2 3" xfId="11764"/>
    <cellStyle name="汇总 5 4 2 2 3 2" xfId="11765"/>
    <cellStyle name="汇总 5 4 2 2 4" xfId="11766"/>
    <cellStyle name="汇总 5 4 2 3" xfId="11767"/>
    <cellStyle name="汇总 5 4 2 3 2" xfId="11768"/>
    <cellStyle name="汇总 5 4 2 4" xfId="11769"/>
    <cellStyle name="汇总 5 4 2 4 2" xfId="11770"/>
    <cellStyle name="汇总 5 4 2 5" xfId="11771"/>
    <cellStyle name="汇总 5 4 3" xfId="11772"/>
    <cellStyle name="汇总 5 4 3 2" xfId="11773"/>
    <cellStyle name="汇总 5 4 3 2 2" xfId="11774"/>
    <cellStyle name="汇总 5 4 3 3" xfId="11775"/>
    <cellStyle name="汇总 5 4 3 3 2" xfId="11776"/>
    <cellStyle name="汇总 5 4 3 4" xfId="11777"/>
    <cellStyle name="汇总 5 4 4" xfId="11778"/>
    <cellStyle name="汇总 5 4 4 2" xfId="11779"/>
    <cellStyle name="汇总 5 4 5" xfId="11780"/>
    <cellStyle name="汇总 5 4 5 2" xfId="11781"/>
    <cellStyle name="汇总 5 4 6" xfId="11782"/>
    <cellStyle name="汇总 5 5" xfId="11783"/>
    <cellStyle name="汇总 5 5 2" xfId="11784"/>
    <cellStyle name="汇总 5 5 2 2" xfId="11785"/>
    <cellStyle name="汇总 5 5 2 2 2" xfId="11786"/>
    <cellStyle name="汇总 5 5 2 2 2 2" xfId="11787"/>
    <cellStyle name="汇总 5 5 2 2 3" xfId="11788"/>
    <cellStyle name="汇总 5 5 2 2 3 2" xfId="11789"/>
    <cellStyle name="汇总 5 5 2 2 4" xfId="11790"/>
    <cellStyle name="汇总 5 5 2 3" xfId="11791"/>
    <cellStyle name="汇总 5 5 2 3 2" xfId="11792"/>
    <cellStyle name="汇总 5 5 2 4" xfId="11793"/>
    <cellStyle name="汇总 5 5 2 4 2" xfId="11794"/>
    <cellStyle name="汇总 5 5 2 5" xfId="11795"/>
    <cellStyle name="汇总 5 5 3" xfId="11796"/>
    <cellStyle name="汇总 5 5 3 2" xfId="11797"/>
    <cellStyle name="汇总 5 5 3 2 2" xfId="11798"/>
    <cellStyle name="汇总 5 5 3 2 2 2" xfId="11799"/>
    <cellStyle name="汇总 5 5 3 2 3" xfId="11800"/>
    <cellStyle name="汇总 5 5 3 2 3 2" xfId="11801"/>
    <cellStyle name="汇总 5 5 3 2 4" xfId="11802"/>
    <cellStyle name="汇总 5 5 3 3" xfId="11803"/>
    <cellStyle name="汇总 5 5 3 3 2" xfId="11804"/>
    <cellStyle name="汇总 5 5 3 4" xfId="11805"/>
    <cellStyle name="汇总 5 5 3 4 2" xfId="11806"/>
    <cellStyle name="汇总 5 5 3 5" xfId="11807"/>
    <cellStyle name="汇总 5 5 4" xfId="11808"/>
    <cellStyle name="汇总 5 5 4 2" xfId="11809"/>
    <cellStyle name="汇总 5 5 4 2 2" xfId="11810"/>
    <cellStyle name="汇总 5 5 4 3" xfId="11811"/>
    <cellStyle name="汇总 5 5 4 3 2" xfId="11812"/>
    <cellStyle name="汇总 5 5 4 4" xfId="11813"/>
    <cellStyle name="汇总 5 5 5" xfId="11814"/>
    <cellStyle name="汇总 5 5 5 2" xfId="11815"/>
    <cellStyle name="汇总 5 5 6" xfId="11816"/>
    <cellStyle name="汇总 5 5 6 2" xfId="11817"/>
    <cellStyle name="汇总 5 5 7" xfId="11818"/>
    <cellStyle name="汇总 5 6" xfId="11819"/>
    <cellStyle name="汇总 5 7" xfId="11820"/>
    <cellStyle name="汇总 5 7 2" xfId="11821"/>
    <cellStyle name="汇总 5 7 2 2" xfId="11822"/>
    <cellStyle name="汇总 5 7 3" xfId="11823"/>
    <cellStyle name="汇总 5 7 3 2" xfId="11824"/>
    <cellStyle name="汇总 5 7 4" xfId="11825"/>
    <cellStyle name="汇总 5 8" xfId="11826"/>
    <cellStyle name="汇总 5 8 2" xfId="11827"/>
    <cellStyle name="汇总 5 8 2 2" xfId="11828"/>
    <cellStyle name="汇总 5 8 3" xfId="11829"/>
    <cellStyle name="汇总 5 8 3 2" xfId="11830"/>
    <cellStyle name="汇总 5 8 4" xfId="11831"/>
    <cellStyle name="汇总 5 9" xfId="11832"/>
    <cellStyle name="汇总 5 9 2" xfId="11833"/>
    <cellStyle name="汇总 6" xfId="11834"/>
    <cellStyle name="汇总 6 10" xfId="11835"/>
    <cellStyle name="汇总 6 10 2" xfId="11836"/>
    <cellStyle name="汇总 6 11" xfId="11837"/>
    <cellStyle name="汇总 6 12" xfId="11838"/>
    <cellStyle name="汇总 6 2" xfId="11839"/>
    <cellStyle name="汇总 6 2 10" xfId="11840"/>
    <cellStyle name="汇总 6 2 10 2" xfId="11841"/>
    <cellStyle name="汇总 6 2 11" xfId="11842"/>
    <cellStyle name="汇总 6 2 11 2" xfId="11843"/>
    <cellStyle name="汇总 6 2 12" xfId="11844"/>
    <cellStyle name="汇总 6 2 13" xfId="11845"/>
    <cellStyle name="汇总 6 2 2" xfId="11846"/>
    <cellStyle name="汇总 6 2 2 2" xfId="11847"/>
    <cellStyle name="汇总 6 2 2 2 2" xfId="11848"/>
    <cellStyle name="汇总 6 2 2 2 2 2" xfId="11849"/>
    <cellStyle name="汇总 6 2 2 2 2 2 2" xfId="11850"/>
    <cellStyle name="汇总 6 2 2 2 2 3" xfId="11851"/>
    <cellStyle name="汇总 6 2 2 2 2 3 2" xfId="11852"/>
    <cellStyle name="汇总 6 2 2 2 2 4" xfId="11853"/>
    <cellStyle name="汇总 6 2 2 2 3" xfId="11854"/>
    <cellStyle name="汇总 6 2 2 2 3 2" xfId="11855"/>
    <cellStyle name="汇总 6 2 2 2 4" xfId="11856"/>
    <cellStyle name="汇总 6 2 2 2 4 2" xfId="11857"/>
    <cellStyle name="汇总 6 2 2 2 5" xfId="11858"/>
    <cellStyle name="汇总 6 2 2 3" xfId="11859"/>
    <cellStyle name="汇总 6 2 2 3 2" xfId="11860"/>
    <cellStyle name="汇总 6 2 2 3 2 2" xfId="11861"/>
    <cellStyle name="汇总 6 2 2 3 3" xfId="11862"/>
    <cellStyle name="汇总 6 2 2 3 3 2" xfId="11863"/>
    <cellStyle name="汇总 6 2 2 3 4" xfId="11864"/>
    <cellStyle name="汇总 6 2 2 4" xfId="11865"/>
    <cellStyle name="汇总 6 2 2 4 2" xfId="11866"/>
    <cellStyle name="汇总 6 2 2 5" xfId="11867"/>
    <cellStyle name="汇总 6 2 2 5 2" xfId="11868"/>
    <cellStyle name="汇总 6 2 2 6" xfId="11869"/>
    <cellStyle name="汇总 6 2 3" xfId="11870"/>
    <cellStyle name="汇总 6 2 3 2" xfId="11871"/>
    <cellStyle name="汇总 6 2 3 2 2" xfId="11872"/>
    <cellStyle name="汇总 6 2 3 2 2 2" xfId="11873"/>
    <cellStyle name="汇总 6 2 3 2 2 2 2" xfId="11874"/>
    <cellStyle name="汇总 6 2 3 2 2 3" xfId="11875"/>
    <cellStyle name="汇总 6 2 3 2 2 3 2" xfId="11876"/>
    <cellStyle name="汇总 6 2 3 2 2 4" xfId="11877"/>
    <cellStyle name="汇总 6 2 3 2 3" xfId="11878"/>
    <cellStyle name="汇总 6 2 3 2 3 2" xfId="11879"/>
    <cellStyle name="汇总 6 2 3 2 4" xfId="11880"/>
    <cellStyle name="汇总 6 2 3 2 4 2" xfId="11881"/>
    <cellStyle name="汇总 6 2 3 2 5" xfId="11882"/>
    <cellStyle name="汇总 6 2 3 3" xfId="11883"/>
    <cellStyle name="汇总 6 2 3 3 2" xfId="11884"/>
    <cellStyle name="汇总 6 2 3 3 2 2" xfId="11885"/>
    <cellStyle name="汇总 6 2 3 3 2 2 2" xfId="11886"/>
    <cellStyle name="汇总 6 2 3 3 2 3" xfId="11887"/>
    <cellStyle name="汇总 6 2 3 3 2 3 2" xfId="11888"/>
    <cellStyle name="汇总 6 2 3 3 2 4" xfId="11889"/>
    <cellStyle name="汇总 6 2 3 3 3" xfId="11890"/>
    <cellStyle name="汇总 6 2 3 3 3 2" xfId="11891"/>
    <cellStyle name="汇总 6 2 3 3 4" xfId="11892"/>
    <cellStyle name="汇总 6 2 3 3 4 2" xfId="11893"/>
    <cellStyle name="汇总 6 2 3 3 5" xfId="11894"/>
    <cellStyle name="汇总 6 2 3 4" xfId="11895"/>
    <cellStyle name="汇总 6 2 3 4 2" xfId="11896"/>
    <cellStyle name="汇总 6 2 3 4 2 2" xfId="11897"/>
    <cellStyle name="汇总 6 2 3 4 3" xfId="11898"/>
    <cellStyle name="汇总 6 2 3 4 3 2" xfId="11899"/>
    <cellStyle name="汇总 6 2 3 4 4" xfId="11900"/>
    <cellStyle name="汇总 6 2 3 5" xfId="11901"/>
    <cellStyle name="汇总 6 2 3 5 2" xfId="11902"/>
    <cellStyle name="汇总 6 2 3 6" xfId="11903"/>
    <cellStyle name="汇总 6 2 3 6 2" xfId="11904"/>
    <cellStyle name="汇总 6 2 3 7" xfId="11905"/>
    <cellStyle name="汇总 6 2 4" xfId="11906"/>
    <cellStyle name="汇总 6 2 4 2" xfId="11907"/>
    <cellStyle name="汇总 6 2 4 2 2" xfId="11908"/>
    <cellStyle name="汇总 6 2 4 2 2 2" xfId="11909"/>
    <cellStyle name="汇总 6 2 4 2 2 2 2" xfId="11910"/>
    <cellStyle name="汇总 6 2 4 2 2 3" xfId="11911"/>
    <cellStyle name="汇总 6 2 4 2 2 3 2" xfId="11912"/>
    <cellStyle name="汇总 6 2 4 2 2 4" xfId="11913"/>
    <cellStyle name="汇总 6 2 4 2 3" xfId="11914"/>
    <cellStyle name="汇总 6 2 4 2 3 2" xfId="11915"/>
    <cellStyle name="汇总 6 2 4 2 4" xfId="11916"/>
    <cellStyle name="汇总 6 2 4 2 4 2" xfId="11917"/>
    <cellStyle name="汇总 6 2 4 2 5" xfId="11918"/>
    <cellStyle name="汇总 6 2 4 3" xfId="11919"/>
    <cellStyle name="汇总 6 2 4 3 2" xfId="11920"/>
    <cellStyle name="汇总 6 2 4 3 2 2" xfId="11921"/>
    <cellStyle name="汇总 6 2 4 3 2 2 2" xfId="11922"/>
    <cellStyle name="汇总 6 2 4 3 2 3" xfId="11923"/>
    <cellStyle name="汇总 6 2 4 3 2 3 2" xfId="11924"/>
    <cellStyle name="汇总 6 2 4 3 2 4" xfId="11925"/>
    <cellStyle name="汇总 6 2 4 3 3" xfId="11926"/>
    <cellStyle name="汇总 6 2 4 3 3 2" xfId="11927"/>
    <cellStyle name="汇总 6 2 4 3 4" xfId="11928"/>
    <cellStyle name="汇总 6 2 4 3 4 2" xfId="11929"/>
    <cellStyle name="汇总 6 2 4 3 5" xfId="11930"/>
    <cellStyle name="汇总 6 2 4 4" xfId="11931"/>
    <cellStyle name="汇总 6 2 4 4 2" xfId="11932"/>
    <cellStyle name="汇总 6 2 4 4 2 2" xfId="11933"/>
    <cellStyle name="汇总 6 2 4 4 3" xfId="11934"/>
    <cellStyle name="汇总 6 2 4 4 3 2" xfId="11935"/>
    <cellStyle name="汇总 6 2 4 4 4" xfId="11936"/>
    <cellStyle name="汇总 6 2 4 5" xfId="11937"/>
    <cellStyle name="汇总 6 2 4 5 2" xfId="11938"/>
    <cellStyle name="汇总 6 2 4 6" xfId="11939"/>
    <cellStyle name="汇总 6 2 4 6 2" xfId="11940"/>
    <cellStyle name="汇总 6 2 4 7" xfId="11941"/>
    <cellStyle name="汇总 6 2 5" xfId="11942"/>
    <cellStyle name="汇总 6 2 5 2" xfId="11943"/>
    <cellStyle name="汇总 6 2 5 2 2" xfId="11944"/>
    <cellStyle name="汇总 6 2 5 2 2 2" xfId="11945"/>
    <cellStyle name="汇总 6 2 5 2 3" xfId="11946"/>
    <cellStyle name="汇总 6 2 5 2 3 2" xfId="11947"/>
    <cellStyle name="汇总 6 2 5 2 4" xfId="11948"/>
    <cellStyle name="汇总 6 2 5 3" xfId="11949"/>
    <cellStyle name="汇总 6 2 5 3 2" xfId="11950"/>
    <cellStyle name="汇总 6 2 5 4" xfId="11951"/>
    <cellStyle name="汇总 6 2 5 4 2" xfId="11952"/>
    <cellStyle name="汇总 6 2 5 5" xfId="11953"/>
    <cellStyle name="汇总 6 2 6" xfId="11954"/>
    <cellStyle name="汇总 6 2 7" xfId="11955"/>
    <cellStyle name="汇总 6 2 7 2" xfId="11956"/>
    <cellStyle name="汇总 6 2 7 2 2" xfId="11957"/>
    <cellStyle name="汇总 6 2 7 3" xfId="11958"/>
    <cellStyle name="汇总 6 2 7 3 2" xfId="11959"/>
    <cellStyle name="汇总 6 2 7 4" xfId="11960"/>
    <cellStyle name="汇总 6 2 8" xfId="11961"/>
    <cellStyle name="汇总 6 2 8 2" xfId="11962"/>
    <cellStyle name="汇总 6 2 8 2 2" xfId="11963"/>
    <cellStyle name="汇总 6 2 8 3" xfId="11964"/>
    <cellStyle name="汇总 6 2 8 3 2" xfId="11965"/>
    <cellStyle name="汇总 6 2 8 4" xfId="11966"/>
    <cellStyle name="汇总 6 2 9" xfId="11967"/>
    <cellStyle name="汇总 6 2 9 2" xfId="11968"/>
    <cellStyle name="汇总 6 3" xfId="11969"/>
    <cellStyle name="汇总 6 3 2" xfId="11970"/>
    <cellStyle name="汇总 6 3 2 2" xfId="11971"/>
    <cellStyle name="汇总 6 3 2 2 2" xfId="11972"/>
    <cellStyle name="汇总 6 3 2 2 2 2" xfId="11973"/>
    <cellStyle name="汇总 6 3 2 2 2 2 2" xfId="11974"/>
    <cellStyle name="汇总 6 3 2 2 2 3" xfId="11975"/>
    <cellStyle name="汇总 6 3 2 2 2 3 2" xfId="11976"/>
    <cellStyle name="汇总 6 3 2 2 2 4" xfId="11977"/>
    <cellStyle name="汇总 6 3 2 2 3" xfId="11978"/>
    <cellStyle name="汇总 6 3 2 2 3 2" xfId="11979"/>
    <cellStyle name="汇总 6 3 2 2 4" xfId="11980"/>
    <cellStyle name="汇总 6 3 2 2 4 2" xfId="11981"/>
    <cellStyle name="汇总 6 3 2 2 5" xfId="11982"/>
    <cellStyle name="汇总 6 3 2 3" xfId="11983"/>
    <cellStyle name="汇总 6 3 2 3 2" xfId="11984"/>
    <cellStyle name="汇总 6 3 2 3 2 2" xfId="11985"/>
    <cellStyle name="汇总 6 3 2 3 3" xfId="11986"/>
    <cellStyle name="汇总 6 3 2 3 3 2" xfId="11987"/>
    <cellStyle name="汇总 6 3 2 3 4" xfId="11988"/>
    <cellStyle name="汇总 6 3 2 4" xfId="11989"/>
    <cellStyle name="汇总 6 3 2 4 2" xfId="11990"/>
    <cellStyle name="汇总 6 3 2 5" xfId="11991"/>
    <cellStyle name="汇总 6 3 2 5 2" xfId="11992"/>
    <cellStyle name="汇总 6 3 2 6" xfId="11993"/>
    <cellStyle name="汇总 6 3 3" xfId="11994"/>
    <cellStyle name="汇总 6 3 3 2" xfId="11995"/>
    <cellStyle name="汇总 6 3 3 2 2" xfId="11996"/>
    <cellStyle name="汇总 6 3 3 2 2 2" xfId="11997"/>
    <cellStyle name="汇总 6 3 3 2 3" xfId="11998"/>
    <cellStyle name="汇总 6 3 3 2 3 2" xfId="11999"/>
    <cellStyle name="汇总 6 3 3 2 4" xfId="12000"/>
    <cellStyle name="汇总 6 3 3 3" xfId="12001"/>
    <cellStyle name="汇总 6 3 3 3 2" xfId="12002"/>
    <cellStyle name="汇总 6 3 3 4" xfId="12003"/>
    <cellStyle name="汇总 6 3 3 4 2" xfId="12004"/>
    <cellStyle name="汇总 6 3 3 5" xfId="12005"/>
    <cellStyle name="汇总 6 3 4" xfId="12006"/>
    <cellStyle name="汇总 6 3 4 2" xfId="12007"/>
    <cellStyle name="汇总 6 3 4 2 2" xfId="12008"/>
    <cellStyle name="汇总 6 3 4 3" xfId="12009"/>
    <cellStyle name="汇总 6 3 4 3 2" xfId="12010"/>
    <cellStyle name="汇总 6 3 4 4" xfId="12011"/>
    <cellStyle name="汇总 6 3 5" xfId="12012"/>
    <cellStyle name="汇总 6 3 5 2" xfId="12013"/>
    <cellStyle name="汇总 6 3 6" xfId="12014"/>
    <cellStyle name="汇总 6 3 6 2" xfId="12015"/>
    <cellStyle name="汇总 6 3 7" xfId="12016"/>
    <cellStyle name="汇总 6 4" xfId="12017"/>
    <cellStyle name="汇总 6 4 2" xfId="12018"/>
    <cellStyle name="汇总 6 4 2 2" xfId="12019"/>
    <cellStyle name="汇总 6 4 2 2 2" xfId="12020"/>
    <cellStyle name="汇总 6 4 2 2 2 2" xfId="12021"/>
    <cellStyle name="汇总 6 4 2 2 3" xfId="12022"/>
    <cellStyle name="汇总 6 4 2 2 3 2" xfId="12023"/>
    <cellStyle name="汇总 6 4 2 2 4" xfId="12024"/>
    <cellStyle name="汇总 6 4 2 3" xfId="12025"/>
    <cellStyle name="汇总 6 4 2 3 2" xfId="12026"/>
    <cellStyle name="汇总 6 4 2 4" xfId="12027"/>
    <cellStyle name="汇总 6 4 2 4 2" xfId="12028"/>
    <cellStyle name="汇总 6 4 2 5" xfId="12029"/>
    <cellStyle name="汇总 6 4 3" xfId="12030"/>
    <cellStyle name="汇总 6 4 3 2" xfId="12031"/>
    <cellStyle name="汇总 6 4 3 2 2" xfId="12032"/>
    <cellStyle name="汇总 6 4 3 3" xfId="12033"/>
    <cellStyle name="汇总 6 4 3 3 2" xfId="12034"/>
    <cellStyle name="汇总 6 4 3 4" xfId="12035"/>
    <cellStyle name="汇总 6 4 4" xfId="12036"/>
    <cellStyle name="汇总 6 4 4 2" xfId="12037"/>
    <cellStyle name="汇总 6 4 5" xfId="12038"/>
    <cellStyle name="汇总 6 4 5 2" xfId="12039"/>
    <cellStyle name="汇总 6 4 6" xfId="12040"/>
    <cellStyle name="汇总 6 5" xfId="12041"/>
    <cellStyle name="汇总 6 5 2" xfId="12042"/>
    <cellStyle name="汇总 6 5 2 2" xfId="12043"/>
    <cellStyle name="汇总 6 5 2 2 2" xfId="12044"/>
    <cellStyle name="汇总 6 5 2 2 2 2" xfId="12045"/>
    <cellStyle name="汇总 6 5 2 2 3" xfId="12046"/>
    <cellStyle name="汇总 6 5 2 2 3 2" xfId="12047"/>
    <cellStyle name="汇总 6 5 2 2 4" xfId="12048"/>
    <cellStyle name="汇总 6 5 2 3" xfId="12049"/>
    <cellStyle name="汇总 6 5 2 3 2" xfId="12050"/>
    <cellStyle name="汇总 6 5 2 4" xfId="12051"/>
    <cellStyle name="汇总 6 5 2 4 2" xfId="12052"/>
    <cellStyle name="汇总 6 5 2 5" xfId="12053"/>
    <cellStyle name="汇总 6 5 3" xfId="12054"/>
    <cellStyle name="汇总 6 5 3 2" xfId="12055"/>
    <cellStyle name="汇总 6 5 3 2 2" xfId="12056"/>
    <cellStyle name="汇总 6 5 3 2 2 2" xfId="12057"/>
    <cellStyle name="汇总 6 5 3 2 3" xfId="12058"/>
    <cellStyle name="汇总 6 5 3 2 3 2" xfId="12059"/>
    <cellStyle name="汇总 6 5 3 2 4" xfId="12060"/>
    <cellStyle name="汇总 6 5 3 3" xfId="12061"/>
    <cellStyle name="汇总 6 5 3 3 2" xfId="12062"/>
    <cellStyle name="汇总 6 5 3 4" xfId="12063"/>
    <cellStyle name="汇总 6 5 3 4 2" xfId="12064"/>
    <cellStyle name="汇总 6 5 3 5" xfId="12065"/>
    <cellStyle name="汇总 6 5 4" xfId="12066"/>
    <cellStyle name="汇总 6 5 4 2" xfId="12067"/>
    <cellStyle name="汇总 6 5 4 2 2" xfId="12068"/>
    <cellStyle name="汇总 6 5 4 3" xfId="12069"/>
    <cellStyle name="汇总 6 5 4 3 2" xfId="12070"/>
    <cellStyle name="汇总 6 5 4 4" xfId="12071"/>
    <cellStyle name="汇总 6 5 5" xfId="12072"/>
    <cellStyle name="汇总 6 5 5 2" xfId="12073"/>
    <cellStyle name="汇总 6 5 6" xfId="12074"/>
    <cellStyle name="汇总 6 5 6 2" xfId="12075"/>
    <cellStyle name="汇总 6 5 7" xfId="12076"/>
    <cellStyle name="汇总 6 6" xfId="12077"/>
    <cellStyle name="汇总 6 7" xfId="12078"/>
    <cellStyle name="汇总 6 7 2" xfId="12079"/>
    <cellStyle name="汇总 6 7 2 2" xfId="12080"/>
    <cellStyle name="汇总 6 7 3" xfId="12081"/>
    <cellStyle name="汇总 6 7 3 2" xfId="12082"/>
    <cellStyle name="汇总 6 7 4" xfId="12083"/>
    <cellStyle name="汇总 6 8" xfId="12084"/>
    <cellStyle name="汇总 6 8 2" xfId="12085"/>
    <cellStyle name="汇总 6 8 2 2" xfId="12086"/>
    <cellStyle name="汇总 6 8 3" xfId="12087"/>
    <cellStyle name="汇总 6 8 3 2" xfId="12088"/>
    <cellStyle name="汇总 6 8 4" xfId="12089"/>
    <cellStyle name="汇总 6 9" xfId="12090"/>
    <cellStyle name="汇总 6 9 2" xfId="12091"/>
    <cellStyle name="汇总 7" xfId="12092"/>
    <cellStyle name="汇总 7 10" xfId="12093"/>
    <cellStyle name="汇总 7 10 2" xfId="12094"/>
    <cellStyle name="汇总 7 11" xfId="12095"/>
    <cellStyle name="汇总 7 12" xfId="12096"/>
    <cellStyle name="汇总 7 2" xfId="12097"/>
    <cellStyle name="汇总 7 2 10" xfId="12098"/>
    <cellStyle name="汇总 7 2 10 2" xfId="12099"/>
    <cellStyle name="汇总 7 2 11" xfId="12100"/>
    <cellStyle name="汇总 7 2 11 2" xfId="12101"/>
    <cellStyle name="汇总 7 2 12" xfId="12102"/>
    <cellStyle name="汇总 7 2 13" xfId="12103"/>
    <cellStyle name="汇总 7 2 2" xfId="12104"/>
    <cellStyle name="汇总 7 2 2 2" xfId="12105"/>
    <cellStyle name="汇总 7 2 2 2 2" xfId="12106"/>
    <cellStyle name="汇总 7 2 2 2 2 2" xfId="12107"/>
    <cellStyle name="汇总 7 2 2 2 2 2 2" xfId="12108"/>
    <cellStyle name="汇总 7 2 2 2 2 3" xfId="12109"/>
    <cellStyle name="汇总 7 2 2 2 2 3 2" xfId="12110"/>
    <cellStyle name="汇总 7 2 2 2 2 4" xfId="12111"/>
    <cellStyle name="汇总 7 2 2 2 3" xfId="12112"/>
    <cellStyle name="汇总 7 2 2 2 3 2" xfId="12113"/>
    <cellStyle name="汇总 7 2 2 2 4" xfId="12114"/>
    <cellStyle name="汇总 7 2 2 2 4 2" xfId="12115"/>
    <cellStyle name="汇总 7 2 2 2 5" xfId="12116"/>
    <cellStyle name="汇总 7 2 2 3" xfId="12117"/>
    <cellStyle name="汇总 7 2 2 3 2" xfId="12118"/>
    <cellStyle name="汇总 7 2 2 3 2 2" xfId="12119"/>
    <cellStyle name="汇总 7 2 2 3 3" xfId="12120"/>
    <cellStyle name="汇总 7 2 2 3 3 2" xfId="12121"/>
    <cellStyle name="汇总 7 2 2 3 4" xfId="12122"/>
    <cellStyle name="汇总 7 2 2 4" xfId="12123"/>
    <cellStyle name="汇总 7 2 2 4 2" xfId="12124"/>
    <cellStyle name="汇总 7 2 2 5" xfId="12125"/>
    <cellStyle name="汇总 7 2 2 5 2" xfId="12126"/>
    <cellStyle name="汇总 7 2 2 6" xfId="12127"/>
    <cellStyle name="汇总 7 2 3" xfId="12128"/>
    <cellStyle name="汇总 7 2 3 2" xfId="12129"/>
    <cellStyle name="汇总 7 2 3 2 2" xfId="12130"/>
    <cellStyle name="汇总 7 2 3 2 2 2" xfId="12131"/>
    <cellStyle name="汇总 7 2 3 2 2 2 2" xfId="12132"/>
    <cellStyle name="汇总 7 2 3 2 2 3" xfId="12133"/>
    <cellStyle name="汇总 7 2 3 2 2 3 2" xfId="12134"/>
    <cellStyle name="汇总 7 2 3 2 2 4" xfId="12135"/>
    <cellStyle name="汇总 7 2 3 2 3" xfId="12136"/>
    <cellStyle name="汇总 7 2 3 2 3 2" xfId="12137"/>
    <cellStyle name="汇总 7 2 3 2 4" xfId="12138"/>
    <cellStyle name="汇总 7 2 3 2 4 2" xfId="12139"/>
    <cellStyle name="汇总 7 2 3 2 5" xfId="12140"/>
    <cellStyle name="汇总 7 2 3 3" xfId="12141"/>
    <cellStyle name="汇总 7 2 3 3 2" xfId="12142"/>
    <cellStyle name="汇总 7 2 3 3 2 2" xfId="12143"/>
    <cellStyle name="汇总 7 2 3 3 2 2 2" xfId="12144"/>
    <cellStyle name="汇总 7 2 3 3 2 3" xfId="12145"/>
    <cellStyle name="汇总 7 2 3 3 2 3 2" xfId="12146"/>
    <cellStyle name="汇总 7 2 3 3 2 4" xfId="12147"/>
    <cellStyle name="汇总 7 2 3 3 3" xfId="12148"/>
    <cellStyle name="汇总 7 2 3 3 3 2" xfId="12149"/>
    <cellStyle name="汇总 7 2 3 3 4" xfId="12150"/>
    <cellStyle name="汇总 7 2 3 3 4 2" xfId="12151"/>
    <cellStyle name="汇总 7 2 3 3 5" xfId="12152"/>
    <cellStyle name="汇总 7 2 3 4" xfId="12153"/>
    <cellStyle name="汇总 7 2 3 4 2" xfId="12154"/>
    <cellStyle name="汇总 7 2 3 4 2 2" xfId="12155"/>
    <cellStyle name="汇总 7 2 3 4 3" xfId="12156"/>
    <cellStyle name="汇总 7 2 3 4 3 2" xfId="12157"/>
    <cellStyle name="汇总 7 2 3 4 4" xfId="12158"/>
    <cellStyle name="汇总 7 2 3 5" xfId="12159"/>
    <cellStyle name="汇总 7 2 3 5 2" xfId="12160"/>
    <cellStyle name="汇总 7 2 3 6" xfId="12161"/>
    <cellStyle name="汇总 7 2 3 6 2" xfId="12162"/>
    <cellStyle name="汇总 7 2 3 7" xfId="12163"/>
    <cellStyle name="汇总 7 2 4" xfId="12164"/>
    <cellStyle name="汇总 7 2 4 2" xfId="12165"/>
    <cellStyle name="汇总 7 2 4 2 2" xfId="12166"/>
    <cellStyle name="汇总 7 2 4 2 2 2" xfId="12167"/>
    <cellStyle name="汇总 7 2 4 2 2 2 2" xfId="12168"/>
    <cellStyle name="汇总 7 2 4 2 2 3" xfId="12169"/>
    <cellStyle name="汇总 7 2 4 2 2 3 2" xfId="12170"/>
    <cellStyle name="汇总 7 2 4 2 2 4" xfId="12171"/>
    <cellStyle name="汇总 7 2 4 2 3" xfId="12172"/>
    <cellStyle name="汇总 7 2 4 2 3 2" xfId="12173"/>
    <cellStyle name="汇总 7 2 4 2 4" xfId="12174"/>
    <cellStyle name="汇总 7 2 4 2 4 2" xfId="12175"/>
    <cellStyle name="汇总 7 2 4 2 5" xfId="12176"/>
    <cellStyle name="汇总 7 2 4 3" xfId="12177"/>
    <cellStyle name="汇总 7 2 4 3 2" xfId="12178"/>
    <cellStyle name="汇总 7 2 4 3 2 2" xfId="12179"/>
    <cellStyle name="汇总 7 2 4 3 2 2 2" xfId="12180"/>
    <cellStyle name="汇总 7 2 4 3 2 3" xfId="12181"/>
    <cellStyle name="汇总 7 2 4 3 2 3 2" xfId="12182"/>
    <cellStyle name="汇总 7 2 4 3 2 4" xfId="12183"/>
    <cellStyle name="汇总 7 2 4 3 3" xfId="12184"/>
    <cellStyle name="汇总 7 2 4 3 3 2" xfId="12185"/>
    <cellStyle name="汇总 7 2 4 3 4" xfId="12186"/>
    <cellStyle name="汇总 7 2 4 3 4 2" xfId="12187"/>
    <cellStyle name="汇总 7 2 4 3 5" xfId="12188"/>
    <cellStyle name="汇总 7 2 4 4" xfId="12189"/>
    <cellStyle name="汇总 7 2 4 4 2" xfId="12190"/>
    <cellStyle name="汇总 7 2 4 4 2 2" xfId="12191"/>
    <cellStyle name="汇总 7 2 4 4 3" xfId="12192"/>
    <cellStyle name="汇总 7 2 4 4 3 2" xfId="12193"/>
    <cellStyle name="汇总 7 2 4 4 4" xfId="12194"/>
    <cellStyle name="汇总 7 2 4 5" xfId="12195"/>
    <cellStyle name="汇总 7 2 4 5 2" xfId="12196"/>
    <cellStyle name="汇总 7 2 4 6" xfId="12197"/>
    <cellStyle name="汇总 7 2 4 6 2" xfId="12198"/>
    <cellStyle name="汇总 7 2 4 7" xfId="12199"/>
    <cellStyle name="汇总 7 2 5" xfId="12200"/>
    <cellStyle name="汇总 7 2 5 2" xfId="12201"/>
    <cellStyle name="汇总 7 2 5 2 2" xfId="12202"/>
    <cellStyle name="汇总 7 2 5 2 2 2" xfId="12203"/>
    <cellStyle name="汇总 7 2 5 2 3" xfId="12204"/>
    <cellStyle name="汇总 7 2 5 2 3 2" xfId="12205"/>
    <cellStyle name="汇总 7 2 5 2 4" xfId="12206"/>
    <cellStyle name="汇总 7 2 5 3" xfId="12207"/>
    <cellStyle name="汇总 7 2 5 3 2" xfId="12208"/>
    <cellStyle name="汇总 7 2 5 4" xfId="12209"/>
    <cellStyle name="汇总 7 2 5 4 2" xfId="12210"/>
    <cellStyle name="汇总 7 2 5 5" xfId="12211"/>
    <cellStyle name="汇总 7 2 6" xfId="12212"/>
    <cellStyle name="汇总 7 2 7" xfId="12213"/>
    <cellStyle name="汇总 7 2 7 2" xfId="12214"/>
    <cellStyle name="汇总 7 2 7 2 2" xfId="12215"/>
    <cellStyle name="汇总 7 2 7 3" xfId="12216"/>
    <cellStyle name="汇总 7 2 7 3 2" xfId="12217"/>
    <cellStyle name="汇总 7 2 7 4" xfId="12218"/>
    <cellStyle name="汇总 7 2 8" xfId="12219"/>
    <cellStyle name="汇总 7 2 8 2" xfId="12220"/>
    <cellStyle name="汇总 7 2 8 2 2" xfId="12221"/>
    <cellStyle name="汇总 7 2 8 3" xfId="12222"/>
    <cellStyle name="汇总 7 2 8 3 2" xfId="12223"/>
    <cellStyle name="汇总 7 2 8 4" xfId="12224"/>
    <cellStyle name="汇总 7 2 9" xfId="12225"/>
    <cellStyle name="汇总 7 2 9 2" xfId="12226"/>
    <cellStyle name="汇总 7 3" xfId="12227"/>
    <cellStyle name="汇总 7 3 2" xfId="12228"/>
    <cellStyle name="汇总 7 3 2 2" xfId="12229"/>
    <cellStyle name="汇总 7 3 2 2 2" xfId="12230"/>
    <cellStyle name="汇总 7 3 2 2 2 2" xfId="12231"/>
    <cellStyle name="汇总 7 3 2 2 2 2 2" xfId="12232"/>
    <cellStyle name="汇总 7 3 2 2 2 3" xfId="12233"/>
    <cellStyle name="汇总 7 3 2 2 2 3 2" xfId="12234"/>
    <cellStyle name="汇总 7 3 2 2 2 4" xfId="12235"/>
    <cellStyle name="汇总 7 3 2 2 3" xfId="12236"/>
    <cellStyle name="汇总 7 3 2 2 3 2" xfId="12237"/>
    <cellStyle name="汇总 7 3 2 2 4" xfId="12238"/>
    <cellStyle name="汇总 7 3 2 2 4 2" xfId="12239"/>
    <cellStyle name="汇总 7 3 2 2 5" xfId="12240"/>
    <cellStyle name="汇总 7 3 2 3" xfId="12241"/>
    <cellStyle name="汇总 7 3 2 3 2" xfId="12242"/>
    <cellStyle name="汇总 7 3 2 3 2 2" xfId="12243"/>
    <cellStyle name="汇总 7 3 2 3 3" xfId="12244"/>
    <cellStyle name="汇总 7 3 2 3 3 2" xfId="12245"/>
    <cellStyle name="汇总 7 3 2 3 4" xfId="12246"/>
    <cellStyle name="汇总 7 3 2 4" xfId="12247"/>
    <cellStyle name="汇总 7 3 2 4 2" xfId="12248"/>
    <cellStyle name="汇总 7 3 2 5" xfId="12249"/>
    <cellStyle name="汇总 7 3 2 5 2" xfId="12250"/>
    <cellStyle name="汇总 7 3 2 6" xfId="12251"/>
    <cellStyle name="汇总 7 3 3" xfId="12252"/>
    <cellStyle name="汇总 7 3 3 2" xfId="12253"/>
    <cellStyle name="汇总 7 3 3 2 2" xfId="12254"/>
    <cellStyle name="汇总 7 3 3 2 2 2" xfId="12255"/>
    <cellStyle name="汇总 7 3 3 2 3" xfId="12256"/>
    <cellStyle name="汇总 7 3 3 2 3 2" xfId="12257"/>
    <cellStyle name="汇总 7 3 3 2 4" xfId="12258"/>
    <cellStyle name="汇总 7 3 3 3" xfId="12259"/>
    <cellStyle name="汇总 7 3 3 3 2" xfId="12260"/>
    <cellStyle name="汇总 7 3 3 4" xfId="12261"/>
    <cellStyle name="汇总 7 3 3 4 2" xfId="12262"/>
    <cellStyle name="汇总 7 3 3 5" xfId="12263"/>
    <cellStyle name="汇总 7 3 4" xfId="12264"/>
    <cellStyle name="汇总 7 3 4 2" xfId="12265"/>
    <cellStyle name="汇总 7 3 4 2 2" xfId="12266"/>
    <cellStyle name="汇总 7 3 4 3" xfId="12267"/>
    <cellStyle name="汇总 7 3 4 3 2" xfId="12268"/>
    <cellStyle name="汇总 7 3 4 4" xfId="12269"/>
    <cellStyle name="汇总 7 3 5" xfId="12270"/>
    <cellStyle name="汇总 7 3 5 2" xfId="12271"/>
    <cellStyle name="汇总 7 3 6" xfId="12272"/>
    <cellStyle name="汇总 7 3 6 2" xfId="12273"/>
    <cellStyle name="汇总 7 3 7" xfId="12274"/>
    <cellStyle name="汇总 7 4" xfId="12275"/>
    <cellStyle name="汇总 7 4 2" xfId="12276"/>
    <cellStyle name="汇总 7 4 2 2" xfId="12277"/>
    <cellStyle name="汇总 7 4 2 2 2" xfId="12278"/>
    <cellStyle name="汇总 7 4 2 2 2 2" xfId="12279"/>
    <cellStyle name="汇总 7 4 2 2 3" xfId="12280"/>
    <cellStyle name="汇总 7 4 2 2 3 2" xfId="12281"/>
    <cellStyle name="汇总 7 4 2 2 4" xfId="12282"/>
    <cellStyle name="汇总 7 4 2 3" xfId="12283"/>
    <cellStyle name="汇总 7 4 2 3 2" xfId="12284"/>
    <cellStyle name="汇总 7 4 2 4" xfId="12285"/>
    <cellStyle name="汇总 7 4 2 4 2" xfId="12286"/>
    <cellStyle name="汇总 7 4 2 5" xfId="12287"/>
    <cellStyle name="汇总 7 4 3" xfId="12288"/>
    <cellStyle name="汇总 7 4 3 2" xfId="12289"/>
    <cellStyle name="汇总 7 4 3 2 2" xfId="12290"/>
    <cellStyle name="汇总 7 4 3 3" xfId="12291"/>
    <cellStyle name="汇总 7 4 3 3 2" xfId="12292"/>
    <cellStyle name="汇总 7 4 3 4" xfId="12293"/>
    <cellStyle name="汇总 7 4 4" xfId="12294"/>
    <cellStyle name="汇总 7 4 4 2" xfId="12295"/>
    <cellStyle name="汇总 7 4 5" xfId="12296"/>
    <cellStyle name="汇总 7 4 5 2" xfId="12297"/>
    <cellStyle name="汇总 7 4 6" xfId="12298"/>
    <cellStyle name="汇总 7 5" xfId="12299"/>
    <cellStyle name="汇总 7 5 2" xfId="12300"/>
    <cellStyle name="汇总 7 5 2 2" xfId="12301"/>
    <cellStyle name="汇总 7 5 2 2 2" xfId="12302"/>
    <cellStyle name="汇总 7 5 2 2 2 2" xfId="12303"/>
    <cellStyle name="汇总 7 5 2 2 3" xfId="12304"/>
    <cellStyle name="汇总 7 5 2 2 3 2" xfId="12305"/>
    <cellStyle name="汇总 7 5 2 2 4" xfId="12306"/>
    <cellStyle name="汇总 7 5 2 3" xfId="12307"/>
    <cellStyle name="汇总 7 5 2 3 2" xfId="12308"/>
    <cellStyle name="汇总 7 5 2 4" xfId="12309"/>
    <cellStyle name="汇总 7 5 2 4 2" xfId="12310"/>
    <cellStyle name="汇总 7 5 2 5" xfId="12311"/>
    <cellStyle name="汇总 7 5 3" xfId="12312"/>
    <cellStyle name="汇总 7 5 3 2" xfId="12313"/>
    <cellStyle name="汇总 7 5 3 2 2" xfId="12314"/>
    <cellStyle name="汇总 7 5 3 2 2 2" xfId="12315"/>
    <cellStyle name="汇总 7 5 3 2 3" xfId="12316"/>
    <cellStyle name="汇总 7 5 3 2 3 2" xfId="12317"/>
    <cellStyle name="汇总 7 5 3 2 4" xfId="12318"/>
    <cellStyle name="汇总 7 5 3 3" xfId="12319"/>
    <cellStyle name="汇总 7 5 3 3 2" xfId="12320"/>
    <cellStyle name="汇总 7 5 3 4" xfId="12321"/>
    <cellStyle name="汇总 7 5 3 4 2" xfId="12322"/>
    <cellStyle name="汇总 7 5 3 5" xfId="12323"/>
    <cellStyle name="汇总 7 5 4" xfId="12324"/>
    <cellStyle name="汇总 7 5 4 2" xfId="12325"/>
    <cellStyle name="汇总 7 5 4 2 2" xfId="12326"/>
    <cellStyle name="汇总 7 5 4 3" xfId="12327"/>
    <cellStyle name="汇总 7 5 4 3 2" xfId="12328"/>
    <cellStyle name="汇总 7 5 4 4" xfId="12329"/>
    <cellStyle name="汇总 7 5 5" xfId="12330"/>
    <cellStyle name="汇总 7 5 5 2" xfId="12331"/>
    <cellStyle name="汇总 7 5 6" xfId="12332"/>
    <cellStyle name="汇总 7 5 6 2" xfId="12333"/>
    <cellStyle name="汇总 7 5 7" xfId="12334"/>
    <cellStyle name="汇总 7 6" xfId="12335"/>
    <cellStyle name="汇总 7 7" xfId="12336"/>
    <cellStyle name="汇总 7 7 2" xfId="12337"/>
    <cellStyle name="汇总 7 7 2 2" xfId="12338"/>
    <cellStyle name="汇总 7 7 3" xfId="12339"/>
    <cellStyle name="汇总 7 7 3 2" xfId="12340"/>
    <cellStyle name="汇总 7 7 4" xfId="12341"/>
    <cellStyle name="汇总 7 8" xfId="12342"/>
    <cellStyle name="汇总 7 8 2" xfId="12343"/>
    <cellStyle name="汇总 7 8 2 2" xfId="12344"/>
    <cellStyle name="汇总 7 8 3" xfId="12345"/>
    <cellStyle name="汇总 7 8 3 2" xfId="12346"/>
    <cellStyle name="汇总 7 8 4" xfId="12347"/>
    <cellStyle name="汇总 7 9" xfId="12348"/>
    <cellStyle name="汇总 7 9 2" xfId="12349"/>
    <cellStyle name="货币 2" xfId="12350"/>
    <cellStyle name="计算 2" xfId="12351"/>
    <cellStyle name="计算 2 10" xfId="12352"/>
    <cellStyle name="计算 2 10 2" xfId="12353"/>
    <cellStyle name="计算 2 11" xfId="12354"/>
    <cellStyle name="计算 2 12" xfId="12355"/>
    <cellStyle name="计算 2 2" xfId="12356"/>
    <cellStyle name="计算 2 2 10" xfId="12357"/>
    <cellStyle name="计算 2 2 10 2" xfId="12358"/>
    <cellStyle name="计算 2 2 11" xfId="12359"/>
    <cellStyle name="计算 2 2 11 2" xfId="12360"/>
    <cellStyle name="计算 2 2 12" xfId="12361"/>
    <cellStyle name="计算 2 2 13" xfId="12362"/>
    <cellStyle name="计算 2 2 2" xfId="12363"/>
    <cellStyle name="计算 2 2 2 2" xfId="12364"/>
    <cellStyle name="计算 2 2 2 2 2" xfId="12365"/>
    <cellStyle name="计算 2 2 2 2 2 2" xfId="12366"/>
    <cellStyle name="计算 2 2 2 2 2 2 2" xfId="12367"/>
    <cellStyle name="计算 2 2 2 2 2 3" xfId="12368"/>
    <cellStyle name="计算 2 2 2 2 2 3 2" xfId="12369"/>
    <cellStyle name="计算 2 2 2 2 2 4" xfId="12370"/>
    <cellStyle name="计算 2 2 2 2 3" xfId="12371"/>
    <cellStyle name="计算 2 2 2 2 3 2" xfId="12372"/>
    <cellStyle name="计算 2 2 2 2 4" xfId="12373"/>
    <cellStyle name="计算 2 2 2 2 4 2" xfId="12374"/>
    <cellStyle name="计算 2 2 2 2 5" xfId="12375"/>
    <cellStyle name="计算 2 2 2 3" xfId="12376"/>
    <cellStyle name="计算 2 2 2 3 2" xfId="12377"/>
    <cellStyle name="计算 2 2 2 3 2 2" xfId="12378"/>
    <cellStyle name="计算 2 2 2 3 3" xfId="12379"/>
    <cellStyle name="计算 2 2 2 3 3 2" xfId="12380"/>
    <cellStyle name="计算 2 2 2 3 4" xfId="12381"/>
    <cellStyle name="计算 2 2 2 4" xfId="12382"/>
    <cellStyle name="计算 2 2 2 4 2" xfId="12383"/>
    <cellStyle name="计算 2 2 2 5" xfId="12384"/>
    <cellStyle name="计算 2 2 2 5 2" xfId="12385"/>
    <cellStyle name="计算 2 2 2 6" xfId="12386"/>
    <cellStyle name="计算 2 2 3" xfId="12387"/>
    <cellStyle name="计算 2 2 3 2" xfId="12388"/>
    <cellStyle name="计算 2 2 3 2 2" xfId="12389"/>
    <cellStyle name="计算 2 2 3 2 2 2" xfId="12390"/>
    <cellStyle name="计算 2 2 3 2 2 2 2" xfId="12391"/>
    <cellStyle name="计算 2 2 3 2 2 3" xfId="12392"/>
    <cellStyle name="计算 2 2 3 2 2 3 2" xfId="12393"/>
    <cellStyle name="计算 2 2 3 2 2 4" xfId="12394"/>
    <cellStyle name="计算 2 2 3 2 3" xfId="12395"/>
    <cellStyle name="计算 2 2 3 2 3 2" xfId="12396"/>
    <cellStyle name="计算 2 2 3 2 4" xfId="12397"/>
    <cellStyle name="计算 2 2 3 2 4 2" xfId="12398"/>
    <cellStyle name="计算 2 2 3 2 5" xfId="12399"/>
    <cellStyle name="计算 2 2 3 3" xfId="12400"/>
    <cellStyle name="计算 2 2 3 3 2" xfId="12401"/>
    <cellStyle name="计算 2 2 3 3 2 2" xfId="12402"/>
    <cellStyle name="计算 2 2 3 3 2 2 2" xfId="12403"/>
    <cellStyle name="计算 2 2 3 3 2 3" xfId="12404"/>
    <cellStyle name="计算 2 2 3 3 2 3 2" xfId="12405"/>
    <cellStyle name="计算 2 2 3 3 2 4" xfId="12406"/>
    <cellStyle name="计算 2 2 3 3 3" xfId="12407"/>
    <cellStyle name="计算 2 2 3 3 3 2" xfId="12408"/>
    <cellStyle name="计算 2 2 3 3 4" xfId="12409"/>
    <cellStyle name="计算 2 2 3 3 4 2" xfId="12410"/>
    <cellStyle name="计算 2 2 3 3 5" xfId="12411"/>
    <cellStyle name="计算 2 2 3 4" xfId="12412"/>
    <cellStyle name="计算 2 2 3 4 2" xfId="12413"/>
    <cellStyle name="计算 2 2 3 4 2 2" xfId="12414"/>
    <cellStyle name="计算 2 2 3 4 3" xfId="12415"/>
    <cellStyle name="计算 2 2 3 4 3 2" xfId="12416"/>
    <cellStyle name="计算 2 2 3 4 4" xfId="12417"/>
    <cellStyle name="计算 2 2 3 5" xfId="12418"/>
    <cellStyle name="计算 2 2 3 5 2" xfId="12419"/>
    <cellStyle name="计算 2 2 3 6" xfId="12420"/>
    <cellStyle name="计算 2 2 3 6 2" xfId="12421"/>
    <cellStyle name="计算 2 2 3 7" xfId="12422"/>
    <cellStyle name="计算 2 2 4" xfId="12423"/>
    <cellStyle name="计算 2 2 4 2" xfId="12424"/>
    <cellStyle name="计算 2 2 4 2 2" xfId="12425"/>
    <cellStyle name="计算 2 2 4 2 2 2" xfId="12426"/>
    <cellStyle name="计算 2 2 4 2 2 2 2" xfId="12427"/>
    <cellStyle name="计算 2 2 4 2 2 3" xfId="12428"/>
    <cellStyle name="计算 2 2 4 2 2 3 2" xfId="12429"/>
    <cellStyle name="计算 2 2 4 2 2 4" xfId="12430"/>
    <cellStyle name="计算 2 2 4 2 3" xfId="12431"/>
    <cellStyle name="计算 2 2 4 2 3 2" xfId="12432"/>
    <cellStyle name="计算 2 2 4 2 4" xfId="12433"/>
    <cellStyle name="计算 2 2 4 2 4 2" xfId="12434"/>
    <cellStyle name="计算 2 2 4 2 5" xfId="12435"/>
    <cellStyle name="计算 2 2 4 3" xfId="12436"/>
    <cellStyle name="计算 2 2 4 3 2" xfId="12437"/>
    <cellStyle name="计算 2 2 4 3 2 2" xfId="12438"/>
    <cellStyle name="计算 2 2 4 3 2 2 2" xfId="12439"/>
    <cellStyle name="计算 2 2 4 3 2 3" xfId="12440"/>
    <cellStyle name="计算 2 2 4 3 2 3 2" xfId="12441"/>
    <cellStyle name="计算 2 2 4 3 2 4" xfId="12442"/>
    <cellStyle name="计算 2 2 4 3 3" xfId="12443"/>
    <cellStyle name="计算 2 2 4 3 3 2" xfId="12444"/>
    <cellStyle name="计算 2 2 4 3 4" xfId="12445"/>
    <cellStyle name="计算 2 2 4 3 4 2" xfId="12446"/>
    <cellStyle name="计算 2 2 4 3 5" xfId="12447"/>
    <cellStyle name="计算 2 2 4 4" xfId="12448"/>
    <cellStyle name="计算 2 2 4 4 2" xfId="12449"/>
    <cellStyle name="计算 2 2 4 4 2 2" xfId="12450"/>
    <cellStyle name="计算 2 2 4 4 3" xfId="12451"/>
    <cellStyle name="计算 2 2 4 4 3 2" xfId="12452"/>
    <cellStyle name="计算 2 2 4 4 4" xfId="12453"/>
    <cellStyle name="计算 2 2 4 5" xfId="12454"/>
    <cellStyle name="计算 2 2 4 5 2" xfId="12455"/>
    <cellStyle name="计算 2 2 4 6" xfId="12456"/>
    <cellStyle name="计算 2 2 4 6 2" xfId="12457"/>
    <cellStyle name="计算 2 2 4 7" xfId="12458"/>
    <cellStyle name="计算 2 2 5" xfId="12459"/>
    <cellStyle name="计算 2 2 5 2" xfId="12460"/>
    <cellStyle name="计算 2 2 5 2 2" xfId="12461"/>
    <cellStyle name="计算 2 2 5 2 2 2" xfId="12462"/>
    <cellStyle name="计算 2 2 5 2 3" xfId="12463"/>
    <cellStyle name="计算 2 2 5 2 3 2" xfId="12464"/>
    <cellStyle name="计算 2 2 5 2 4" xfId="12465"/>
    <cellStyle name="计算 2 2 5 3" xfId="12466"/>
    <cellStyle name="计算 2 2 5 3 2" xfId="12467"/>
    <cellStyle name="计算 2 2 5 4" xfId="12468"/>
    <cellStyle name="计算 2 2 5 4 2" xfId="12469"/>
    <cellStyle name="计算 2 2 5 5" xfId="12470"/>
    <cellStyle name="计算 2 2 6" xfId="12471"/>
    <cellStyle name="计算 2 2 7" xfId="12472"/>
    <cellStyle name="计算 2 2 7 2" xfId="12473"/>
    <cellStyle name="计算 2 2 7 2 2" xfId="12474"/>
    <cellStyle name="计算 2 2 7 3" xfId="12475"/>
    <cellStyle name="计算 2 2 7 3 2" xfId="12476"/>
    <cellStyle name="计算 2 2 7 4" xfId="12477"/>
    <cellStyle name="计算 2 2 8" xfId="12478"/>
    <cellStyle name="计算 2 2 8 2" xfId="12479"/>
    <cellStyle name="计算 2 2 8 2 2" xfId="12480"/>
    <cellStyle name="计算 2 2 8 3" xfId="12481"/>
    <cellStyle name="计算 2 2 8 3 2" xfId="12482"/>
    <cellStyle name="计算 2 2 8 4" xfId="12483"/>
    <cellStyle name="计算 2 2 9" xfId="12484"/>
    <cellStyle name="计算 2 2 9 2" xfId="12485"/>
    <cellStyle name="计算 2 3" xfId="12486"/>
    <cellStyle name="计算 2 3 2" xfId="12487"/>
    <cellStyle name="计算 2 3 2 2" xfId="12488"/>
    <cellStyle name="计算 2 3 2 2 2" xfId="12489"/>
    <cellStyle name="计算 2 3 2 2 2 2" xfId="12490"/>
    <cellStyle name="计算 2 3 2 2 2 2 2" xfId="12491"/>
    <cellStyle name="计算 2 3 2 2 2 3" xfId="12492"/>
    <cellStyle name="计算 2 3 2 2 2 3 2" xfId="12493"/>
    <cellStyle name="计算 2 3 2 2 2 4" xfId="12494"/>
    <cellStyle name="计算 2 3 2 2 3" xfId="12495"/>
    <cellStyle name="计算 2 3 2 2 3 2" xfId="12496"/>
    <cellStyle name="计算 2 3 2 2 4" xfId="12497"/>
    <cellStyle name="计算 2 3 2 2 4 2" xfId="12498"/>
    <cellStyle name="计算 2 3 2 2 5" xfId="12499"/>
    <cellStyle name="计算 2 3 2 3" xfId="12500"/>
    <cellStyle name="计算 2 3 2 3 2" xfId="12501"/>
    <cellStyle name="计算 2 3 2 3 2 2" xfId="12502"/>
    <cellStyle name="计算 2 3 2 3 3" xfId="12503"/>
    <cellStyle name="计算 2 3 2 3 3 2" xfId="12504"/>
    <cellStyle name="计算 2 3 2 3 4" xfId="12505"/>
    <cellStyle name="计算 2 3 2 4" xfId="12506"/>
    <cellStyle name="计算 2 3 2 4 2" xfId="12507"/>
    <cellStyle name="计算 2 3 2 5" xfId="12508"/>
    <cellStyle name="计算 2 3 2 5 2" xfId="12509"/>
    <cellStyle name="计算 2 3 2 6" xfId="12510"/>
    <cellStyle name="计算 2 3 3" xfId="12511"/>
    <cellStyle name="计算 2 3 3 2" xfId="12512"/>
    <cellStyle name="计算 2 3 3 2 2" xfId="12513"/>
    <cellStyle name="计算 2 3 3 2 2 2" xfId="12514"/>
    <cellStyle name="计算 2 3 3 2 3" xfId="12515"/>
    <cellStyle name="计算 2 3 3 2 3 2" xfId="12516"/>
    <cellStyle name="计算 2 3 3 2 4" xfId="12517"/>
    <cellStyle name="计算 2 3 3 3" xfId="12518"/>
    <cellStyle name="计算 2 3 3 3 2" xfId="12519"/>
    <cellStyle name="计算 2 3 3 4" xfId="12520"/>
    <cellStyle name="计算 2 3 3 4 2" xfId="12521"/>
    <cellStyle name="计算 2 3 3 5" xfId="12522"/>
    <cellStyle name="计算 2 3 4" xfId="12523"/>
    <cellStyle name="计算 2 3 4 2" xfId="12524"/>
    <cellStyle name="计算 2 3 4 2 2" xfId="12525"/>
    <cellStyle name="计算 2 3 4 3" xfId="12526"/>
    <cellStyle name="计算 2 3 4 3 2" xfId="12527"/>
    <cellStyle name="计算 2 3 4 4" xfId="12528"/>
    <cellStyle name="计算 2 3 5" xfId="12529"/>
    <cellStyle name="计算 2 3 5 2" xfId="12530"/>
    <cellStyle name="计算 2 3 6" xfId="12531"/>
    <cellStyle name="计算 2 3 6 2" xfId="12532"/>
    <cellStyle name="计算 2 3 7" xfId="12533"/>
    <cellStyle name="计算 2 4" xfId="12534"/>
    <cellStyle name="计算 2 4 2" xfId="12535"/>
    <cellStyle name="计算 2 4 2 2" xfId="12536"/>
    <cellStyle name="计算 2 4 2 2 2" xfId="12537"/>
    <cellStyle name="计算 2 4 2 2 2 2" xfId="12538"/>
    <cellStyle name="计算 2 4 2 2 3" xfId="12539"/>
    <cellStyle name="计算 2 4 2 2 3 2" xfId="12540"/>
    <cellStyle name="计算 2 4 2 2 4" xfId="12541"/>
    <cellStyle name="计算 2 4 2 3" xfId="12542"/>
    <cellStyle name="计算 2 4 2 3 2" xfId="12543"/>
    <cellStyle name="计算 2 4 2 4" xfId="12544"/>
    <cellStyle name="计算 2 4 2 4 2" xfId="12545"/>
    <cellStyle name="计算 2 4 2 5" xfId="12546"/>
    <cellStyle name="计算 2 4 3" xfId="12547"/>
    <cellStyle name="计算 2 4 3 2" xfId="12548"/>
    <cellStyle name="计算 2 4 3 2 2" xfId="12549"/>
    <cellStyle name="计算 2 4 3 3" xfId="12550"/>
    <cellStyle name="计算 2 4 3 3 2" xfId="12551"/>
    <cellStyle name="计算 2 4 3 4" xfId="12552"/>
    <cellStyle name="计算 2 4 4" xfId="12553"/>
    <cellStyle name="计算 2 4 4 2" xfId="12554"/>
    <cellStyle name="计算 2 4 5" xfId="12555"/>
    <cellStyle name="计算 2 4 5 2" xfId="12556"/>
    <cellStyle name="计算 2 4 6" xfId="12557"/>
    <cellStyle name="计算 2 5" xfId="12558"/>
    <cellStyle name="计算 2 5 2" xfId="12559"/>
    <cellStyle name="计算 2 5 2 2" xfId="12560"/>
    <cellStyle name="计算 2 5 2 2 2" xfId="12561"/>
    <cellStyle name="计算 2 5 2 2 2 2" xfId="12562"/>
    <cellStyle name="计算 2 5 2 2 3" xfId="12563"/>
    <cellStyle name="计算 2 5 2 2 3 2" xfId="12564"/>
    <cellStyle name="计算 2 5 2 2 4" xfId="12565"/>
    <cellStyle name="计算 2 5 2 3" xfId="12566"/>
    <cellStyle name="计算 2 5 2 3 2" xfId="12567"/>
    <cellStyle name="计算 2 5 2 4" xfId="12568"/>
    <cellStyle name="计算 2 5 2 4 2" xfId="12569"/>
    <cellStyle name="计算 2 5 2 5" xfId="12570"/>
    <cellStyle name="计算 2 5 3" xfId="12571"/>
    <cellStyle name="计算 2 5 3 2" xfId="12572"/>
    <cellStyle name="计算 2 5 3 2 2" xfId="12573"/>
    <cellStyle name="计算 2 5 3 2 2 2" xfId="12574"/>
    <cellStyle name="计算 2 5 3 2 3" xfId="12575"/>
    <cellStyle name="计算 2 5 3 2 3 2" xfId="12576"/>
    <cellStyle name="计算 2 5 3 2 4" xfId="12577"/>
    <cellStyle name="计算 2 5 3 3" xfId="12578"/>
    <cellStyle name="计算 2 5 3 3 2" xfId="12579"/>
    <cellStyle name="计算 2 5 3 4" xfId="12580"/>
    <cellStyle name="计算 2 5 3 4 2" xfId="12581"/>
    <cellStyle name="计算 2 5 3 5" xfId="12582"/>
    <cellStyle name="计算 2 5 4" xfId="12583"/>
    <cellStyle name="计算 2 5 4 2" xfId="12584"/>
    <cellStyle name="计算 2 5 4 2 2" xfId="12585"/>
    <cellStyle name="计算 2 5 4 3" xfId="12586"/>
    <cellStyle name="计算 2 5 4 3 2" xfId="12587"/>
    <cellStyle name="计算 2 5 4 4" xfId="12588"/>
    <cellStyle name="计算 2 5 5" xfId="12589"/>
    <cellStyle name="计算 2 5 5 2" xfId="12590"/>
    <cellStyle name="计算 2 5 6" xfId="12591"/>
    <cellStyle name="计算 2 5 6 2" xfId="12592"/>
    <cellStyle name="计算 2 5 7" xfId="12593"/>
    <cellStyle name="计算 2 6" xfId="12594"/>
    <cellStyle name="计算 2 7" xfId="12595"/>
    <cellStyle name="计算 2 7 2" xfId="12596"/>
    <cellStyle name="计算 2 7 2 2" xfId="12597"/>
    <cellStyle name="计算 2 7 3" xfId="12598"/>
    <cellStyle name="计算 2 7 3 2" xfId="12599"/>
    <cellStyle name="计算 2 7 4" xfId="12600"/>
    <cellStyle name="计算 2 8" xfId="12601"/>
    <cellStyle name="计算 2 8 2" xfId="12602"/>
    <cellStyle name="计算 2 8 2 2" xfId="12603"/>
    <cellStyle name="计算 2 8 3" xfId="12604"/>
    <cellStyle name="计算 2 8 3 2" xfId="12605"/>
    <cellStyle name="计算 2 8 4" xfId="12606"/>
    <cellStyle name="计算 2 9" xfId="12607"/>
    <cellStyle name="计算 2 9 2" xfId="12608"/>
    <cellStyle name="计算 3" xfId="12609"/>
    <cellStyle name="计算 3 10" xfId="12610"/>
    <cellStyle name="计算 3 10 2" xfId="12611"/>
    <cellStyle name="计算 3 11" xfId="12612"/>
    <cellStyle name="计算 3 12" xfId="12613"/>
    <cellStyle name="计算 3 2" xfId="12614"/>
    <cellStyle name="计算 3 2 10" xfId="12615"/>
    <cellStyle name="计算 3 2 10 2" xfId="12616"/>
    <cellStyle name="计算 3 2 11" xfId="12617"/>
    <cellStyle name="计算 3 2 11 2" xfId="12618"/>
    <cellStyle name="计算 3 2 12" xfId="12619"/>
    <cellStyle name="计算 3 2 13" xfId="12620"/>
    <cellStyle name="计算 3 2 2" xfId="12621"/>
    <cellStyle name="计算 3 2 2 2" xfId="12622"/>
    <cellStyle name="计算 3 2 2 2 2" xfId="12623"/>
    <cellStyle name="计算 3 2 2 2 2 2" xfId="12624"/>
    <cellStyle name="计算 3 2 2 2 2 2 2" xfId="12625"/>
    <cellStyle name="计算 3 2 2 2 2 3" xfId="12626"/>
    <cellStyle name="计算 3 2 2 2 2 3 2" xfId="12627"/>
    <cellStyle name="计算 3 2 2 2 2 4" xfId="12628"/>
    <cellStyle name="计算 3 2 2 2 3" xfId="12629"/>
    <cellStyle name="计算 3 2 2 2 3 2" xfId="12630"/>
    <cellStyle name="计算 3 2 2 2 4" xfId="12631"/>
    <cellStyle name="计算 3 2 2 2 4 2" xfId="12632"/>
    <cellStyle name="计算 3 2 2 2 5" xfId="12633"/>
    <cellStyle name="计算 3 2 2 3" xfId="12634"/>
    <cellStyle name="计算 3 2 2 3 2" xfId="12635"/>
    <cellStyle name="计算 3 2 2 3 2 2" xfId="12636"/>
    <cellStyle name="计算 3 2 2 3 3" xfId="12637"/>
    <cellStyle name="计算 3 2 2 3 3 2" xfId="12638"/>
    <cellStyle name="计算 3 2 2 3 4" xfId="12639"/>
    <cellStyle name="计算 3 2 2 4" xfId="12640"/>
    <cellStyle name="计算 3 2 2 4 2" xfId="12641"/>
    <cellStyle name="计算 3 2 2 5" xfId="12642"/>
    <cellStyle name="计算 3 2 2 5 2" xfId="12643"/>
    <cellStyle name="计算 3 2 2 6" xfId="12644"/>
    <cellStyle name="计算 3 2 3" xfId="12645"/>
    <cellStyle name="计算 3 2 3 2" xfId="12646"/>
    <cellStyle name="计算 3 2 3 2 2" xfId="12647"/>
    <cellStyle name="计算 3 2 3 2 2 2" xfId="12648"/>
    <cellStyle name="计算 3 2 3 2 2 2 2" xfId="12649"/>
    <cellStyle name="计算 3 2 3 2 2 3" xfId="12650"/>
    <cellStyle name="计算 3 2 3 2 2 3 2" xfId="12651"/>
    <cellStyle name="计算 3 2 3 2 2 4" xfId="12652"/>
    <cellStyle name="计算 3 2 3 2 3" xfId="12653"/>
    <cellStyle name="计算 3 2 3 2 3 2" xfId="12654"/>
    <cellStyle name="计算 3 2 3 2 4" xfId="12655"/>
    <cellStyle name="计算 3 2 3 2 4 2" xfId="12656"/>
    <cellStyle name="计算 3 2 3 2 5" xfId="12657"/>
    <cellStyle name="计算 3 2 3 3" xfId="12658"/>
    <cellStyle name="计算 3 2 3 3 2" xfId="12659"/>
    <cellStyle name="计算 3 2 3 3 2 2" xfId="12660"/>
    <cellStyle name="计算 3 2 3 3 2 2 2" xfId="12661"/>
    <cellStyle name="计算 3 2 3 3 2 3" xfId="12662"/>
    <cellStyle name="计算 3 2 3 3 2 3 2" xfId="12663"/>
    <cellStyle name="计算 3 2 3 3 2 4" xfId="12664"/>
    <cellStyle name="计算 3 2 3 3 3" xfId="12665"/>
    <cellStyle name="计算 3 2 3 3 3 2" xfId="12666"/>
    <cellStyle name="计算 3 2 3 3 4" xfId="12667"/>
    <cellStyle name="计算 3 2 3 3 4 2" xfId="12668"/>
    <cellStyle name="计算 3 2 3 3 5" xfId="12669"/>
    <cellStyle name="计算 3 2 3 4" xfId="12670"/>
    <cellStyle name="计算 3 2 3 4 2" xfId="12671"/>
    <cellStyle name="计算 3 2 3 4 2 2" xfId="12672"/>
    <cellStyle name="计算 3 2 3 4 3" xfId="12673"/>
    <cellStyle name="计算 3 2 3 4 3 2" xfId="12674"/>
    <cellStyle name="计算 3 2 3 4 4" xfId="12675"/>
    <cellStyle name="计算 3 2 3 5" xfId="12676"/>
    <cellStyle name="计算 3 2 3 5 2" xfId="12677"/>
    <cellStyle name="计算 3 2 3 6" xfId="12678"/>
    <cellStyle name="计算 3 2 3 6 2" xfId="12679"/>
    <cellStyle name="计算 3 2 3 7" xfId="12680"/>
    <cellStyle name="计算 3 2 4" xfId="12681"/>
    <cellStyle name="计算 3 2 4 2" xfId="12682"/>
    <cellStyle name="计算 3 2 4 2 2" xfId="12683"/>
    <cellStyle name="计算 3 2 4 2 2 2" xfId="12684"/>
    <cellStyle name="计算 3 2 4 2 2 2 2" xfId="12685"/>
    <cellStyle name="计算 3 2 4 2 2 3" xfId="12686"/>
    <cellStyle name="计算 3 2 4 2 2 3 2" xfId="12687"/>
    <cellStyle name="计算 3 2 4 2 2 4" xfId="12688"/>
    <cellStyle name="计算 3 2 4 2 3" xfId="12689"/>
    <cellStyle name="计算 3 2 4 2 3 2" xfId="12690"/>
    <cellStyle name="计算 3 2 4 2 4" xfId="12691"/>
    <cellStyle name="计算 3 2 4 2 4 2" xfId="12692"/>
    <cellStyle name="计算 3 2 4 2 5" xfId="12693"/>
    <cellStyle name="计算 3 2 4 3" xfId="12694"/>
    <cellStyle name="计算 3 2 4 3 2" xfId="12695"/>
    <cellStyle name="计算 3 2 4 3 2 2" xfId="12696"/>
    <cellStyle name="计算 3 2 4 3 2 2 2" xfId="12697"/>
    <cellStyle name="计算 3 2 4 3 2 3" xfId="12698"/>
    <cellStyle name="计算 3 2 4 3 2 3 2" xfId="12699"/>
    <cellStyle name="计算 3 2 4 3 2 4" xfId="12700"/>
    <cellStyle name="计算 3 2 4 3 3" xfId="12701"/>
    <cellStyle name="计算 3 2 4 3 3 2" xfId="12702"/>
    <cellStyle name="计算 3 2 4 3 4" xfId="12703"/>
    <cellStyle name="计算 3 2 4 3 4 2" xfId="12704"/>
    <cellStyle name="计算 3 2 4 3 5" xfId="12705"/>
    <cellStyle name="计算 3 2 4 4" xfId="12706"/>
    <cellStyle name="计算 3 2 4 4 2" xfId="12707"/>
    <cellStyle name="计算 3 2 4 4 2 2" xfId="12708"/>
    <cellStyle name="计算 3 2 4 4 3" xfId="12709"/>
    <cellStyle name="计算 3 2 4 4 3 2" xfId="12710"/>
    <cellStyle name="计算 3 2 4 4 4" xfId="12711"/>
    <cellStyle name="计算 3 2 4 5" xfId="12712"/>
    <cellStyle name="计算 3 2 4 5 2" xfId="12713"/>
    <cellStyle name="计算 3 2 4 6" xfId="12714"/>
    <cellStyle name="计算 3 2 4 6 2" xfId="12715"/>
    <cellStyle name="计算 3 2 4 7" xfId="12716"/>
    <cellStyle name="计算 3 2 5" xfId="12717"/>
    <cellStyle name="计算 3 2 5 2" xfId="12718"/>
    <cellStyle name="计算 3 2 5 2 2" xfId="12719"/>
    <cellStyle name="计算 3 2 5 2 2 2" xfId="12720"/>
    <cellStyle name="计算 3 2 5 2 3" xfId="12721"/>
    <cellStyle name="计算 3 2 5 2 3 2" xfId="12722"/>
    <cellStyle name="计算 3 2 5 2 4" xfId="12723"/>
    <cellStyle name="计算 3 2 5 3" xfId="12724"/>
    <cellStyle name="计算 3 2 5 3 2" xfId="12725"/>
    <cellStyle name="计算 3 2 5 4" xfId="12726"/>
    <cellStyle name="计算 3 2 5 4 2" xfId="12727"/>
    <cellStyle name="计算 3 2 5 5" xfId="12728"/>
    <cellStyle name="计算 3 2 6" xfId="12729"/>
    <cellStyle name="计算 3 2 7" xfId="12730"/>
    <cellStyle name="计算 3 2 7 2" xfId="12731"/>
    <cellStyle name="计算 3 2 7 2 2" xfId="12732"/>
    <cellStyle name="计算 3 2 7 3" xfId="12733"/>
    <cellStyle name="计算 3 2 7 3 2" xfId="12734"/>
    <cellStyle name="计算 3 2 7 4" xfId="12735"/>
    <cellStyle name="计算 3 2 8" xfId="12736"/>
    <cellStyle name="计算 3 2 8 2" xfId="12737"/>
    <cellStyle name="计算 3 2 8 2 2" xfId="12738"/>
    <cellStyle name="计算 3 2 8 3" xfId="12739"/>
    <cellStyle name="计算 3 2 8 3 2" xfId="12740"/>
    <cellStyle name="计算 3 2 8 4" xfId="12741"/>
    <cellStyle name="计算 3 2 9" xfId="12742"/>
    <cellStyle name="计算 3 2 9 2" xfId="12743"/>
    <cellStyle name="计算 3 3" xfId="12744"/>
    <cellStyle name="计算 3 3 2" xfId="12745"/>
    <cellStyle name="计算 3 3 2 2" xfId="12746"/>
    <cellStyle name="计算 3 3 2 2 2" xfId="12747"/>
    <cellStyle name="计算 3 3 2 2 2 2" xfId="12748"/>
    <cellStyle name="计算 3 3 2 2 2 2 2" xfId="12749"/>
    <cellStyle name="计算 3 3 2 2 2 3" xfId="12750"/>
    <cellStyle name="计算 3 3 2 2 2 3 2" xfId="12751"/>
    <cellStyle name="计算 3 3 2 2 2 4" xfId="12752"/>
    <cellStyle name="计算 3 3 2 2 3" xfId="12753"/>
    <cellStyle name="计算 3 3 2 2 3 2" xfId="12754"/>
    <cellStyle name="计算 3 3 2 2 4" xfId="12755"/>
    <cellStyle name="计算 3 3 2 2 4 2" xfId="12756"/>
    <cellStyle name="计算 3 3 2 2 5" xfId="12757"/>
    <cellStyle name="计算 3 3 2 3" xfId="12758"/>
    <cellStyle name="计算 3 3 2 3 2" xfId="12759"/>
    <cellStyle name="计算 3 3 2 3 2 2" xfId="12760"/>
    <cellStyle name="计算 3 3 2 3 3" xfId="12761"/>
    <cellStyle name="计算 3 3 2 3 3 2" xfId="12762"/>
    <cellStyle name="计算 3 3 2 3 4" xfId="12763"/>
    <cellStyle name="计算 3 3 2 4" xfId="12764"/>
    <cellStyle name="计算 3 3 2 4 2" xfId="12765"/>
    <cellStyle name="计算 3 3 2 5" xfId="12766"/>
    <cellStyle name="计算 3 3 2 5 2" xfId="12767"/>
    <cellStyle name="计算 3 3 2 6" xfId="12768"/>
    <cellStyle name="计算 3 3 3" xfId="12769"/>
    <cellStyle name="计算 3 3 3 2" xfId="12770"/>
    <cellStyle name="计算 3 3 3 2 2" xfId="12771"/>
    <cellStyle name="计算 3 3 3 2 2 2" xfId="12772"/>
    <cellStyle name="计算 3 3 3 2 3" xfId="12773"/>
    <cellStyle name="计算 3 3 3 2 3 2" xfId="12774"/>
    <cellStyle name="计算 3 3 3 2 4" xfId="12775"/>
    <cellStyle name="计算 3 3 3 3" xfId="12776"/>
    <cellStyle name="计算 3 3 3 3 2" xfId="12777"/>
    <cellStyle name="计算 3 3 3 4" xfId="12778"/>
    <cellStyle name="计算 3 3 3 4 2" xfId="12779"/>
    <cellStyle name="计算 3 3 3 5" xfId="12780"/>
    <cellStyle name="计算 3 3 4" xfId="12781"/>
    <cellStyle name="计算 3 3 4 2" xfId="12782"/>
    <cellStyle name="计算 3 3 4 2 2" xfId="12783"/>
    <cellStyle name="计算 3 3 4 3" xfId="12784"/>
    <cellStyle name="计算 3 3 4 3 2" xfId="12785"/>
    <cellStyle name="计算 3 3 4 4" xfId="12786"/>
    <cellStyle name="计算 3 3 5" xfId="12787"/>
    <cellStyle name="计算 3 3 5 2" xfId="12788"/>
    <cellStyle name="计算 3 3 6" xfId="12789"/>
    <cellStyle name="计算 3 3 6 2" xfId="12790"/>
    <cellStyle name="计算 3 3 7" xfId="12791"/>
    <cellStyle name="计算 3 4" xfId="12792"/>
    <cellStyle name="计算 3 4 2" xfId="12793"/>
    <cellStyle name="计算 3 4 2 2" xfId="12794"/>
    <cellStyle name="计算 3 4 2 2 2" xfId="12795"/>
    <cellStyle name="计算 3 4 2 2 2 2" xfId="12796"/>
    <cellStyle name="计算 3 4 2 2 3" xfId="12797"/>
    <cellStyle name="计算 3 4 2 2 3 2" xfId="12798"/>
    <cellStyle name="计算 3 4 2 2 4" xfId="12799"/>
    <cellStyle name="计算 3 4 2 3" xfId="12800"/>
    <cellStyle name="计算 3 4 2 3 2" xfId="12801"/>
    <cellStyle name="计算 3 4 2 4" xfId="12802"/>
    <cellStyle name="计算 3 4 2 4 2" xfId="12803"/>
    <cellStyle name="计算 3 4 2 5" xfId="12804"/>
    <cellStyle name="计算 3 4 3" xfId="12805"/>
    <cellStyle name="计算 3 4 3 2" xfId="12806"/>
    <cellStyle name="计算 3 4 3 2 2" xfId="12807"/>
    <cellStyle name="计算 3 4 3 3" xfId="12808"/>
    <cellStyle name="计算 3 4 3 3 2" xfId="12809"/>
    <cellStyle name="计算 3 4 3 4" xfId="12810"/>
    <cellStyle name="计算 3 4 4" xfId="12811"/>
    <cellStyle name="计算 3 4 4 2" xfId="12812"/>
    <cellStyle name="计算 3 4 5" xfId="12813"/>
    <cellStyle name="计算 3 4 5 2" xfId="12814"/>
    <cellStyle name="计算 3 4 6" xfId="12815"/>
    <cellStyle name="计算 3 5" xfId="12816"/>
    <cellStyle name="计算 3 5 2" xfId="12817"/>
    <cellStyle name="计算 3 5 2 2" xfId="12818"/>
    <cellStyle name="计算 3 5 2 2 2" xfId="12819"/>
    <cellStyle name="计算 3 5 2 2 2 2" xfId="12820"/>
    <cellStyle name="计算 3 5 2 2 3" xfId="12821"/>
    <cellStyle name="计算 3 5 2 2 3 2" xfId="12822"/>
    <cellStyle name="计算 3 5 2 2 4" xfId="12823"/>
    <cellStyle name="计算 3 5 2 3" xfId="12824"/>
    <cellStyle name="计算 3 5 2 3 2" xfId="12825"/>
    <cellStyle name="计算 3 5 2 4" xfId="12826"/>
    <cellStyle name="计算 3 5 2 4 2" xfId="12827"/>
    <cellStyle name="计算 3 5 2 5" xfId="12828"/>
    <cellStyle name="计算 3 5 3" xfId="12829"/>
    <cellStyle name="计算 3 5 3 2" xfId="12830"/>
    <cellStyle name="计算 3 5 3 2 2" xfId="12831"/>
    <cellStyle name="计算 3 5 3 2 2 2" xfId="12832"/>
    <cellStyle name="计算 3 5 3 2 3" xfId="12833"/>
    <cellStyle name="计算 3 5 3 2 3 2" xfId="12834"/>
    <cellStyle name="计算 3 5 3 2 4" xfId="12835"/>
    <cellStyle name="计算 3 5 3 3" xfId="12836"/>
    <cellStyle name="计算 3 5 3 3 2" xfId="12837"/>
    <cellStyle name="计算 3 5 3 4" xfId="12838"/>
    <cellStyle name="计算 3 5 3 4 2" xfId="12839"/>
    <cellStyle name="计算 3 5 3 5" xfId="12840"/>
    <cellStyle name="计算 3 5 4" xfId="12841"/>
    <cellStyle name="计算 3 5 4 2" xfId="12842"/>
    <cellStyle name="计算 3 5 4 2 2" xfId="12843"/>
    <cellStyle name="计算 3 5 4 3" xfId="12844"/>
    <cellStyle name="计算 3 5 4 3 2" xfId="12845"/>
    <cellStyle name="计算 3 5 4 4" xfId="12846"/>
    <cellStyle name="计算 3 5 5" xfId="12847"/>
    <cellStyle name="计算 3 5 5 2" xfId="12848"/>
    <cellStyle name="计算 3 5 6" xfId="12849"/>
    <cellStyle name="计算 3 5 6 2" xfId="12850"/>
    <cellStyle name="计算 3 5 7" xfId="12851"/>
    <cellStyle name="计算 3 6" xfId="12852"/>
    <cellStyle name="计算 3 7" xfId="12853"/>
    <cellStyle name="计算 3 7 2" xfId="12854"/>
    <cellStyle name="计算 3 7 2 2" xfId="12855"/>
    <cellStyle name="计算 3 7 3" xfId="12856"/>
    <cellStyle name="计算 3 7 3 2" xfId="12857"/>
    <cellStyle name="计算 3 7 4" xfId="12858"/>
    <cellStyle name="计算 3 8" xfId="12859"/>
    <cellStyle name="计算 3 8 2" xfId="12860"/>
    <cellStyle name="计算 3 8 2 2" xfId="12861"/>
    <cellStyle name="计算 3 8 3" xfId="12862"/>
    <cellStyle name="计算 3 8 3 2" xfId="12863"/>
    <cellStyle name="计算 3 8 4" xfId="12864"/>
    <cellStyle name="计算 3 9" xfId="12865"/>
    <cellStyle name="计算 3 9 2" xfId="12866"/>
    <cellStyle name="计算 4" xfId="12867"/>
    <cellStyle name="计算 4 10" xfId="12868"/>
    <cellStyle name="计算 4 10 2" xfId="12869"/>
    <cellStyle name="计算 4 11" xfId="12870"/>
    <cellStyle name="计算 4 12" xfId="12871"/>
    <cellStyle name="计算 4 2" xfId="12872"/>
    <cellStyle name="计算 4 2 10" xfId="12873"/>
    <cellStyle name="计算 4 2 10 2" xfId="12874"/>
    <cellStyle name="计算 4 2 11" xfId="12875"/>
    <cellStyle name="计算 4 2 11 2" xfId="12876"/>
    <cellStyle name="计算 4 2 12" xfId="12877"/>
    <cellStyle name="计算 4 2 13" xfId="12878"/>
    <cellStyle name="计算 4 2 2" xfId="12879"/>
    <cellStyle name="计算 4 2 2 2" xfId="12880"/>
    <cellStyle name="计算 4 2 2 2 2" xfId="12881"/>
    <cellStyle name="计算 4 2 2 2 2 2" xfId="12882"/>
    <cellStyle name="计算 4 2 2 2 2 2 2" xfId="12883"/>
    <cellStyle name="计算 4 2 2 2 2 3" xfId="12884"/>
    <cellStyle name="计算 4 2 2 2 2 3 2" xfId="12885"/>
    <cellStyle name="计算 4 2 2 2 2 4" xfId="12886"/>
    <cellStyle name="计算 4 2 2 2 3" xfId="12887"/>
    <cellStyle name="计算 4 2 2 2 3 2" xfId="12888"/>
    <cellStyle name="计算 4 2 2 2 4" xfId="12889"/>
    <cellStyle name="计算 4 2 2 2 4 2" xfId="12890"/>
    <cellStyle name="计算 4 2 2 2 5" xfId="12891"/>
    <cellStyle name="计算 4 2 2 3" xfId="12892"/>
    <cellStyle name="计算 4 2 2 3 2" xfId="12893"/>
    <cellStyle name="计算 4 2 2 3 2 2" xfId="12894"/>
    <cellStyle name="计算 4 2 2 3 3" xfId="12895"/>
    <cellStyle name="计算 4 2 2 3 3 2" xfId="12896"/>
    <cellStyle name="计算 4 2 2 3 4" xfId="12897"/>
    <cellStyle name="计算 4 2 2 4" xfId="12898"/>
    <cellStyle name="计算 4 2 2 4 2" xfId="12899"/>
    <cellStyle name="计算 4 2 2 5" xfId="12900"/>
    <cellStyle name="计算 4 2 2 5 2" xfId="12901"/>
    <cellStyle name="计算 4 2 2 6" xfId="12902"/>
    <cellStyle name="计算 4 2 3" xfId="12903"/>
    <cellStyle name="计算 4 2 3 2" xfId="12904"/>
    <cellStyle name="计算 4 2 3 2 2" xfId="12905"/>
    <cellStyle name="计算 4 2 3 2 2 2" xfId="12906"/>
    <cellStyle name="计算 4 2 3 2 2 2 2" xfId="12907"/>
    <cellStyle name="计算 4 2 3 2 2 3" xfId="12908"/>
    <cellStyle name="计算 4 2 3 2 2 3 2" xfId="12909"/>
    <cellStyle name="计算 4 2 3 2 2 4" xfId="12910"/>
    <cellStyle name="计算 4 2 3 2 3" xfId="12911"/>
    <cellStyle name="计算 4 2 3 2 3 2" xfId="12912"/>
    <cellStyle name="计算 4 2 3 2 4" xfId="12913"/>
    <cellStyle name="计算 4 2 3 2 4 2" xfId="12914"/>
    <cellStyle name="计算 4 2 3 2 5" xfId="12915"/>
    <cellStyle name="计算 4 2 3 3" xfId="12916"/>
    <cellStyle name="计算 4 2 3 3 2" xfId="12917"/>
    <cellStyle name="计算 4 2 3 3 2 2" xfId="12918"/>
    <cellStyle name="计算 4 2 3 3 2 2 2" xfId="12919"/>
    <cellStyle name="计算 4 2 3 3 2 3" xfId="12920"/>
    <cellStyle name="计算 4 2 3 3 2 3 2" xfId="12921"/>
    <cellStyle name="计算 4 2 3 3 2 4" xfId="12922"/>
    <cellStyle name="计算 4 2 3 3 3" xfId="12923"/>
    <cellStyle name="计算 4 2 3 3 3 2" xfId="12924"/>
    <cellStyle name="计算 4 2 3 3 4" xfId="12925"/>
    <cellStyle name="计算 4 2 3 3 4 2" xfId="12926"/>
    <cellStyle name="计算 4 2 3 3 5" xfId="12927"/>
    <cellStyle name="计算 4 2 3 4" xfId="12928"/>
    <cellStyle name="计算 4 2 3 4 2" xfId="12929"/>
    <cellStyle name="计算 4 2 3 4 2 2" xfId="12930"/>
    <cellStyle name="计算 4 2 3 4 3" xfId="12931"/>
    <cellStyle name="计算 4 2 3 4 3 2" xfId="12932"/>
    <cellStyle name="计算 4 2 3 4 4" xfId="12933"/>
    <cellStyle name="计算 4 2 3 5" xfId="12934"/>
    <cellStyle name="计算 4 2 3 5 2" xfId="12935"/>
    <cellStyle name="计算 4 2 3 6" xfId="12936"/>
    <cellStyle name="计算 4 2 3 6 2" xfId="12937"/>
    <cellStyle name="计算 4 2 3 7" xfId="12938"/>
    <cellStyle name="计算 4 2 4" xfId="12939"/>
    <cellStyle name="计算 4 2 4 2" xfId="12940"/>
    <cellStyle name="计算 4 2 4 2 2" xfId="12941"/>
    <cellStyle name="计算 4 2 4 2 2 2" xfId="12942"/>
    <cellStyle name="计算 4 2 4 2 2 2 2" xfId="12943"/>
    <cellStyle name="计算 4 2 4 2 2 3" xfId="12944"/>
    <cellStyle name="计算 4 2 4 2 2 3 2" xfId="12945"/>
    <cellStyle name="计算 4 2 4 2 2 4" xfId="12946"/>
    <cellStyle name="计算 4 2 4 2 3" xfId="12947"/>
    <cellStyle name="计算 4 2 4 2 3 2" xfId="12948"/>
    <cellStyle name="计算 4 2 4 2 4" xfId="12949"/>
    <cellStyle name="计算 4 2 4 2 4 2" xfId="12950"/>
    <cellStyle name="计算 4 2 4 2 5" xfId="12951"/>
    <cellStyle name="计算 4 2 4 3" xfId="12952"/>
    <cellStyle name="计算 4 2 4 3 2" xfId="12953"/>
    <cellStyle name="计算 4 2 4 3 2 2" xfId="12954"/>
    <cellStyle name="计算 4 2 4 3 2 2 2" xfId="12955"/>
    <cellStyle name="计算 4 2 4 3 2 3" xfId="12956"/>
    <cellStyle name="计算 4 2 4 3 2 3 2" xfId="12957"/>
    <cellStyle name="计算 4 2 4 3 2 4" xfId="12958"/>
    <cellStyle name="计算 4 2 4 3 3" xfId="12959"/>
    <cellStyle name="计算 4 2 4 3 3 2" xfId="12960"/>
    <cellStyle name="计算 4 2 4 3 4" xfId="12961"/>
    <cellStyle name="计算 4 2 4 3 4 2" xfId="12962"/>
    <cellStyle name="计算 4 2 4 3 5" xfId="12963"/>
    <cellStyle name="计算 4 2 4 4" xfId="12964"/>
    <cellStyle name="计算 4 2 4 4 2" xfId="12965"/>
    <cellStyle name="计算 4 2 4 4 2 2" xfId="12966"/>
    <cellStyle name="计算 4 2 4 4 3" xfId="12967"/>
    <cellStyle name="计算 4 2 4 4 3 2" xfId="12968"/>
    <cellStyle name="计算 4 2 4 4 4" xfId="12969"/>
    <cellStyle name="计算 4 2 4 5" xfId="12970"/>
    <cellStyle name="计算 4 2 4 5 2" xfId="12971"/>
    <cellStyle name="计算 4 2 4 6" xfId="12972"/>
    <cellStyle name="计算 4 2 4 6 2" xfId="12973"/>
    <cellStyle name="计算 4 2 4 7" xfId="12974"/>
    <cellStyle name="计算 4 2 5" xfId="12975"/>
    <cellStyle name="计算 4 2 5 2" xfId="12976"/>
    <cellStyle name="计算 4 2 5 2 2" xfId="12977"/>
    <cellStyle name="计算 4 2 5 2 2 2" xfId="12978"/>
    <cellStyle name="计算 4 2 5 2 3" xfId="12979"/>
    <cellStyle name="计算 4 2 5 2 3 2" xfId="12980"/>
    <cellStyle name="计算 4 2 5 2 4" xfId="12981"/>
    <cellStyle name="计算 4 2 5 3" xfId="12982"/>
    <cellStyle name="计算 4 2 5 3 2" xfId="12983"/>
    <cellStyle name="计算 4 2 5 4" xfId="12984"/>
    <cellStyle name="计算 4 2 5 4 2" xfId="12985"/>
    <cellStyle name="计算 4 2 5 5" xfId="12986"/>
    <cellStyle name="计算 4 2 6" xfId="12987"/>
    <cellStyle name="计算 4 2 7" xfId="12988"/>
    <cellStyle name="计算 4 2 7 2" xfId="12989"/>
    <cellStyle name="计算 4 2 7 2 2" xfId="12990"/>
    <cellStyle name="计算 4 2 7 3" xfId="12991"/>
    <cellStyle name="计算 4 2 7 3 2" xfId="12992"/>
    <cellStyle name="计算 4 2 7 4" xfId="12993"/>
    <cellStyle name="计算 4 2 8" xfId="12994"/>
    <cellStyle name="计算 4 2 8 2" xfId="12995"/>
    <cellStyle name="计算 4 2 8 2 2" xfId="12996"/>
    <cellStyle name="计算 4 2 8 3" xfId="12997"/>
    <cellStyle name="计算 4 2 8 3 2" xfId="12998"/>
    <cellStyle name="计算 4 2 8 4" xfId="12999"/>
    <cellStyle name="计算 4 2 9" xfId="13000"/>
    <cellStyle name="计算 4 2 9 2" xfId="13001"/>
    <cellStyle name="计算 4 3" xfId="13002"/>
    <cellStyle name="计算 4 3 2" xfId="13003"/>
    <cellStyle name="计算 4 3 2 2" xfId="13004"/>
    <cellStyle name="计算 4 3 2 2 2" xfId="13005"/>
    <cellStyle name="计算 4 3 2 2 2 2" xfId="13006"/>
    <cellStyle name="计算 4 3 2 2 2 2 2" xfId="13007"/>
    <cellStyle name="计算 4 3 2 2 2 3" xfId="13008"/>
    <cellStyle name="计算 4 3 2 2 2 3 2" xfId="13009"/>
    <cellStyle name="计算 4 3 2 2 2 4" xfId="13010"/>
    <cellStyle name="计算 4 3 2 2 3" xfId="13011"/>
    <cellStyle name="计算 4 3 2 2 3 2" xfId="13012"/>
    <cellStyle name="计算 4 3 2 2 4" xfId="13013"/>
    <cellStyle name="计算 4 3 2 2 4 2" xfId="13014"/>
    <cellStyle name="计算 4 3 2 2 5" xfId="13015"/>
    <cellStyle name="计算 4 3 2 3" xfId="13016"/>
    <cellStyle name="计算 4 3 2 3 2" xfId="13017"/>
    <cellStyle name="计算 4 3 2 3 2 2" xfId="13018"/>
    <cellStyle name="计算 4 3 2 3 3" xfId="13019"/>
    <cellStyle name="计算 4 3 2 3 3 2" xfId="13020"/>
    <cellStyle name="计算 4 3 2 3 4" xfId="13021"/>
    <cellStyle name="计算 4 3 2 4" xfId="13022"/>
    <cellStyle name="计算 4 3 2 4 2" xfId="13023"/>
    <cellStyle name="计算 4 3 2 5" xfId="13024"/>
    <cellStyle name="计算 4 3 2 5 2" xfId="13025"/>
    <cellStyle name="计算 4 3 2 6" xfId="13026"/>
    <cellStyle name="计算 4 3 3" xfId="13027"/>
    <cellStyle name="计算 4 3 3 2" xfId="13028"/>
    <cellStyle name="计算 4 3 3 2 2" xfId="13029"/>
    <cellStyle name="计算 4 3 3 2 2 2" xfId="13030"/>
    <cellStyle name="计算 4 3 3 2 3" xfId="13031"/>
    <cellStyle name="计算 4 3 3 2 3 2" xfId="13032"/>
    <cellStyle name="计算 4 3 3 2 4" xfId="13033"/>
    <cellStyle name="计算 4 3 3 3" xfId="13034"/>
    <cellStyle name="计算 4 3 3 3 2" xfId="13035"/>
    <cellStyle name="计算 4 3 3 4" xfId="13036"/>
    <cellStyle name="计算 4 3 3 4 2" xfId="13037"/>
    <cellStyle name="计算 4 3 3 5" xfId="13038"/>
    <cellStyle name="计算 4 3 4" xfId="13039"/>
    <cellStyle name="计算 4 3 4 2" xfId="13040"/>
    <cellStyle name="计算 4 3 4 2 2" xfId="13041"/>
    <cellStyle name="计算 4 3 4 3" xfId="13042"/>
    <cellStyle name="计算 4 3 4 3 2" xfId="13043"/>
    <cellStyle name="计算 4 3 4 4" xfId="13044"/>
    <cellStyle name="计算 4 3 5" xfId="13045"/>
    <cellStyle name="计算 4 3 5 2" xfId="13046"/>
    <cellStyle name="计算 4 3 6" xfId="13047"/>
    <cellStyle name="计算 4 3 6 2" xfId="13048"/>
    <cellStyle name="计算 4 3 7" xfId="13049"/>
    <cellStyle name="计算 4 4" xfId="13050"/>
    <cellStyle name="计算 4 4 2" xfId="13051"/>
    <cellStyle name="计算 4 4 2 2" xfId="13052"/>
    <cellStyle name="计算 4 4 2 2 2" xfId="13053"/>
    <cellStyle name="计算 4 4 2 2 2 2" xfId="13054"/>
    <cellStyle name="计算 4 4 2 2 3" xfId="13055"/>
    <cellStyle name="计算 4 4 2 2 3 2" xfId="13056"/>
    <cellStyle name="计算 4 4 2 2 4" xfId="13057"/>
    <cellStyle name="计算 4 4 2 3" xfId="13058"/>
    <cellStyle name="计算 4 4 2 3 2" xfId="13059"/>
    <cellStyle name="计算 4 4 2 4" xfId="13060"/>
    <cellStyle name="计算 4 4 2 4 2" xfId="13061"/>
    <cellStyle name="计算 4 4 2 5" xfId="13062"/>
    <cellStyle name="计算 4 4 3" xfId="13063"/>
    <cellStyle name="计算 4 4 3 2" xfId="13064"/>
    <cellStyle name="计算 4 4 3 2 2" xfId="13065"/>
    <cellStyle name="计算 4 4 3 3" xfId="13066"/>
    <cellStyle name="计算 4 4 3 3 2" xfId="13067"/>
    <cellStyle name="计算 4 4 3 4" xfId="13068"/>
    <cellStyle name="计算 4 4 4" xfId="13069"/>
    <cellStyle name="计算 4 4 4 2" xfId="13070"/>
    <cellStyle name="计算 4 4 5" xfId="13071"/>
    <cellStyle name="计算 4 4 5 2" xfId="13072"/>
    <cellStyle name="计算 4 4 6" xfId="13073"/>
    <cellStyle name="计算 4 5" xfId="13074"/>
    <cellStyle name="计算 4 5 2" xfId="13075"/>
    <cellStyle name="计算 4 5 2 2" xfId="13076"/>
    <cellStyle name="计算 4 5 2 2 2" xfId="13077"/>
    <cellStyle name="计算 4 5 2 2 2 2" xfId="13078"/>
    <cellStyle name="计算 4 5 2 2 3" xfId="13079"/>
    <cellStyle name="计算 4 5 2 2 3 2" xfId="13080"/>
    <cellStyle name="计算 4 5 2 2 4" xfId="13081"/>
    <cellStyle name="计算 4 5 2 3" xfId="13082"/>
    <cellStyle name="计算 4 5 2 3 2" xfId="13083"/>
    <cellStyle name="计算 4 5 2 4" xfId="13084"/>
    <cellStyle name="计算 4 5 2 4 2" xfId="13085"/>
    <cellStyle name="计算 4 5 2 5" xfId="13086"/>
    <cellStyle name="计算 4 5 3" xfId="13087"/>
    <cellStyle name="计算 4 5 3 2" xfId="13088"/>
    <cellStyle name="计算 4 5 3 2 2" xfId="13089"/>
    <cellStyle name="计算 4 5 3 2 2 2" xfId="13090"/>
    <cellStyle name="计算 4 5 3 2 3" xfId="13091"/>
    <cellStyle name="计算 4 5 3 2 3 2" xfId="13092"/>
    <cellStyle name="计算 4 5 3 2 4" xfId="13093"/>
    <cellStyle name="计算 4 5 3 3" xfId="13094"/>
    <cellStyle name="计算 4 5 3 3 2" xfId="13095"/>
    <cellStyle name="计算 4 5 3 4" xfId="13096"/>
    <cellStyle name="计算 4 5 3 4 2" xfId="13097"/>
    <cellStyle name="计算 4 5 3 5" xfId="13098"/>
    <cellStyle name="计算 4 5 4" xfId="13099"/>
    <cellStyle name="计算 4 5 4 2" xfId="13100"/>
    <cellStyle name="计算 4 5 4 2 2" xfId="13101"/>
    <cellStyle name="计算 4 5 4 3" xfId="13102"/>
    <cellStyle name="计算 4 5 4 3 2" xfId="13103"/>
    <cellStyle name="计算 4 5 4 4" xfId="13104"/>
    <cellStyle name="计算 4 5 5" xfId="13105"/>
    <cellStyle name="计算 4 5 5 2" xfId="13106"/>
    <cellStyle name="计算 4 5 6" xfId="13107"/>
    <cellStyle name="计算 4 5 6 2" xfId="13108"/>
    <cellStyle name="计算 4 5 7" xfId="13109"/>
    <cellStyle name="计算 4 6" xfId="13110"/>
    <cellStyle name="计算 4 7" xfId="13111"/>
    <cellStyle name="计算 4 7 2" xfId="13112"/>
    <cellStyle name="计算 4 7 2 2" xfId="13113"/>
    <cellStyle name="计算 4 7 3" xfId="13114"/>
    <cellStyle name="计算 4 7 3 2" xfId="13115"/>
    <cellStyle name="计算 4 7 4" xfId="13116"/>
    <cellStyle name="计算 4 8" xfId="13117"/>
    <cellStyle name="计算 4 8 2" xfId="13118"/>
    <cellStyle name="计算 4 8 2 2" xfId="13119"/>
    <cellStyle name="计算 4 8 3" xfId="13120"/>
    <cellStyle name="计算 4 8 3 2" xfId="13121"/>
    <cellStyle name="计算 4 8 4" xfId="13122"/>
    <cellStyle name="计算 4 9" xfId="13123"/>
    <cellStyle name="计算 4 9 2" xfId="13124"/>
    <cellStyle name="计算 5" xfId="13125"/>
    <cellStyle name="计算 5 10" xfId="13126"/>
    <cellStyle name="计算 5 10 2" xfId="13127"/>
    <cellStyle name="计算 5 11" xfId="13128"/>
    <cellStyle name="计算 5 12" xfId="13129"/>
    <cellStyle name="计算 5 2" xfId="13130"/>
    <cellStyle name="计算 5 2 10" xfId="13131"/>
    <cellStyle name="计算 5 2 10 2" xfId="13132"/>
    <cellStyle name="计算 5 2 11" xfId="13133"/>
    <cellStyle name="计算 5 2 11 2" xfId="13134"/>
    <cellStyle name="计算 5 2 12" xfId="13135"/>
    <cellStyle name="计算 5 2 13" xfId="13136"/>
    <cellStyle name="计算 5 2 2" xfId="13137"/>
    <cellStyle name="计算 5 2 2 2" xfId="13138"/>
    <cellStyle name="计算 5 2 2 2 2" xfId="13139"/>
    <cellStyle name="计算 5 2 2 2 2 2" xfId="13140"/>
    <cellStyle name="计算 5 2 2 2 2 2 2" xfId="13141"/>
    <cellStyle name="计算 5 2 2 2 2 3" xfId="13142"/>
    <cellStyle name="计算 5 2 2 2 2 3 2" xfId="13143"/>
    <cellStyle name="计算 5 2 2 2 2 4" xfId="13144"/>
    <cellStyle name="计算 5 2 2 2 3" xfId="13145"/>
    <cellStyle name="计算 5 2 2 2 3 2" xfId="13146"/>
    <cellStyle name="计算 5 2 2 2 4" xfId="13147"/>
    <cellStyle name="计算 5 2 2 2 4 2" xfId="13148"/>
    <cellStyle name="计算 5 2 2 2 5" xfId="13149"/>
    <cellStyle name="计算 5 2 2 3" xfId="13150"/>
    <cellStyle name="计算 5 2 2 3 2" xfId="13151"/>
    <cellStyle name="计算 5 2 2 3 2 2" xfId="13152"/>
    <cellStyle name="计算 5 2 2 3 3" xfId="13153"/>
    <cellStyle name="计算 5 2 2 3 3 2" xfId="13154"/>
    <cellStyle name="计算 5 2 2 3 4" xfId="13155"/>
    <cellStyle name="计算 5 2 2 4" xfId="13156"/>
    <cellStyle name="计算 5 2 2 4 2" xfId="13157"/>
    <cellStyle name="计算 5 2 2 5" xfId="13158"/>
    <cellStyle name="计算 5 2 2 5 2" xfId="13159"/>
    <cellStyle name="计算 5 2 2 6" xfId="13160"/>
    <cellStyle name="计算 5 2 3" xfId="13161"/>
    <cellStyle name="计算 5 2 3 2" xfId="13162"/>
    <cellStyle name="计算 5 2 3 2 2" xfId="13163"/>
    <cellStyle name="计算 5 2 3 2 2 2" xfId="13164"/>
    <cellStyle name="计算 5 2 3 2 2 2 2" xfId="13165"/>
    <cellStyle name="计算 5 2 3 2 2 3" xfId="13166"/>
    <cellStyle name="计算 5 2 3 2 2 3 2" xfId="13167"/>
    <cellStyle name="计算 5 2 3 2 2 4" xfId="13168"/>
    <cellStyle name="计算 5 2 3 2 3" xfId="13169"/>
    <cellStyle name="计算 5 2 3 2 3 2" xfId="13170"/>
    <cellStyle name="计算 5 2 3 2 4" xfId="13171"/>
    <cellStyle name="计算 5 2 3 2 4 2" xfId="13172"/>
    <cellStyle name="计算 5 2 3 2 5" xfId="13173"/>
    <cellStyle name="计算 5 2 3 3" xfId="13174"/>
    <cellStyle name="计算 5 2 3 3 2" xfId="13175"/>
    <cellStyle name="计算 5 2 3 3 2 2" xfId="13176"/>
    <cellStyle name="计算 5 2 3 3 2 2 2" xfId="13177"/>
    <cellStyle name="计算 5 2 3 3 2 3" xfId="13178"/>
    <cellStyle name="计算 5 2 3 3 2 3 2" xfId="13179"/>
    <cellStyle name="计算 5 2 3 3 2 4" xfId="13180"/>
    <cellStyle name="计算 5 2 3 3 3" xfId="13181"/>
    <cellStyle name="计算 5 2 3 3 3 2" xfId="13182"/>
    <cellStyle name="计算 5 2 3 3 4" xfId="13183"/>
    <cellStyle name="计算 5 2 3 3 4 2" xfId="13184"/>
    <cellStyle name="计算 5 2 3 3 5" xfId="13185"/>
    <cellStyle name="计算 5 2 3 4" xfId="13186"/>
    <cellStyle name="计算 5 2 3 4 2" xfId="13187"/>
    <cellStyle name="计算 5 2 3 4 2 2" xfId="13188"/>
    <cellStyle name="计算 5 2 3 4 3" xfId="13189"/>
    <cellStyle name="计算 5 2 3 4 3 2" xfId="13190"/>
    <cellStyle name="计算 5 2 3 4 4" xfId="13191"/>
    <cellStyle name="计算 5 2 3 5" xfId="13192"/>
    <cellStyle name="计算 5 2 3 5 2" xfId="13193"/>
    <cellStyle name="计算 5 2 3 6" xfId="13194"/>
    <cellStyle name="计算 5 2 3 6 2" xfId="13195"/>
    <cellStyle name="计算 5 2 3 7" xfId="13196"/>
    <cellStyle name="计算 5 2 4" xfId="13197"/>
    <cellStyle name="计算 5 2 4 2" xfId="13198"/>
    <cellStyle name="计算 5 2 4 2 2" xfId="13199"/>
    <cellStyle name="计算 5 2 4 2 2 2" xfId="13200"/>
    <cellStyle name="计算 5 2 4 2 2 2 2" xfId="13201"/>
    <cellStyle name="计算 5 2 4 2 2 3" xfId="13202"/>
    <cellStyle name="计算 5 2 4 2 2 3 2" xfId="13203"/>
    <cellStyle name="计算 5 2 4 2 2 4" xfId="13204"/>
    <cellStyle name="计算 5 2 4 2 3" xfId="13205"/>
    <cellStyle name="计算 5 2 4 2 3 2" xfId="13206"/>
    <cellStyle name="计算 5 2 4 2 4" xfId="13207"/>
    <cellStyle name="计算 5 2 4 2 4 2" xfId="13208"/>
    <cellStyle name="计算 5 2 4 2 5" xfId="13209"/>
    <cellStyle name="计算 5 2 4 3" xfId="13210"/>
    <cellStyle name="计算 5 2 4 3 2" xfId="13211"/>
    <cellStyle name="计算 5 2 4 3 2 2" xfId="13212"/>
    <cellStyle name="计算 5 2 4 3 2 2 2" xfId="13213"/>
    <cellStyle name="计算 5 2 4 3 2 3" xfId="13214"/>
    <cellStyle name="计算 5 2 4 3 2 3 2" xfId="13215"/>
    <cellStyle name="计算 5 2 4 3 2 4" xfId="13216"/>
    <cellStyle name="计算 5 2 4 3 3" xfId="13217"/>
    <cellStyle name="计算 5 2 4 3 3 2" xfId="13218"/>
    <cellStyle name="计算 5 2 4 3 4" xfId="13219"/>
    <cellStyle name="计算 5 2 4 3 4 2" xfId="13220"/>
    <cellStyle name="计算 5 2 4 3 5" xfId="13221"/>
    <cellStyle name="计算 5 2 4 4" xfId="13222"/>
    <cellStyle name="计算 5 2 4 4 2" xfId="13223"/>
    <cellStyle name="计算 5 2 4 4 2 2" xfId="13224"/>
    <cellStyle name="计算 5 2 4 4 3" xfId="13225"/>
    <cellStyle name="计算 5 2 4 4 3 2" xfId="13226"/>
    <cellStyle name="计算 5 2 4 4 4" xfId="13227"/>
    <cellStyle name="计算 5 2 4 5" xfId="13228"/>
    <cellStyle name="计算 5 2 4 5 2" xfId="13229"/>
    <cellStyle name="计算 5 2 4 6" xfId="13230"/>
    <cellStyle name="计算 5 2 4 6 2" xfId="13231"/>
    <cellStyle name="计算 5 2 4 7" xfId="13232"/>
    <cellStyle name="计算 5 2 5" xfId="13233"/>
    <cellStyle name="计算 5 2 5 2" xfId="13234"/>
    <cellStyle name="计算 5 2 5 2 2" xfId="13235"/>
    <cellStyle name="计算 5 2 5 2 2 2" xfId="13236"/>
    <cellStyle name="计算 5 2 5 2 3" xfId="13237"/>
    <cellStyle name="计算 5 2 5 2 3 2" xfId="13238"/>
    <cellStyle name="计算 5 2 5 2 4" xfId="13239"/>
    <cellStyle name="计算 5 2 5 3" xfId="13240"/>
    <cellStyle name="计算 5 2 5 3 2" xfId="13241"/>
    <cellStyle name="计算 5 2 5 4" xfId="13242"/>
    <cellStyle name="计算 5 2 5 4 2" xfId="13243"/>
    <cellStyle name="计算 5 2 5 5" xfId="13244"/>
    <cellStyle name="计算 5 2 6" xfId="13245"/>
    <cellStyle name="计算 5 2 7" xfId="13246"/>
    <cellStyle name="计算 5 2 7 2" xfId="13247"/>
    <cellStyle name="计算 5 2 7 2 2" xfId="13248"/>
    <cellStyle name="计算 5 2 7 3" xfId="13249"/>
    <cellStyle name="计算 5 2 7 3 2" xfId="13250"/>
    <cellStyle name="计算 5 2 7 4" xfId="13251"/>
    <cellStyle name="计算 5 2 8" xfId="13252"/>
    <cellStyle name="计算 5 2 8 2" xfId="13253"/>
    <cellStyle name="计算 5 2 8 2 2" xfId="13254"/>
    <cellStyle name="计算 5 2 8 3" xfId="13255"/>
    <cellStyle name="计算 5 2 8 3 2" xfId="13256"/>
    <cellStyle name="计算 5 2 8 4" xfId="13257"/>
    <cellStyle name="计算 5 2 9" xfId="13258"/>
    <cellStyle name="计算 5 2 9 2" xfId="13259"/>
    <cellStyle name="计算 5 3" xfId="13260"/>
    <cellStyle name="计算 5 3 2" xfId="13261"/>
    <cellStyle name="计算 5 3 2 2" xfId="13262"/>
    <cellStyle name="计算 5 3 2 2 2" xfId="13263"/>
    <cellStyle name="计算 5 3 2 2 2 2" xfId="13264"/>
    <cellStyle name="计算 5 3 2 2 2 2 2" xfId="13265"/>
    <cellStyle name="计算 5 3 2 2 2 3" xfId="13266"/>
    <cellStyle name="计算 5 3 2 2 2 3 2" xfId="13267"/>
    <cellStyle name="计算 5 3 2 2 2 4" xfId="13268"/>
    <cellStyle name="计算 5 3 2 2 3" xfId="13269"/>
    <cellStyle name="计算 5 3 2 2 3 2" xfId="13270"/>
    <cellStyle name="计算 5 3 2 2 4" xfId="13271"/>
    <cellStyle name="计算 5 3 2 2 4 2" xfId="13272"/>
    <cellStyle name="计算 5 3 2 2 5" xfId="13273"/>
    <cellStyle name="计算 5 3 2 3" xfId="13274"/>
    <cellStyle name="计算 5 3 2 3 2" xfId="13275"/>
    <cellStyle name="计算 5 3 2 3 2 2" xfId="13276"/>
    <cellStyle name="计算 5 3 2 3 3" xfId="13277"/>
    <cellStyle name="计算 5 3 2 3 3 2" xfId="13278"/>
    <cellStyle name="计算 5 3 2 3 4" xfId="13279"/>
    <cellStyle name="计算 5 3 2 4" xfId="13280"/>
    <cellStyle name="计算 5 3 2 4 2" xfId="13281"/>
    <cellStyle name="计算 5 3 2 5" xfId="13282"/>
    <cellStyle name="计算 5 3 2 5 2" xfId="13283"/>
    <cellStyle name="计算 5 3 2 6" xfId="13284"/>
    <cellStyle name="计算 5 3 3" xfId="13285"/>
    <cellStyle name="计算 5 3 3 2" xfId="13286"/>
    <cellStyle name="计算 5 3 3 2 2" xfId="13287"/>
    <cellStyle name="计算 5 3 3 2 2 2" xfId="13288"/>
    <cellStyle name="计算 5 3 3 2 3" xfId="13289"/>
    <cellStyle name="计算 5 3 3 2 3 2" xfId="13290"/>
    <cellStyle name="计算 5 3 3 2 4" xfId="13291"/>
    <cellStyle name="计算 5 3 3 3" xfId="13292"/>
    <cellStyle name="计算 5 3 3 3 2" xfId="13293"/>
    <cellStyle name="计算 5 3 3 4" xfId="13294"/>
    <cellStyle name="计算 5 3 3 4 2" xfId="13295"/>
    <cellStyle name="计算 5 3 3 5" xfId="13296"/>
    <cellStyle name="计算 5 3 4" xfId="13297"/>
    <cellStyle name="计算 5 3 4 2" xfId="13298"/>
    <cellStyle name="计算 5 3 4 2 2" xfId="13299"/>
    <cellStyle name="计算 5 3 4 3" xfId="13300"/>
    <cellStyle name="计算 5 3 4 3 2" xfId="13301"/>
    <cellStyle name="计算 5 3 4 4" xfId="13302"/>
    <cellStyle name="计算 5 3 5" xfId="13303"/>
    <cellStyle name="计算 5 3 5 2" xfId="13304"/>
    <cellStyle name="计算 5 3 6" xfId="13305"/>
    <cellStyle name="计算 5 3 6 2" xfId="13306"/>
    <cellStyle name="计算 5 3 7" xfId="13307"/>
    <cellStyle name="计算 5 4" xfId="13308"/>
    <cellStyle name="计算 5 4 2" xfId="13309"/>
    <cellStyle name="计算 5 4 2 2" xfId="13310"/>
    <cellStyle name="计算 5 4 2 2 2" xfId="13311"/>
    <cellStyle name="计算 5 4 2 2 2 2" xfId="13312"/>
    <cellStyle name="计算 5 4 2 2 3" xfId="13313"/>
    <cellStyle name="计算 5 4 2 2 3 2" xfId="13314"/>
    <cellStyle name="计算 5 4 2 2 4" xfId="13315"/>
    <cellStyle name="计算 5 4 2 3" xfId="13316"/>
    <cellStyle name="计算 5 4 2 3 2" xfId="13317"/>
    <cellStyle name="计算 5 4 2 4" xfId="13318"/>
    <cellStyle name="计算 5 4 2 4 2" xfId="13319"/>
    <cellStyle name="计算 5 4 2 5" xfId="13320"/>
    <cellStyle name="计算 5 4 3" xfId="13321"/>
    <cellStyle name="计算 5 4 3 2" xfId="13322"/>
    <cellStyle name="计算 5 4 3 2 2" xfId="13323"/>
    <cellStyle name="计算 5 4 3 3" xfId="13324"/>
    <cellStyle name="计算 5 4 3 3 2" xfId="13325"/>
    <cellStyle name="计算 5 4 3 4" xfId="13326"/>
    <cellStyle name="计算 5 4 4" xfId="13327"/>
    <cellStyle name="计算 5 4 4 2" xfId="13328"/>
    <cellStyle name="计算 5 4 5" xfId="13329"/>
    <cellStyle name="计算 5 4 5 2" xfId="13330"/>
    <cellStyle name="计算 5 4 6" xfId="13331"/>
    <cellStyle name="计算 5 5" xfId="13332"/>
    <cellStyle name="计算 5 5 2" xfId="13333"/>
    <cellStyle name="计算 5 5 2 2" xfId="13334"/>
    <cellStyle name="计算 5 5 2 2 2" xfId="13335"/>
    <cellStyle name="计算 5 5 2 2 2 2" xfId="13336"/>
    <cellStyle name="计算 5 5 2 2 3" xfId="13337"/>
    <cellStyle name="计算 5 5 2 2 3 2" xfId="13338"/>
    <cellStyle name="计算 5 5 2 2 4" xfId="13339"/>
    <cellStyle name="计算 5 5 2 3" xfId="13340"/>
    <cellStyle name="计算 5 5 2 3 2" xfId="13341"/>
    <cellStyle name="计算 5 5 2 4" xfId="13342"/>
    <cellStyle name="计算 5 5 2 4 2" xfId="13343"/>
    <cellStyle name="计算 5 5 2 5" xfId="13344"/>
    <cellStyle name="计算 5 5 3" xfId="13345"/>
    <cellStyle name="计算 5 5 3 2" xfId="13346"/>
    <cellStyle name="计算 5 5 3 2 2" xfId="13347"/>
    <cellStyle name="计算 5 5 3 2 2 2" xfId="13348"/>
    <cellStyle name="计算 5 5 3 2 3" xfId="13349"/>
    <cellStyle name="计算 5 5 3 2 3 2" xfId="13350"/>
    <cellStyle name="计算 5 5 3 2 4" xfId="13351"/>
    <cellStyle name="计算 5 5 3 3" xfId="13352"/>
    <cellStyle name="计算 5 5 3 3 2" xfId="13353"/>
    <cellStyle name="计算 5 5 3 4" xfId="13354"/>
    <cellStyle name="计算 5 5 3 4 2" xfId="13355"/>
    <cellStyle name="计算 5 5 3 5" xfId="13356"/>
    <cellStyle name="计算 5 5 4" xfId="13357"/>
    <cellStyle name="计算 5 5 4 2" xfId="13358"/>
    <cellStyle name="计算 5 5 4 2 2" xfId="13359"/>
    <cellStyle name="计算 5 5 4 3" xfId="13360"/>
    <cellStyle name="计算 5 5 4 3 2" xfId="13361"/>
    <cellStyle name="计算 5 5 4 4" xfId="13362"/>
    <cellStyle name="计算 5 5 5" xfId="13363"/>
    <cellStyle name="计算 5 5 5 2" xfId="13364"/>
    <cellStyle name="计算 5 5 6" xfId="13365"/>
    <cellStyle name="计算 5 5 6 2" xfId="13366"/>
    <cellStyle name="计算 5 5 7" xfId="13367"/>
    <cellStyle name="计算 5 6" xfId="13368"/>
    <cellStyle name="计算 5 7" xfId="13369"/>
    <cellStyle name="计算 5 7 2" xfId="13370"/>
    <cellStyle name="计算 5 7 2 2" xfId="13371"/>
    <cellStyle name="计算 5 7 3" xfId="13372"/>
    <cellStyle name="计算 5 7 3 2" xfId="13373"/>
    <cellStyle name="计算 5 7 4" xfId="13374"/>
    <cellStyle name="计算 5 8" xfId="13375"/>
    <cellStyle name="计算 5 8 2" xfId="13376"/>
    <cellStyle name="计算 5 8 2 2" xfId="13377"/>
    <cellStyle name="计算 5 8 3" xfId="13378"/>
    <cellStyle name="计算 5 8 3 2" xfId="13379"/>
    <cellStyle name="计算 5 8 4" xfId="13380"/>
    <cellStyle name="计算 5 9" xfId="13381"/>
    <cellStyle name="计算 5 9 2" xfId="13382"/>
    <cellStyle name="计算 6" xfId="13383"/>
    <cellStyle name="计算 6 10" xfId="13384"/>
    <cellStyle name="计算 6 10 2" xfId="13385"/>
    <cellStyle name="计算 6 11" xfId="13386"/>
    <cellStyle name="计算 6 12" xfId="13387"/>
    <cellStyle name="计算 6 2" xfId="13388"/>
    <cellStyle name="计算 6 2 10" xfId="13389"/>
    <cellStyle name="计算 6 2 10 2" xfId="13390"/>
    <cellStyle name="计算 6 2 11" xfId="13391"/>
    <cellStyle name="计算 6 2 11 2" xfId="13392"/>
    <cellStyle name="计算 6 2 12" xfId="13393"/>
    <cellStyle name="计算 6 2 13" xfId="13394"/>
    <cellStyle name="计算 6 2 2" xfId="13395"/>
    <cellStyle name="计算 6 2 2 2" xfId="13396"/>
    <cellStyle name="计算 6 2 2 2 2" xfId="13397"/>
    <cellStyle name="计算 6 2 2 2 2 2" xfId="13398"/>
    <cellStyle name="计算 6 2 2 2 2 2 2" xfId="13399"/>
    <cellStyle name="计算 6 2 2 2 2 3" xfId="13400"/>
    <cellStyle name="计算 6 2 2 2 2 3 2" xfId="13401"/>
    <cellStyle name="计算 6 2 2 2 2 4" xfId="13402"/>
    <cellStyle name="计算 6 2 2 2 3" xfId="13403"/>
    <cellStyle name="计算 6 2 2 2 3 2" xfId="13404"/>
    <cellStyle name="计算 6 2 2 2 4" xfId="13405"/>
    <cellStyle name="计算 6 2 2 2 4 2" xfId="13406"/>
    <cellStyle name="计算 6 2 2 2 5" xfId="13407"/>
    <cellStyle name="计算 6 2 2 3" xfId="13408"/>
    <cellStyle name="计算 6 2 2 3 2" xfId="13409"/>
    <cellStyle name="计算 6 2 2 3 2 2" xfId="13410"/>
    <cellStyle name="计算 6 2 2 3 3" xfId="13411"/>
    <cellStyle name="计算 6 2 2 3 3 2" xfId="13412"/>
    <cellStyle name="计算 6 2 2 3 4" xfId="13413"/>
    <cellStyle name="计算 6 2 2 4" xfId="13414"/>
    <cellStyle name="计算 6 2 2 4 2" xfId="13415"/>
    <cellStyle name="计算 6 2 2 5" xfId="13416"/>
    <cellStyle name="计算 6 2 2 5 2" xfId="13417"/>
    <cellStyle name="计算 6 2 2 6" xfId="13418"/>
    <cellStyle name="计算 6 2 3" xfId="13419"/>
    <cellStyle name="计算 6 2 3 2" xfId="13420"/>
    <cellStyle name="计算 6 2 3 2 2" xfId="13421"/>
    <cellStyle name="计算 6 2 3 2 2 2" xfId="13422"/>
    <cellStyle name="计算 6 2 3 2 2 2 2" xfId="13423"/>
    <cellStyle name="计算 6 2 3 2 2 3" xfId="13424"/>
    <cellStyle name="计算 6 2 3 2 2 3 2" xfId="13425"/>
    <cellStyle name="计算 6 2 3 2 2 4" xfId="13426"/>
    <cellStyle name="计算 6 2 3 2 3" xfId="13427"/>
    <cellStyle name="计算 6 2 3 2 3 2" xfId="13428"/>
    <cellStyle name="计算 6 2 3 2 4" xfId="13429"/>
    <cellStyle name="计算 6 2 3 2 4 2" xfId="13430"/>
    <cellStyle name="计算 6 2 3 2 5" xfId="13431"/>
    <cellStyle name="计算 6 2 3 3" xfId="13432"/>
    <cellStyle name="计算 6 2 3 3 2" xfId="13433"/>
    <cellStyle name="计算 6 2 3 3 2 2" xfId="13434"/>
    <cellStyle name="计算 6 2 3 3 2 2 2" xfId="13435"/>
    <cellStyle name="计算 6 2 3 3 2 3" xfId="13436"/>
    <cellStyle name="计算 6 2 3 3 2 3 2" xfId="13437"/>
    <cellStyle name="计算 6 2 3 3 2 4" xfId="13438"/>
    <cellStyle name="计算 6 2 3 3 3" xfId="13439"/>
    <cellStyle name="计算 6 2 3 3 3 2" xfId="13440"/>
    <cellStyle name="计算 6 2 3 3 4" xfId="13441"/>
    <cellStyle name="计算 6 2 3 3 4 2" xfId="13442"/>
    <cellStyle name="计算 6 2 3 3 5" xfId="13443"/>
    <cellStyle name="计算 6 2 3 4" xfId="13444"/>
    <cellStyle name="计算 6 2 3 4 2" xfId="13445"/>
    <cellStyle name="计算 6 2 3 4 2 2" xfId="13446"/>
    <cellStyle name="计算 6 2 3 4 3" xfId="13447"/>
    <cellStyle name="计算 6 2 3 4 3 2" xfId="13448"/>
    <cellStyle name="计算 6 2 3 4 4" xfId="13449"/>
    <cellStyle name="计算 6 2 3 5" xfId="13450"/>
    <cellStyle name="计算 6 2 3 5 2" xfId="13451"/>
    <cellStyle name="计算 6 2 3 6" xfId="13452"/>
    <cellStyle name="计算 6 2 3 6 2" xfId="13453"/>
    <cellStyle name="计算 6 2 3 7" xfId="13454"/>
    <cellStyle name="计算 6 2 4" xfId="13455"/>
    <cellStyle name="计算 6 2 4 2" xfId="13456"/>
    <cellStyle name="计算 6 2 4 2 2" xfId="13457"/>
    <cellStyle name="计算 6 2 4 2 2 2" xfId="13458"/>
    <cellStyle name="计算 6 2 4 2 2 2 2" xfId="13459"/>
    <cellStyle name="计算 6 2 4 2 2 3" xfId="13460"/>
    <cellStyle name="计算 6 2 4 2 2 3 2" xfId="13461"/>
    <cellStyle name="计算 6 2 4 2 2 4" xfId="13462"/>
    <cellStyle name="计算 6 2 4 2 3" xfId="13463"/>
    <cellStyle name="计算 6 2 4 2 3 2" xfId="13464"/>
    <cellStyle name="计算 6 2 4 2 4" xfId="13465"/>
    <cellStyle name="计算 6 2 4 2 4 2" xfId="13466"/>
    <cellStyle name="计算 6 2 4 2 5" xfId="13467"/>
    <cellStyle name="计算 6 2 4 3" xfId="13468"/>
    <cellStyle name="计算 6 2 4 3 2" xfId="13469"/>
    <cellStyle name="计算 6 2 4 3 2 2" xfId="13470"/>
    <cellStyle name="计算 6 2 4 3 2 2 2" xfId="13471"/>
    <cellStyle name="计算 6 2 4 3 2 3" xfId="13472"/>
    <cellStyle name="计算 6 2 4 3 2 3 2" xfId="13473"/>
    <cellStyle name="计算 6 2 4 3 2 4" xfId="13474"/>
    <cellStyle name="计算 6 2 4 3 3" xfId="13475"/>
    <cellStyle name="计算 6 2 4 3 3 2" xfId="13476"/>
    <cellStyle name="计算 6 2 4 3 4" xfId="13477"/>
    <cellStyle name="计算 6 2 4 3 4 2" xfId="13478"/>
    <cellStyle name="计算 6 2 4 3 5" xfId="13479"/>
    <cellStyle name="计算 6 2 4 4" xfId="13480"/>
    <cellStyle name="计算 6 2 4 4 2" xfId="13481"/>
    <cellStyle name="计算 6 2 4 4 2 2" xfId="13482"/>
    <cellStyle name="计算 6 2 4 4 3" xfId="13483"/>
    <cellStyle name="计算 6 2 4 4 3 2" xfId="13484"/>
    <cellStyle name="计算 6 2 4 4 4" xfId="13485"/>
    <cellStyle name="计算 6 2 4 5" xfId="13486"/>
    <cellStyle name="计算 6 2 4 5 2" xfId="13487"/>
    <cellStyle name="计算 6 2 4 6" xfId="13488"/>
    <cellStyle name="计算 6 2 4 6 2" xfId="13489"/>
    <cellStyle name="计算 6 2 4 7" xfId="13490"/>
    <cellStyle name="计算 6 2 5" xfId="13491"/>
    <cellStyle name="计算 6 2 5 2" xfId="13492"/>
    <cellStyle name="计算 6 2 5 2 2" xfId="13493"/>
    <cellStyle name="计算 6 2 5 2 2 2" xfId="13494"/>
    <cellStyle name="计算 6 2 5 2 3" xfId="13495"/>
    <cellStyle name="计算 6 2 5 2 3 2" xfId="13496"/>
    <cellStyle name="计算 6 2 5 2 4" xfId="13497"/>
    <cellStyle name="计算 6 2 5 3" xfId="13498"/>
    <cellStyle name="计算 6 2 5 3 2" xfId="13499"/>
    <cellStyle name="计算 6 2 5 4" xfId="13500"/>
    <cellStyle name="计算 6 2 5 4 2" xfId="13501"/>
    <cellStyle name="计算 6 2 5 5" xfId="13502"/>
    <cellStyle name="计算 6 2 6" xfId="13503"/>
    <cellStyle name="计算 6 2 7" xfId="13504"/>
    <cellStyle name="计算 6 2 7 2" xfId="13505"/>
    <cellStyle name="计算 6 2 7 2 2" xfId="13506"/>
    <cellStyle name="计算 6 2 7 3" xfId="13507"/>
    <cellStyle name="计算 6 2 7 3 2" xfId="13508"/>
    <cellStyle name="计算 6 2 7 4" xfId="13509"/>
    <cellStyle name="计算 6 2 8" xfId="13510"/>
    <cellStyle name="计算 6 2 8 2" xfId="13511"/>
    <cellStyle name="计算 6 2 8 2 2" xfId="13512"/>
    <cellStyle name="计算 6 2 8 3" xfId="13513"/>
    <cellStyle name="计算 6 2 8 3 2" xfId="13514"/>
    <cellStyle name="计算 6 2 8 4" xfId="13515"/>
    <cellStyle name="计算 6 2 9" xfId="13516"/>
    <cellStyle name="计算 6 2 9 2" xfId="13517"/>
    <cellStyle name="计算 6 3" xfId="13518"/>
    <cellStyle name="计算 6 3 2" xfId="13519"/>
    <cellStyle name="计算 6 3 2 2" xfId="13520"/>
    <cellStyle name="计算 6 3 2 2 2" xfId="13521"/>
    <cellStyle name="计算 6 3 2 2 2 2" xfId="13522"/>
    <cellStyle name="计算 6 3 2 2 2 2 2" xfId="13523"/>
    <cellStyle name="计算 6 3 2 2 2 3" xfId="13524"/>
    <cellStyle name="计算 6 3 2 2 2 3 2" xfId="13525"/>
    <cellStyle name="计算 6 3 2 2 2 4" xfId="13526"/>
    <cellStyle name="计算 6 3 2 2 3" xfId="13527"/>
    <cellStyle name="计算 6 3 2 2 3 2" xfId="13528"/>
    <cellStyle name="计算 6 3 2 2 4" xfId="13529"/>
    <cellStyle name="计算 6 3 2 2 4 2" xfId="13530"/>
    <cellStyle name="计算 6 3 2 2 5" xfId="13531"/>
    <cellStyle name="计算 6 3 2 3" xfId="13532"/>
    <cellStyle name="计算 6 3 2 3 2" xfId="13533"/>
    <cellStyle name="计算 6 3 2 3 2 2" xfId="13534"/>
    <cellStyle name="计算 6 3 2 3 3" xfId="13535"/>
    <cellStyle name="计算 6 3 2 3 3 2" xfId="13536"/>
    <cellStyle name="计算 6 3 2 3 4" xfId="13537"/>
    <cellStyle name="计算 6 3 2 4" xfId="13538"/>
    <cellStyle name="计算 6 3 2 4 2" xfId="13539"/>
    <cellStyle name="计算 6 3 2 5" xfId="13540"/>
    <cellStyle name="计算 6 3 2 5 2" xfId="13541"/>
    <cellStyle name="计算 6 3 2 6" xfId="13542"/>
    <cellStyle name="计算 6 3 3" xfId="13543"/>
    <cellStyle name="计算 6 3 3 2" xfId="13544"/>
    <cellStyle name="计算 6 3 3 2 2" xfId="13545"/>
    <cellStyle name="计算 6 3 3 2 2 2" xfId="13546"/>
    <cellStyle name="计算 6 3 3 2 3" xfId="13547"/>
    <cellStyle name="计算 6 3 3 2 3 2" xfId="13548"/>
    <cellStyle name="计算 6 3 3 2 4" xfId="13549"/>
    <cellStyle name="计算 6 3 3 3" xfId="13550"/>
    <cellStyle name="计算 6 3 3 3 2" xfId="13551"/>
    <cellStyle name="计算 6 3 3 4" xfId="13552"/>
    <cellStyle name="计算 6 3 3 4 2" xfId="13553"/>
    <cellStyle name="计算 6 3 3 5" xfId="13554"/>
    <cellStyle name="计算 6 3 4" xfId="13555"/>
    <cellStyle name="计算 6 3 4 2" xfId="13556"/>
    <cellStyle name="计算 6 3 4 2 2" xfId="13557"/>
    <cellStyle name="计算 6 3 4 3" xfId="13558"/>
    <cellStyle name="计算 6 3 4 3 2" xfId="13559"/>
    <cellStyle name="计算 6 3 4 4" xfId="13560"/>
    <cellStyle name="计算 6 3 5" xfId="13561"/>
    <cellStyle name="计算 6 3 5 2" xfId="13562"/>
    <cellStyle name="计算 6 3 6" xfId="13563"/>
    <cellStyle name="计算 6 3 6 2" xfId="13564"/>
    <cellStyle name="计算 6 3 7" xfId="13565"/>
    <cellStyle name="计算 6 4" xfId="13566"/>
    <cellStyle name="计算 6 4 2" xfId="13567"/>
    <cellStyle name="计算 6 4 2 2" xfId="13568"/>
    <cellStyle name="计算 6 4 2 2 2" xfId="13569"/>
    <cellStyle name="计算 6 4 2 2 2 2" xfId="13570"/>
    <cellStyle name="计算 6 4 2 2 3" xfId="13571"/>
    <cellStyle name="计算 6 4 2 2 3 2" xfId="13572"/>
    <cellStyle name="计算 6 4 2 2 4" xfId="13573"/>
    <cellStyle name="计算 6 4 2 3" xfId="13574"/>
    <cellStyle name="计算 6 4 2 3 2" xfId="13575"/>
    <cellStyle name="计算 6 4 2 4" xfId="13576"/>
    <cellStyle name="计算 6 4 2 4 2" xfId="13577"/>
    <cellStyle name="计算 6 4 2 5" xfId="13578"/>
    <cellStyle name="计算 6 4 3" xfId="13579"/>
    <cellStyle name="计算 6 4 3 2" xfId="13580"/>
    <cellStyle name="计算 6 4 3 2 2" xfId="13581"/>
    <cellStyle name="计算 6 4 3 3" xfId="13582"/>
    <cellStyle name="计算 6 4 3 3 2" xfId="13583"/>
    <cellStyle name="计算 6 4 3 4" xfId="13584"/>
    <cellStyle name="计算 6 4 4" xfId="13585"/>
    <cellStyle name="计算 6 4 4 2" xfId="13586"/>
    <cellStyle name="计算 6 4 5" xfId="13587"/>
    <cellStyle name="计算 6 4 5 2" xfId="13588"/>
    <cellStyle name="计算 6 4 6" xfId="13589"/>
    <cellStyle name="计算 6 5" xfId="13590"/>
    <cellStyle name="计算 6 5 2" xfId="13591"/>
    <cellStyle name="计算 6 5 2 2" xfId="13592"/>
    <cellStyle name="计算 6 5 2 2 2" xfId="13593"/>
    <cellStyle name="计算 6 5 2 2 2 2" xfId="13594"/>
    <cellStyle name="计算 6 5 2 2 3" xfId="13595"/>
    <cellStyle name="计算 6 5 2 2 3 2" xfId="13596"/>
    <cellStyle name="计算 6 5 2 2 4" xfId="13597"/>
    <cellStyle name="计算 6 5 2 3" xfId="13598"/>
    <cellStyle name="计算 6 5 2 3 2" xfId="13599"/>
    <cellStyle name="计算 6 5 2 4" xfId="13600"/>
    <cellStyle name="计算 6 5 2 4 2" xfId="13601"/>
    <cellStyle name="计算 6 5 2 5" xfId="13602"/>
    <cellStyle name="计算 6 5 3" xfId="13603"/>
    <cellStyle name="计算 6 5 3 2" xfId="13604"/>
    <cellStyle name="计算 6 5 3 2 2" xfId="13605"/>
    <cellStyle name="计算 6 5 3 2 2 2" xfId="13606"/>
    <cellStyle name="计算 6 5 3 2 3" xfId="13607"/>
    <cellStyle name="计算 6 5 3 2 3 2" xfId="13608"/>
    <cellStyle name="计算 6 5 3 2 4" xfId="13609"/>
    <cellStyle name="计算 6 5 3 3" xfId="13610"/>
    <cellStyle name="计算 6 5 3 3 2" xfId="13611"/>
    <cellStyle name="计算 6 5 3 4" xfId="13612"/>
    <cellStyle name="计算 6 5 3 4 2" xfId="13613"/>
    <cellStyle name="计算 6 5 3 5" xfId="13614"/>
    <cellStyle name="计算 6 5 4" xfId="13615"/>
    <cellStyle name="计算 6 5 4 2" xfId="13616"/>
    <cellStyle name="计算 6 5 4 2 2" xfId="13617"/>
    <cellStyle name="计算 6 5 4 3" xfId="13618"/>
    <cellStyle name="计算 6 5 4 3 2" xfId="13619"/>
    <cellStyle name="计算 6 5 4 4" xfId="13620"/>
    <cellStyle name="计算 6 5 5" xfId="13621"/>
    <cellStyle name="计算 6 5 5 2" xfId="13622"/>
    <cellStyle name="计算 6 5 6" xfId="13623"/>
    <cellStyle name="计算 6 5 6 2" xfId="13624"/>
    <cellStyle name="计算 6 5 7" xfId="13625"/>
    <cellStyle name="计算 6 6" xfId="13626"/>
    <cellStyle name="计算 6 7" xfId="13627"/>
    <cellStyle name="计算 6 7 2" xfId="13628"/>
    <cellStyle name="计算 6 7 2 2" xfId="13629"/>
    <cellStyle name="计算 6 7 3" xfId="13630"/>
    <cellStyle name="计算 6 7 3 2" xfId="13631"/>
    <cellStyle name="计算 6 7 4" xfId="13632"/>
    <cellStyle name="计算 6 8" xfId="13633"/>
    <cellStyle name="计算 6 8 2" xfId="13634"/>
    <cellStyle name="计算 6 8 2 2" xfId="13635"/>
    <cellStyle name="计算 6 8 3" xfId="13636"/>
    <cellStyle name="计算 6 8 3 2" xfId="13637"/>
    <cellStyle name="计算 6 8 4" xfId="13638"/>
    <cellStyle name="计算 6 9" xfId="13639"/>
    <cellStyle name="计算 6 9 2" xfId="13640"/>
    <cellStyle name="计算 7" xfId="13641"/>
    <cellStyle name="计算 7 10" xfId="13642"/>
    <cellStyle name="计算 7 10 2" xfId="13643"/>
    <cellStyle name="计算 7 11" xfId="13644"/>
    <cellStyle name="计算 7 12" xfId="13645"/>
    <cellStyle name="计算 7 2" xfId="13646"/>
    <cellStyle name="计算 7 2 10" xfId="13647"/>
    <cellStyle name="计算 7 2 10 2" xfId="13648"/>
    <cellStyle name="计算 7 2 11" xfId="13649"/>
    <cellStyle name="计算 7 2 11 2" xfId="13650"/>
    <cellStyle name="计算 7 2 12" xfId="13651"/>
    <cellStyle name="计算 7 2 13" xfId="13652"/>
    <cellStyle name="计算 7 2 2" xfId="13653"/>
    <cellStyle name="计算 7 2 2 2" xfId="13654"/>
    <cellStyle name="计算 7 2 2 2 2" xfId="13655"/>
    <cellStyle name="计算 7 2 2 2 2 2" xfId="13656"/>
    <cellStyle name="计算 7 2 2 2 2 2 2" xfId="13657"/>
    <cellStyle name="计算 7 2 2 2 2 3" xfId="13658"/>
    <cellStyle name="计算 7 2 2 2 2 3 2" xfId="13659"/>
    <cellStyle name="计算 7 2 2 2 2 4" xfId="13660"/>
    <cellStyle name="计算 7 2 2 2 3" xfId="13661"/>
    <cellStyle name="计算 7 2 2 2 3 2" xfId="13662"/>
    <cellStyle name="计算 7 2 2 2 4" xfId="13663"/>
    <cellStyle name="计算 7 2 2 2 4 2" xfId="13664"/>
    <cellStyle name="计算 7 2 2 2 5" xfId="13665"/>
    <cellStyle name="计算 7 2 2 3" xfId="13666"/>
    <cellStyle name="计算 7 2 2 3 2" xfId="13667"/>
    <cellStyle name="计算 7 2 2 3 2 2" xfId="13668"/>
    <cellStyle name="计算 7 2 2 3 3" xfId="13669"/>
    <cellStyle name="计算 7 2 2 3 3 2" xfId="13670"/>
    <cellStyle name="计算 7 2 2 3 4" xfId="13671"/>
    <cellStyle name="计算 7 2 2 4" xfId="13672"/>
    <cellStyle name="计算 7 2 2 4 2" xfId="13673"/>
    <cellStyle name="计算 7 2 2 5" xfId="13674"/>
    <cellStyle name="计算 7 2 2 5 2" xfId="13675"/>
    <cellStyle name="计算 7 2 2 6" xfId="13676"/>
    <cellStyle name="计算 7 2 3" xfId="13677"/>
    <cellStyle name="计算 7 2 3 2" xfId="13678"/>
    <cellStyle name="计算 7 2 3 2 2" xfId="13679"/>
    <cellStyle name="计算 7 2 3 2 2 2" xfId="13680"/>
    <cellStyle name="计算 7 2 3 2 2 2 2" xfId="13681"/>
    <cellStyle name="计算 7 2 3 2 2 3" xfId="13682"/>
    <cellStyle name="计算 7 2 3 2 2 3 2" xfId="13683"/>
    <cellStyle name="计算 7 2 3 2 2 4" xfId="13684"/>
    <cellStyle name="计算 7 2 3 2 3" xfId="13685"/>
    <cellStyle name="计算 7 2 3 2 3 2" xfId="13686"/>
    <cellStyle name="计算 7 2 3 2 4" xfId="13687"/>
    <cellStyle name="计算 7 2 3 2 4 2" xfId="13688"/>
    <cellStyle name="计算 7 2 3 2 5" xfId="13689"/>
    <cellStyle name="计算 7 2 3 3" xfId="13690"/>
    <cellStyle name="计算 7 2 3 3 2" xfId="13691"/>
    <cellStyle name="计算 7 2 3 3 2 2" xfId="13692"/>
    <cellStyle name="计算 7 2 3 3 2 2 2" xfId="13693"/>
    <cellStyle name="计算 7 2 3 3 2 3" xfId="13694"/>
    <cellStyle name="计算 7 2 3 3 2 3 2" xfId="13695"/>
    <cellStyle name="计算 7 2 3 3 2 4" xfId="13696"/>
    <cellStyle name="计算 7 2 3 3 3" xfId="13697"/>
    <cellStyle name="计算 7 2 3 3 3 2" xfId="13698"/>
    <cellStyle name="计算 7 2 3 3 4" xfId="13699"/>
    <cellStyle name="计算 7 2 3 3 4 2" xfId="13700"/>
    <cellStyle name="计算 7 2 3 3 5" xfId="13701"/>
    <cellStyle name="计算 7 2 3 4" xfId="13702"/>
    <cellStyle name="计算 7 2 3 4 2" xfId="13703"/>
    <cellStyle name="计算 7 2 3 4 2 2" xfId="13704"/>
    <cellStyle name="计算 7 2 3 4 3" xfId="13705"/>
    <cellStyle name="计算 7 2 3 4 3 2" xfId="13706"/>
    <cellStyle name="计算 7 2 3 4 4" xfId="13707"/>
    <cellStyle name="计算 7 2 3 5" xfId="13708"/>
    <cellStyle name="计算 7 2 3 5 2" xfId="13709"/>
    <cellStyle name="计算 7 2 3 6" xfId="13710"/>
    <cellStyle name="计算 7 2 3 6 2" xfId="13711"/>
    <cellStyle name="计算 7 2 3 7" xfId="13712"/>
    <cellStyle name="计算 7 2 4" xfId="13713"/>
    <cellStyle name="计算 7 2 4 2" xfId="13714"/>
    <cellStyle name="计算 7 2 4 2 2" xfId="13715"/>
    <cellStyle name="计算 7 2 4 2 2 2" xfId="13716"/>
    <cellStyle name="计算 7 2 4 2 2 2 2" xfId="13717"/>
    <cellStyle name="计算 7 2 4 2 2 3" xfId="13718"/>
    <cellStyle name="计算 7 2 4 2 2 3 2" xfId="13719"/>
    <cellStyle name="计算 7 2 4 2 2 4" xfId="13720"/>
    <cellStyle name="计算 7 2 4 2 3" xfId="13721"/>
    <cellStyle name="计算 7 2 4 2 3 2" xfId="13722"/>
    <cellStyle name="计算 7 2 4 2 4" xfId="13723"/>
    <cellStyle name="计算 7 2 4 2 4 2" xfId="13724"/>
    <cellStyle name="计算 7 2 4 2 5" xfId="13725"/>
    <cellStyle name="计算 7 2 4 3" xfId="13726"/>
    <cellStyle name="计算 7 2 4 3 2" xfId="13727"/>
    <cellStyle name="计算 7 2 4 3 2 2" xfId="13728"/>
    <cellStyle name="计算 7 2 4 3 2 2 2" xfId="13729"/>
    <cellStyle name="计算 7 2 4 3 2 3" xfId="13730"/>
    <cellStyle name="计算 7 2 4 3 2 3 2" xfId="13731"/>
    <cellStyle name="计算 7 2 4 3 2 4" xfId="13732"/>
    <cellStyle name="计算 7 2 4 3 3" xfId="13733"/>
    <cellStyle name="计算 7 2 4 3 3 2" xfId="13734"/>
    <cellStyle name="计算 7 2 4 3 4" xfId="13735"/>
    <cellStyle name="计算 7 2 4 3 4 2" xfId="13736"/>
    <cellStyle name="计算 7 2 4 3 5" xfId="13737"/>
    <cellStyle name="计算 7 2 4 4" xfId="13738"/>
    <cellStyle name="计算 7 2 4 4 2" xfId="13739"/>
    <cellStyle name="计算 7 2 4 4 2 2" xfId="13740"/>
    <cellStyle name="计算 7 2 4 4 3" xfId="13741"/>
    <cellStyle name="计算 7 2 4 4 3 2" xfId="13742"/>
    <cellStyle name="计算 7 2 4 4 4" xfId="13743"/>
    <cellStyle name="计算 7 2 4 5" xfId="13744"/>
    <cellStyle name="计算 7 2 4 5 2" xfId="13745"/>
    <cellStyle name="计算 7 2 4 6" xfId="13746"/>
    <cellStyle name="计算 7 2 4 6 2" xfId="13747"/>
    <cellStyle name="计算 7 2 4 7" xfId="13748"/>
    <cellStyle name="计算 7 2 5" xfId="13749"/>
    <cellStyle name="计算 7 2 5 2" xfId="13750"/>
    <cellStyle name="计算 7 2 5 2 2" xfId="13751"/>
    <cellStyle name="计算 7 2 5 2 2 2" xfId="13752"/>
    <cellStyle name="计算 7 2 5 2 3" xfId="13753"/>
    <cellStyle name="计算 7 2 5 2 3 2" xfId="13754"/>
    <cellStyle name="计算 7 2 5 2 4" xfId="13755"/>
    <cellStyle name="计算 7 2 5 3" xfId="13756"/>
    <cellStyle name="计算 7 2 5 3 2" xfId="13757"/>
    <cellStyle name="计算 7 2 5 4" xfId="13758"/>
    <cellStyle name="计算 7 2 5 4 2" xfId="13759"/>
    <cellStyle name="计算 7 2 5 5" xfId="13760"/>
    <cellStyle name="计算 7 2 6" xfId="13761"/>
    <cellStyle name="计算 7 2 7" xfId="13762"/>
    <cellStyle name="计算 7 2 7 2" xfId="13763"/>
    <cellStyle name="计算 7 2 7 2 2" xfId="13764"/>
    <cellStyle name="计算 7 2 7 3" xfId="13765"/>
    <cellStyle name="计算 7 2 7 3 2" xfId="13766"/>
    <cellStyle name="计算 7 2 7 4" xfId="13767"/>
    <cellStyle name="计算 7 2 8" xfId="13768"/>
    <cellStyle name="计算 7 2 8 2" xfId="13769"/>
    <cellStyle name="计算 7 2 8 2 2" xfId="13770"/>
    <cellStyle name="计算 7 2 8 3" xfId="13771"/>
    <cellStyle name="计算 7 2 8 3 2" xfId="13772"/>
    <cellStyle name="计算 7 2 8 4" xfId="13773"/>
    <cellStyle name="计算 7 2 9" xfId="13774"/>
    <cellStyle name="计算 7 2 9 2" xfId="13775"/>
    <cellStyle name="计算 7 3" xfId="13776"/>
    <cellStyle name="计算 7 3 2" xfId="13777"/>
    <cellStyle name="计算 7 3 2 2" xfId="13778"/>
    <cellStyle name="计算 7 3 2 2 2" xfId="13779"/>
    <cellStyle name="计算 7 3 2 2 2 2" xfId="13780"/>
    <cellStyle name="计算 7 3 2 2 2 2 2" xfId="13781"/>
    <cellStyle name="计算 7 3 2 2 2 3" xfId="13782"/>
    <cellStyle name="计算 7 3 2 2 2 3 2" xfId="13783"/>
    <cellStyle name="计算 7 3 2 2 2 4" xfId="13784"/>
    <cellStyle name="计算 7 3 2 2 3" xfId="13785"/>
    <cellStyle name="计算 7 3 2 2 3 2" xfId="13786"/>
    <cellStyle name="计算 7 3 2 2 4" xfId="13787"/>
    <cellStyle name="计算 7 3 2 2 4 2" xfId="13788"/>
    <cellStyle name="计算 7 3 2 2 5" xfId="13789"/>
    <cellStyle name="计算 7 3 2 3" xfId="13790"/>
    <cellStyle name="计算 7 3 2 3 2" xfId="13791"/>
    <cellStyle name="计算 7 3 2 3 2 2" xfId="13792"/>
    <cellStyle name="计算 7 3 2 3 3" xfId="13793"/>
    <cellStyle name="计算 7 3 2 3 3 2" xfId="13794"/>
    <cellStyle name="计算 7 3 2 3 4" xfId="13795"/>
    <cellStyle name="计算 7 3 2 4" xfId="13796"/>
    <cellStyle name="计算 7 3 2 4 2" xfId="13797"/>
    <cellStyle name="计算 7 3 2 5" xfId="13798"/>
    <cellStyle name="计算 7 3 2 5 2" xfId="13799"/>
    <cellStyle name="计算 7 3 2 6" xfId="13800"/>
    <cellStyle name="计算 7 3 3" xfId="13801"/>
    <cellStyle name="计算 7 3 3 2" xfId="13802"/>
    <cellStyle name="计算 7 3 3 2 2" xfId="13803"/>
    <cellStyle name="计算 7 3 3 2 2 2" xfId="13804"/>
    <cellStyle name="计算 7 3 3 2 3" xfId="13805"/>
    <cellStyle name="计算 7 3 3 2 3 2" xfId="13806"/>
    <cellStyle name="计算 7 3 3 2 4" xfId="13807"/>
    <cellStyle name="计算 7 3 3 3" xfId="13808"/>
    <cellStyle name="计算 7 3 3 3 2" xfId="13809"/>
    <cellStyle name="计算 7 3 3 4" xfId="13810"/>
    <cellStyle name="计算 7 3 3 4 2" xfId="13811"/>
    <cellStyle name="计算 7 3 3 5" xfId="13812"/>
    <cellStyle name="计算 7 3 4" xfId="13813"/>
    <cellStyle name="计算 7 3 4 2" xfId="13814"/>
    <cellStyle name="计算 7 3 4 2 2" xfId="13815"/>
    <cellStyle name="计算 7 3 4 3" xfId="13816"/>
    <cellStyle name="计算 7 3 4 3 2" xfId="13817"/>
    <cellStyle name="计算 7 3 4 4" xfId="13818"/>
    <cellStyle name="计算 7 3 5" xfId="13819"/>
    <cellStyle name="计算 7 3 5 2" xfId="13820"/>
    <cellStyle name="计算 7 3 6" xfId="13821"/>
    <cellStyle name="计算 7 3 6 2" xfId="13822"/>
    <cellStyle name="计算 7 3 7" xfId="13823"/>
    <cellStyle name="计算 7 4" xfId="13824"/>
    <cellStyle name="计算 7 4 2" xfId="13825"/>
    <cellStyle name="计算 7 4 2 2" xfId="13826"/>
    <cellStyle name="计算 7 4 2 2 2" xfId="13827"/>
    <cellStyle name="计算 7 4 2 2 2 2" xfId="13828"/>
    <cellStyle name="计算 7 4 2 2 3" xfId="13829"/>
    <cellStyle name="计算 7 4 2 2 3 2" xfId="13830"/>
    <cellStyle name="计算 7 4 2 2 4" xfId="13831"/>
    <cellStyle name="计算 7 4 2 3" xfId="13832"/>
    <cellStyle name="计算 7 4 2 3 2" xfId="13833"/>
    <cellStyle name="计算 7 4 2 4" xfId="13834"/>
    <cellStyle name="计算 7 4 2 4 2" xfId="13835"/>
    <cellStyle name="计算 7 4 2 5" xfId="13836"/>
    <cellStyle name="计算 7 4 3" xfId="13837"/>
    <cellStyle name="计算 7 4 3 2" xfId="13838"/>
    <cellStyle name="计算 7 4 3 2 2" xfId="13839"/>
    <cellStyle name="计算 7 4 3 3" xfId="13840"/>
    <cellStyle name="计算 7 4 3 3 2" xfId="13841"/>
    <cellStyle name="计算 7 4 3 4" xfId="13842"/>
    <cellStyle name="计算 7 4 4" xfId="13843"/>
    <cellStyle name="计算 7 4 4 2" xfId="13844"/>
    <cellStyle name="计算 7 4 5" xfId="13845"/>
    <cellStyle name="计算 7 4 5 2" xfId="13846"/>
    <cellStyle name="计算 7 4 6" xfId="13847"/>
    <cellStyle name="计算 7 5" xfId="13848"/>
    <cellStyle name="计算 7 5 2" xfId="13849"/>
    <cellStyle name="计算 7 5 2 2" xfId="13850"/>
    <cellStyle name="计算 7 5 2 2 2" xfId="13851"/>
    <cellStyle name="计算 7 5 2 2 2 2" xfId="13852"/>
    <cellStyle name="计算 7 5 2 2 3" xfId="13853"/>
    <cellStyle name="计算 7 5 2 2 3 2" xfId="13854"/>
    <cellStyle name="计算 7 5 2 2 4" xfId="13855"/>
    <cellStyle name="计算 7 5 2 3" xfId="13856"/>
    <cellStyle name="计算 7 5 2 3 2" xfId="13857"/>
    <cellStyle name="计算 7 5 2 4" xfId="13858"/>
    <cellStyle name="计算 7 5 2 4 2" xfId="13859"/>
    <cellStyle name="计算 7 5 2 5" xfId="13860"/>
    <cellStyle name="计算 7 5 3" xfId="13861"/>
    <cellStyle name="计算 7 5 3 2" xfId="13862"/>
    <cellStyle name="计算 7 5 3 2 2" xfId="13863"/>
    <cellStyle name="计算 7 5 3 2 2 2" xfId="13864"/>
    <cellStyle name="计算 7 5 3 2 3" xfId="13865"/>
    <cellStyle name="计算 7 5 3 2 3 2" xfId="13866"/>
    <cellStyle name="计算 7 5 3 2 4" xfId="13867"/>
    <cellStyle name="计算 7 5 3 3" xfId="13868"/>
    <cellStyle name="计算 7 5 3 3 2" xfId="13869"/>
    <cellStyle name="计算 7 5 3 4" xfId="13870"/>
    <cellStyle name="计算 7 5 3 4 2" xfId="13871"/>
    <cellStyle name="计算 7 5 3 5" xfId="13872"/>
    <cellStyle name="计算 7 5 4" xfId="13873"/>
    <cellStyle name="计算 7 5 4 2" xfId="13874"/>
    <cellStyle name="计算 7 5 4 2 2" xfId="13875"/>
    <cellStyle name="计算 7 5 4 3" xfId="13876"/>
    <cellStyle name="计算 7 5 4 3 2" xfId="13877"/>
    <cellStyle name="计算 7 5 4 4" xfId="13878"/>
    <cellStyle name="计算 7 5 5" xfId="13879"/>
    <cellStyle name="计算 7 5 5 2" xfId="13880"/>
    <cellStyle name="计算 7 5 6" xfId="13881"/>
    <cellStyle name="计算 7 5 6 2" xfId="13882"/>
    <cellStyle name="计算 7 5 7" xfId="13883"/>
    <cellStyle name="计算 7 6" xfId="13884"/>
    <cellStyle name="计算 7 7" xfId="13885"/>
    <cellStyle name="计算 7 7 2" xfId="13886"/>
    <cellStyle name="计算 7 7 2 2" xfId="13887"/>
    <cellStyle name="计算 7 7 3" xfId="13888"/>
    <cellStyle name="计算 7 7 3 2" xfId="13889"/>
    <cellStyle name="计算 7 7 4" xfId="13890"/>
    <cellStyle name="计算 7 8" xfId="13891"/>
    <cellStyle name="计算 7 8 2" xfId="13892"/>
    <cellStyle name="计算 7 8 2 2" xfId="13893"/>
    <cellStyle name="计算 7 8 3" xfId="13894"/>
    <cellStyle name="计算 7 8 3 2" xfId="13895"/>
    <cellStyle name="计算 7 8 4" xfId="13896"/>
    <cellStyle name="计算 7 9" xfId="13897"/>
    <cellStyle name="计算 7 9 2" xfId="13898"/>
    <cellStyle name="计算 8" xfId="13899"/>
    <cellStyle name="计算 8 2" xfId="13900"/>
    <cellStyle name="检查单元格 2" xfId="13901"/>
    <cellStyle name="检查单元格 2 2" xfId="13902"/>
    <cellStyle name="检查单元格 2 2 2" xfId="13903"/>
    <cellStyle name="检查单元格 2 2 3" xfId="13904"/>
    <cellStyle name="检查单元格 2 2 4" xfId="13905"/>
    <cellStyle name="检查单元格 2 2 5" xfId="13906"/>
    <cellStyle name="检查单元格 2 2 5 2" xfId="13907"/>
    <cellStyle name="检查单元格 2 2 6" xfId="13908"/>
    <cellStyle name="检查单元格 2 3" xfId="13909"/>
    <cellStyle name="检查单元格 3" xfId="13910"/>
    <cellStyle name="检查单元格 3 2" xfId="13911"/>
    <cellStyle name="检查单元格 3 2 2" xfId="13912"/>
    <cellStyle name="检查单元格 3 2 3" xfId="13913"/>
    <cellStyle name="检查单元格 3 2 4" xfId="13914"/>
    <cellStyle name="检查单元格 3 2 5" xfId="13915"/>
    <cellStyle name="检查单元格 3 2 5 2" xfId="13916"/>
    <cellStyle name="检查单元格 3 2 6" xfId="13917"/>
    <cellStyle name="检查单元格 3 3" xfId="13918"/>
    <cellStyle name="检查单元格 4" xfId="13919"/>
    <cellStyle name="检查单元格 4 2" xfId="13920"/>
    <cellStyle name="检查单元格 4 2 2" xfId="13921"/>
    <cellStyle name="检查单元格 4 2 3" xfId="13922"/>
    <cellStyle name="检查单元格 4 2 4" xfId="13923"/>
    <cellStyle name="检查单元格 4 2 5" xfId="13924"/>
    <cellStyle name="检查单元格 4 2 5 2" xfId="13925"/>
    <cellStyle name="检查单元格 4 2 6" xfId="13926"/>
    <cellStyle name="检查单元格 4 3" xfId="13927"/>
    <cellStyle name="检查单元格 5" xfId="13928"/>
    <cellStyle name="检查单元格 5 2" xfId="13929"/>
    <cellStyle name="检查单元格 5 2 2" xfId="13930"/>
    <cellStyle name="检查单元格 5 2 3" xfId="13931"/>
    <cellStyle name="检查单元格 5 2 4" xfId="13932"/>
    <cellStyle name="检查单元格 5 2 5" xfId="13933"/>
    <cellStyle name="检查单元格 5 2 5 2" xfId="13934"/>
    <cellStyle name="检查单元格 5 2 6" xfId="13935"/>
    <cellStyle name="检查单元格 5 3" xfId="13936"/>
    <cellStyle name="检查单元格 6" xfId="13937"/>
    <cellStyle name="检查单元格 6 2" xfId="13938"/>
    <cellStyle name="检查单元格 6 2 2" xfId="13939"/>
    <cellStyle name="检查单元格 6 2 3" xfId="13940"/>
    <cellStyle name="检查单元格 6 2 4" xfId="13941"/>
    <cellStyle name="检查单元格 6 2 5" xfId="13942"/>
    <cellStyle name="检查单元格 6 2 5 2" xfId="13943"/>
    <cellStyle name="检查单元格 6 2 6" xfId="13944"/>
    <cellStyle name="检查单元格 6 3" xfId="13945"/>
    <cellStyle name="检查单元格 7" xfId="13946"/>
    <cellStyle name="检查单元格 7 2" xfId="13947"/>
    <cellStyle name="检查单元格 7 2 2" xfId="13948"/>
    <cellStyle name="检查单元格 7 2 3" xfId="13949"/>
    <cellStyle name="检查单元格 7 2 4" xfId="13950"/>
    <cellStyle name="检查单元格 7 2 5" xfId="13951"/>
    <cellStyle name="检查单元格 7 2 5 2" xfId="13952"/>
    <cellStyle name="检查单元格 7 2 6" xfId="13953"/>
    <cellStyle name="检查单元格 7 3" xfId="13954"/>
    <cellStyle name="解释性文本 2" xfId="13955"/>
    <cellStyle name="解释性文本 2 2" xfId="13956"/>
    <cellStyle name="解释性文本 2 2 2" xfId="13957"/>
    <cellStyle name="解释性文本 2 2 3" xfId="13958"/>
    <cellStyle name="解释性文本 2 2 4" xfId="13959"/>
    <cellStyle name="解释性文本 2 2 5" xfId="13960"/>
    <cellStyle name="解释性文本 2 2 5 2" xfId="13961"/>
    <cellStyle name="解释性文本 2 2 6" xfId="13962"/>
    <cellStyle name="解释性文本 2 3" xfId="13963"/>
    <cellStyle name="解释性文本 3" xfId="13964"/>
    <cellStyle name="解释性文本 3 2" xfId="13965"/>
    <cellStyle name="解释性文本 3 2 2" xfId="13966"/>
    <cellStyle name="解释性文本 3 2 3" xfId="13967"/>
    <cellStyle name="解释性文本 3 2 4" xfId="13968"/>
    <cellStyle name="解释性文本 3 2 5" xfId="13969"/>
    <cellStyle name="解释性文本 3 2 5 2" xfId="13970"/>
    <cellStyle name="解释性文本 3 2 6" xfId="13971"/>
    <cellStyle name="解释性文本 3 3" xfId="13972"/>
    <cellStyle name="解释性文本 4" xfId="13973"/>
    <cellStyle name="解释性文本 4 2" xfId="13974"/>
    <cellStyle name="解释性文本 4 2 2" xfId="13975"/>
    <cellStyle name="解释性文本 4 2 3" xfId="13976"/>
    <cellStyle name="解释性文本 4 2 4" xfId="13977"/>
    <cellStyle name="解释性文本 4 2 5" xfId="13978"/>
    <cellStyle name="解释性文本 4 2 5 2" xfId="13979"/>
    <cellStyle name="解释性文本 4 2 6" xfId="13980"/>
    <cellStyle name="解释性文本 4 3" xfId="13981"/>
    <cellStyle name="解释性文本 5" xfId="13982"/>
    <cellStyle name="解释性文本 5 2" xfId="13983"/>
    <cellStyle name="解释性文本 5 2 2" xfId="13984"/>
    <cellStyle name="解释性文本 5 2 3" xfId="13985"/>
    <cellStyle name="解释性文本 5 2 4" xfId="13986"/>
    <cellStyle name="解释性文本 5 2 5" xfId="13987"/>
    <cellStyle name="解释性文本 5 2 5 2" xfId="13988"/>
    <cellStyle name="解释性文本 5 2 6" xfId="13989"/>
    <cellStyle name="解释性文本 5 3" xfId="13990"/>
    <cellStyle name="解释性文本 6" xfId="13991"/>
    <cellStyle name="解释性文本 6 2" xfId="13992"/>
    <cellStyle name="解释性文本 6 2 2" xfId="13993"/>
    <cellStyle name="解释性文本 6 2 3" xfId="13994"/>
    <cellStyle name="解释性文本 6 2 4" xfId="13995"/>
    <cellStyle name="解释性文本 6 2 5" xfId="13996"/>
    <cellStyle name="解释性文本 6 2 5 2" xfId="13997"/>
    <cellStyle name="解释性文本 6 2 6" xfId="13998"/>
    <cellStyle name="解释性文本 6 3" xfId="13999"/>
    <cellStyle name="解释性文本 7" xfId="14000"/>
    <cellStyle name="解释性文本 7 2" xfId="14001"/>
    <cellStyle name="解释性文本 7 2 2" xfId="14002"/>
    <cellStyle name="解释性文本 7 2 3" xfId="14003"/>
    <cellStyle name="解释性文本 7 2 4" xfId="14004"/>
    <cellStyle name="解释性文本 7 2 5" xfId="14005"/>
    <cellStyle name="解释性文本 7 2 5 2" xfId="14006"/>
    <cellStyle name="解释性文本 7 2 6" xfId="14007"/>
    <cellStyle name="解释性文本 7 3" xfId="14008"/>
    <cellStyle name="警告文本 2" xfId="14009"/>
    <cellStyle name="警告文本 2 2" xfId="14010"/>
    <cellStyle name="警告文本 2 2 2" xfId="14011"/>
    <cellStyle name="警告文本 2 2 3" xfId="14012"/>
    <cellStyle name="警告文本 2 2 4" xfId="14013"/>
    <cellStyle name="警告文本 2 2 5" xfId="14014"/>
    <cellStyle name="警告文本 2 2 5 2" xfId="14015"/>
    <cellStyle name="警告文本 2 2 6" xfId="14016"/>
    <cellStyle name="警告文本 2 3" xfId="14017"/>
    <cellStyle name="警告文本 3" xfId="14018"/>
    <cellStyle name="警告文本 3 2" xfId="14019"/>
    <cellStyle name="警告文本 3 2 2" xfId="14020"/>
    <cellStyle name="警告文本 3 2 3" xfId="14021"/>
    <cellStyle name="警告文本 3 2 4" xfId="14022"/>
    <cellStyle name="警告文本 3 2 5" xfId="14023"/>
    <cellStyle name="警告文本 3 2 5 2" xfId="14024"/>
    <cellStyle name="警告文本 3 2 6" xfId="14025"/>
    <cellStyle name="警告文本 3 3" xfId="14026"/>
    <cellStyle name="警告文本 4" xfId="14027"/>
    <cellStyle name="警告文本 4 2" xfId="14028"/>
    <cellStyle name="警告文本 4 2 2" xfId="14029"/>
    <cellStyle name="警告文本 4 2 3" xfId="14030"/>
    <cellStyle name="警告文本 4 2 4" xfId="14031"/>
    <cellStyle name="警告文本 4 2 5" xfId="14032"/>
    <cellStyle name="警告文本 4 2 5 2" xfId="14033"/>
    <cellStyle name="警告文本 4 2 6" xfId="14034"/>
    <cellStyle name="警告文本 4 3" xfId="14035"/>
    <cellStyle name="警告文本 5" xfId="14036"/>
    <cellStyle name="警告文本 5 2" xfId="14037"/>
    <cellStyle name="警告文本 5 2 2" xfId="14038"/>
    <cellStyle name="警告文本 5 2 3" xfId="14039"/>
    <cellStyle name="警告文本 5 2 4" xfId="14040"/>
    <cellStyle name="警告文本 5 2 5" xfId="14041"/>
    <cellStyle name="警告文本 5 2 5 2" xfId="14042"/>
    <cellStyle name="警告文本 5 2 6" xfId="14043"/>
    <cellStyle name="警告文本 5 3" xfId="14044"/>
    <cellStyle name="警告文本 6" xfId="14045"/>
    <cellStyle name="警告文本 6 2" xfId="14046"/>
    <cellStyle name="警告文本 6 2 2" xfId="14047"/>
    <cellStyle name="警告文本 6 2 3" xfId="14048"/>
    <cellStyle name="警告文本 6 2 4" xfId="14049"/>
    <cellStyle name="警告文本 6 2 5" xfId="14050"/>
    <cellStyle name="警告文本 6 2 5 2" xfId="14051"/>
    <cellStyle name="警告文本 6 2 6" xfId="14052"/>
    <cellStyle name="警告文本 6 3" xfId="14053"/>
    <cellStyle name="警告文本 7" xfId="14054"/>
    <cellStyle name="警告文本 7 2" xfId="14055"/>
    <cellStyle name="警告文本 7 2 2" xfId="14056"/>
    <cellStyle name="警告文本 7 2 3" xfId="14057"/>
    <cellStyle name="警告文本 7 2 4" xfId="14058"/>
    <cellStyle name="警告文本 7 2 5" xfId="14059"/>
    <cellStyle name="警告文本 7 2 5 2" xfId="14060"/>
    <cellStyle name="警告文本 7 2 6" xfId="14061"/>
    <cellStyle name="警告文本 7 3" xfId="14062"/>
    <cellStyle name="链接单元格 2" xfId="14063"/>
    <cellStyle name="链接单元格 2 2" xfId="14064"/>
    <cellStyle name="链接单元格 2 2 2" xfId="14065"/>
    <cellStyle name="链接单元格 2 2 3" xfId="14066"/>
    <cellStyle name="链接单元格 2 2 4" xfId="14067"/>
    <cellStyle name="链接单元格 2 2 5" xfId="14068"/>
    <cellStyle name="链接单元格 2 2 5 2" xfId="14069"/>
    <cellStyle name="链接单元格 2 2 6" xfId="14070"/>
    <cellStyle name="链接单元格 2 3" xfId="14071"/>
    <cellStyle name="链接单元格 3" xfId="14072"/>
    <cellStyle name="链接单元格 3 2" xfId="14073"/>
    <cellStyle name="链接单元格 3 2 2" xfId="14074"/>
    <cellStyle name="链接单元格 3 2 3" xfId="14075"/>
    <cellStyle name="链接单元格 3 2 4" xfId="14076"/>
    <cellStyle name="链接单元格 3 2 5" xfId="14077"/>
    <cellStyle name="链接单元格 3 2 5 2" xfId="14078"/>
    <cellStyle name="链接单元格 3 2 6" xfId="14079"/>
    <cellStyle name="链接单元格 3 3" xfId="14080"/>
    <cellStyle name="链接单元格 4" xfId="14081"/>
    <cellStyle name="链接单元格 4 2" xfId="14082"/>
    <cellStyle name="链接单元格 4 2 2" xfId="14083"/>
    <cellStyle name="链接单元格 4 2 3" xfId="14084"/>
    <cellStyle name="链接单元格 4 2 4" xfId="14085"/>
    <cellStyle name="链接单元格 4 2 5" xfId="14086"/>
    <cellStyle name="链接单元格 4 2 5 2" xfId="14087"/>
    <cellStyle name="链接单元格 4 2 6" xfId="14088"/>
    <cellStyle name="链接单元格 4 3" xfId="14089"/>
    <cellStyle name="链接单元格 5" xfId="14090"/>
    <cellStyle name="链接单元格 5 2" xfId="14091"/>
    <cellStyle name="链接单元格 5 2 2" xfId="14092"/>
    <cellStyle name="链接单元格 5 2 3" xfId="14093"/>
    <cellStyle name="链接单元格 5 2 4" xfId="14094"/>
    <cellStyle name="链接单元格 5 2 5" xfId="14095"/>
    <cellStyle name="链接单元格 5 2 5 2" xfId="14096"/>
    <cellStyle name="链接单元格 5 2 6" xfId="14097"/>
    <cellStyle name="链接单元格 5 3" xfId="14098"/>
    <cellStyle name="链接单元格 6" xfId="14099"/>
    <cellStyle name="链接单元格 6 2" xfId="14100"/>
    <cellStyle name="链接单元格 6 2 2" xfId="14101"/>
    <cellStyle name="链接单元格 6 2 3" xfId="14102"/>
    <cellStyle name="链接单元格 6 2 4" xfId="14103"/>
    <cellStyle name="链接单元格 6 2 5" xfId="14104"/>
    <cellStyle name="链接单元格 6 2 5 2" xfId="14105"/>
    <cellStyle name="链接单元格 6 2 6" xfId="14106"/>
    <cellStyle name="链接单元格 6 3" xfId="14107"/>
    <cellStyle name="链接单元格 7" xfId="14108"/>
    <cellStyle name="链接单元格 7 2" xfId="14109"/>
    <cellStyle name="链接单元格 7 2 2" xfId="14110"/>
    <cellStyle name="链接单元格 7 2 3" xfId="14111"/>
    <cellStyle name="链接单元格 7 2 4" xfId="14112"/>
    <cellStyle name="链接单元格 7 2 5" xfId="14113"/>
    <cellStyle name="链接单元格 7 2 5 2" xfId="14114"/>
    <cellStyle name="链接单元格 7 2 6" xfId="14115"/>
    <cellStyle name="链接单元格 7 3" xfId="14116"/>
    <cellStyle name="千位分隔 2" xfId="18"/>
    <cellStyle name="强调文字颜色 1 2" xfId="14117"/>
    <cellStyle name="强调文字颜色 1 2 2" xfId="14118"/>
    <cellStyle name="强调文字颜色 1 2 2 2" xfId="14119"/>
    <cellStyle name="强调文字颜色 1 2 2 3" xfId="14120"/>
    <cellStyle name="强调文字颜色 1 2 2 4" xfId="14121"/>
    <cellStyle name="强调文字颜色 1 2 2 5" xfId="14122"/>
    <cellStyle name="强调文字颜色 1 2 2 5 2" xfId="14123"/>
    <cellStyle name="强调文字颜色 1 2 2 6" xfId="14124"/>
    <cellStyle name="强调文字颜色 1 2 3" xfId="14125"/>
    <cellStyle name="强调文字颜色 1 3" xfId="14126"/>
    <cellStyle name="强调文字颜色 1 3 2" xfId="14127"/>
    <cellStyle name="强调文字颜色 1 3 2 2" xfId="14128"/>
    <cellStyle name="强调文字颜色 1 3 2 3" xfId="14129"/>
    <cellStyle name="强调文字颜色 1 3 2 4" xfId="14130"/>
    <cellStyle name="强调文字颜色 1 3 2 5" xfId="14131"/>
    <cellStyle name="强调文字颜色 1 3 2 5 2" xfId="14132"/>
    <cellStyle name="强调文字颜色 1 3 2 6" xfId="14133"/>
    <cellStyle name="强调文字颜色 1 3 3" xfId="14134"/>
    <cellStyle name="强调文字颜色 1 4" xfId="14135"/>
    <cellStyle name="强调文字颜色 1 4 2" xfId="14136"/>
    <cellStyle name="强调文字颜色 1 4 2 2" xfId="14137"/>
    <cellStyle name="强调文字颜色 1 4 2 3" xfId="14138"/>
    <cellStyle name="强调文字颜色 1 4 2 4" xfId="14139"/>
    <cellStyle name="强调文字颜色 1 4 2 5" xfId="14140"/>
    <cellStyle name="强调文字颜色 1 4 2 5 2" xfId="14141"/>
    <cellStyle name="强调文字颜色 1 4 2 6" xfId="14142"/>
    <cellStyle name="强调文字颜色 1 4 3" xfId="14143"/>
    <cellStyle name="强调文字颜色 1 5" xfId="14144"/>
    <cellStyle name="强调文字颜色 1 5 2" xfId="14145"/>
    <cellStyle name="强调文字颜色 1 5 2 2" xfId="14146"/>
    <cellStyle name="强调文字颜色 1 5 2 3" xfId="14147"/>
    <cellStyle name="强调文字颜色 1 5 2 4" xfId="14148"/>
    <cellStyle name="强调文字颜色 1 5 2 5" xfId="14149"/>
    <cellStyle name="强调文字颜色 1 5 2 5 2" xfId="14150"/>
    <cellStyle name="强调文字颜色 1 5 2 6" xfId="14151"/>
    <cellStyle name="强调文字颜色 1 5 3" xfId="14152"/>
    <cellStyle name="强调文字颜色 1 6" xfId="14153"/>
    <cellStyle name="强调文字颜色 1 6 2" xfId="14154"/>
    <cellStyle name="强调文字颜色 1 6 2 2" xfId="14155"/>
    <cellStyle name="强调文字颜色 1 6 2 3" xfId="14156"/>
    <cellStyle name="强调文字颜色 1 6 2 4" xfId="14157"/>
    <cellStyle name="强调文字颜色 1 6 2 5" xfId="14158"/>
    <cellStyle name="强调文字颜色 1 6 2 5 2" xfId="14159"/>
    <cellStyle name="强调文字颜色 1 6 2 6" xfId="14160"/>
    <cellStyle name="强调文字颜色 1 6 3" xfId="14161"/>
    <cellStyle name="强调文字颜色 1 7" xfId="14162"/>
    <cellStyle name="强调文字颜色 1 7 2" xfId="14163"/>
    <cellStyle name="强调文字颜色 1 7 2 2" xfId="14164"/>
    <cellStyle name="强调文字颜色 1 7 2 3" xfId="14165"/>
    <cellStyle name="强调文字颜色 1 7 2 4" xfId="14166"/>
    <cellStyle name="强调文字颜色 1 7 2 5" xfId="14167"/>
    <cellStyle name="强调文字颜色 1 7 2 5 2" xfId="14168"/>
    <cellStyle name="强调文字颜色 1 7 2 6" xfId="14169"/>
    <cellStyle name="强调文字颜色 1 7 3" xfId="14170"/>
    <cellStyle name="强调文字颜色 2 2" xfId="14171"/>
    <cellStyle name="强调文字颜色 2 2 2" xfId="14172"/>
    <cellStyle name="强调文字颜色 2 2 2 2" xfId="14173"/>
    <cellStyle name="强调文字颜色 2 2 2 3" xfId="14174"/>
    <cellStyle name="强调文字颜色 2 2 2 4" xfId="14175"/>
    <cellStyle name="强调文字颜色 2 2 2 5" xfId="14176"/>
    <cellStyle name="强调文字颜色 2 2 2 5 2" xfId="14177"/>
    <cellStyle name="强调文字颜色 2 2 2 6" xfId="14178"/>
    <cellStyle name="强调文字颜色 2 2 3" xfId="14179"/>
    <cellStyle name="强调文字颜色 2 3" xfId="14180"/>
    <cellStyle name="强调文字颜色 2 3 2" xfId="14181"/>
    <cellStyle name="强调文字颜色 2 3 2 2" xfId="14182"/>
    <cellStyle name="强调文字颜色 2 3 2 3" xfId="14183"/>
    <cellStyle name="强调文字颜色 2 3 2 4" xfId="14184"/>
    <cellStyle name="强调文字颜色 2 3 2 5" xfId="14185"/>
    <cellStyle name="强调文字颜色 2 3 2 5 2" xfId="14186"/>
    <cellStyle name="强调文字颜色 2 3 2 6" xfId="14187"/>
    <cellStyle name="强调文字颜色 2 3 3" xfId="14188"/>
    <cellStyle name="强调文字颜色 2 4" xfId="14189"/>
    <cellStyle name="强调文字颜色 2 4 2" xfId="14190"/>
    <cellStyle name="强调文字颜色 2 4 2 2" xfId="14191"/>
    <cellStyle name="强调文字颜色 2 4 2 3" xfId="14192"/>
    <cellStyle name="强调文字颜色 2 4 2 4" xfId="14193"/>
    <cellStyle name="强调文字颜色 2 4 2 5" xfId="14194"/>
    <cellStyle name="强调文字颜色 2 4 2 5 2" xfId="14195"/>
    <cellStyle name="强调文字颜色 2 4 2 6" xfId="14196"/>
    <cellStyle name="强调文字颜色 2 4 3" xfId="14197"/>
    <cellStyle name="强调文字颜色 2 5" xfId="14198"/>
    <cellStyle name="强调文字颜色 2 5 2" xfId="14199"/>
    <cellStyle name="强调文字颜色 2 5 2 2" xfId="14200"/>
    <cellStyle name="强调文字颜色 2 5 2 3" xfId="14201"/>
    <cellStyle name="强调文字颜色 2 5 2 4" xfId="14202"/>
    <cellStyle name="强调文字颜色 2 5 2 5" xfId="14203"/>
    <cellStyle name="强调文字颜色 2 5 2 5 2" xfId="14204"/>
    <cellStyle name="强调文字颜色 2 5 2 6" xfId="14205"/>
    <cellStyle name="强调文字颜色 2 5 3" xfId="14206"/>
    <cellStyle name="强调文字颜色 2 6" xfId="14207"/>
    <cellStyle name="强调文字颜色 2 6 2" xfId="14208"/>
    <cellStyle name="强调文字颜色 2 6 2 2" xfId="14209"/>
    <cellStyle name="强调文字颜色 2 6 2 3" xfId="14210"/>
    <cellStyle name="强调文字颜色 2 6 2 4" xfId="14211"/>
    <cellStyle name="强调文字颜色 2 6 2 5" xfId="14212"/>
    <cellStyle name="强调文字颜色 2 6 2 5 2" xfId="14213"/>
    <cellStyle name="强调文字颜色 2 6 2 6" xfId="14214"/>
    <cellStyle name="强调文字颜色 2 6 3" xfId="14215"/>
    <cellStyle name="强调文字颜色 2 7" xfId="14216"/>
    <cellStyle name="强调文字颜色 2 7 2" xfId="14217"/>
    <cellStyle name="强调文字颜色 2 7 2 2" xfId="14218"/>
    <cellStyle name="强调文字颜色 2 7 2 3" xfId="14219"/>
    <cellStyle name="强调文字颜色 2 7 2 4" xfId="14220"/>
    <cellStyle name="强调文字颜色 2 7 2 5" xfId="14221"/>
    <cellStyle name="强调文字颜色 2 7 2 5 2" xfId="14222"/>
    <cellStyle name="强调文字颜色 2 7 2 6" xfId="14223"/>
    <cellStyle name="强调文字颜色 2 7 3" xfId="14224"/>
    <cellStyle name="强调文字颜色 3 2" xfId="14225"/>
    <cellStyle name="强调文字颜色 3 2 2" xfId="14226"/>
    <cellStyle name="强调文字颜色 3 2 2 2" xfId="14227"/>
    <cellStyle name="强调文字颜色 3 2 2 3" xfId="14228"/>
    <cellStyle name="强调文字颜色 3 2 2 4" xfId="14229"/>
    <cellStyle name="强调文字颜色 3 2 2 5" xfId="14230"/>
    <cellStyle name="强调文字颜色 3 2 2 5 2" xfId="14231"/>
    <cellStyle name="强调文字颜色 3 2 2 6" xfId="14232"/>
    <cellStyle name="强调文字颜色 3 2 3" xfId="14233"/>
    <cellStyle name="强调文字颜色 3 3" xfId="14234"/>
    <cellStyle name="强调文字颜色 3 3 2" xfId="14235"/>
    <cellStyle name="强调文字颜色 3 3 2 2" xfId="14236"/>
    <cellStyle name="强调文字颜色 3 3 2 3" xfId="14237"/>
    <cellStyle name="强调文字颜色 3 3 2 4" xfId="14238"/>
    <cellStyle name="强调文字颜色 3 3 2 5" xfId="14239"/>
    <cellStyle name="强调文字颜色 3 3 2 5 2" xfId="14240"/>
    <cellStyle name="强调文字颜色 3 3 2 6" xfId="14241"/>
    <cellStyle name="强调文字颜色 3 3 3" xfId="14242"/>
    <cellStyle name="强调文字颜色 3 4" xfId="14243"/>
    <cellStyle name="强调文字颜色 3 4 2" xfId="14244"/>
    <cellStyle name="强调文字颜色 3 4 2 2" xfId="14245"/>
    <cellStyle name="强调文字颜色 3 4 2 3" xfId="14246"/>
    <cellStyle name="强调文字颜色 3 4 2 4" xfId="14247"/>
    <cellStyle name="强调文字颜色 3 4 2 5" xfId="14248"/>
    <cellStyle name="强调文字颜色 3 4 2 5 2" xfId="14249"/>
    <cellStyle name="强调文字颜色 3 4 2 6" xfId="14250"/>
    <cellStyle name="强调文字颜色 3 4 3" xfId="14251"/>
    <cellStyle name="强调文字颜色 3 5" xfId="14252"/>
    <cellStyle name="强调文字颜色 3 5 2" xfId="14253"/>
    <cellStyle name="强调文字颜色 3 5 2 2" xfId="14254"/>
    <cellStyle name="强调文字颜色 3 5 2 3" xfId="14255"/>
    <cellStyle name="强调文字颜色 3 5 2 4" xfId="14256"/>
    <cellStyle name="强调文字颜色 3 5 2 5" xfId="14257"/>
    <cellStyle name="强调文字颜色 3 5 2 5 2" xfId="14258"/>
    <cellStyle name="强调文字颜色 3 5 2 6" xfId="14259"/>
    <cellStyle name="强调文字颜色 3 5 3" xfId="14260"/>
    <cellStyle name="强调文字颜色 3 6" xfId="14261"/>
    <cellStyle name="强调文字颜色 3 6 2" xfId="14262"/>
    <cellStyle name="强调文字颜色 3 6 2 2" xfId="14263"/>
    <cellStyle name="强调文字颜色 3 6 2 3" xfId="14264"/>
    <cellStyle name="强调文字颜色 3 6 2 4" xfId="14265"/>
    <cellStyle name="强调文字颜色 3 6 2 5" xfId="14266"/>
    <cellStyle name="强调文字颜色 3 6 2 5 2" xfId="14267"/>
    <cellStyle name="强调文字颜色 3 6 2 6" xfId="14268"/>
    <cellStyle name="强调文字颜色 3 6 3" xfId="14269"/>
    <cellStyle name="强调文字颜色 3 7" xfId="14270"/>
    <cellStyle name="强调文字颜色 3 7 2" xfId="14271"/>
    <cellStyle name="强调文字颜色 3 7 2 2" xfId="14272"/>
    <cellStyle name="强调文字颜色 3 7 2 3" xfId="14273"/>
    <cellStyle name="强调文字颜色 3 7 2 4" xfId="14274"/>
    <cellStyle name="强调文字颜色 3 7 2 5" xfId="14275"/>
    <cellStyle name="强调文字颜色 3 7 2 5 2" xfId="14276"/>
    <cellStyle name="强调文字颜色 3 7 2 6" xfId="14277"/>
    <cellStyle name="强调文字颜色 3 7 3" xfId="14278"/>
    <cellStyle name="强调文字颜色 4 2" xfId="14279"/>
    <cellStyle name="强调文字颜色 4 2 2" xfId="14280"/>
    <cellStyle name="强调文字颜色 4 2 2 2" xfId="14281"/>
    <cellStyle name="强调文字颜色 4 2 2 3" xfId="14282"/>
    <cellStyle name="强调文字颜色 4 2 2 4" xfId="14283"/>
    <cellStyle name="强调文字颜色 4 2 2 5" xfId="14284"/>
    <cellStyle name="强调文字颜色 4 2 2 5 2" xfId="14285"/>
    <cellStyle name="强调文字颜色 4 2 2 6" xfId="14286"/>
    <cellStyle name="强调文字颜色 4 2 3" xfId="14287"/>
    <cellStyle name="强调文字颜色 4 3" xfId="14288"/>
    <cellStyle name="强调文字颜色 4 3 2" xfId="14289"/>
    <cellStyle name="强调文字颜色 4 3 2 2" xfId="14290"/>
    <cellStyle name="强调文字颜色 4 3 2 3" xfId="14291"/>
    <cellStyle name="强调文字颜色 4 3 2 4" xfId="14292"/>
    <cellStyle name="强调文字颜色 4 3 2 5" xfId="14293"/>
    <cellStyle name="强调文字颜色 4 3 2 5 2" xfId="14294"/>
    <cellStyle name="强调文字颜色 4 3 2 6" xfId="14295"/>
    <cellStyle name="强调文字颜色 4 3 3" xfId="14296"/>
    <cellStyle name="强调文字颜色 4 4" xfId="14297"/>
    <cellStyle name="强调文字颜色 4 4 2" xfId="14298"/>
    <cellStyle name="强调文字颜色 4 4 2 2" xfId="14299"/>
    <cellStyle name="强调文字颜色 4 4 2 3" xfId="14300"/>
    <cellStyle name="强调文字颜色 4 4 2 4" xfId="14301"/>
    <cellStyle name="强调文字颜色 4 4 2 5" xfId="14302"/>
    <cellStyle name="强调文字颜色 4 4 2 5 2" xfId="14303"/>
    <cellStyle name="强调文字颜色 4 4 2 6" xfId="14304"/>
    <cellStyle name="强调文字颜色 4 4 3" xfId="14305"/>
    <cellStyle name="强调文字颜色 4 5" xfId="14306"/>
    <cellStyle name="强调文字颜色 4 5 2" xfId="14307"/>
    <cellStyle name="强调文字颜色 4 5 2 2" xfId="14308"/>
    <cellStyle name="强调文字颜色 4 5 2 3" xfId="14309"/>
    <cellStyle name="强调文字颜色 4 5 2 4" xfId="14310"/>
    <cellStyle name="强调文字颜色 4 5 2 5" xfId="14311"/>
    <cellStyle name="强调文字颜色 4 5 2 5 2" xfId="14312"/>
    <cellStyle name="强调文字颜色 4 5 2 6" xfId="14313"/>
    <cellStyle name="强调文字颜色 4 5 3" xfId="14314"/>
    <cellStyle name="强调文字颜色 4 6" xfId="14315"/>
    <cellStyle name="强调文字颜色 4 6 2" xfId="14316"/>
    <cellStyle name="强调文字颜色 4 6 2 2" xfId="14317"/>
    <cellStyle name="强调文字颜色 4 6 2 3" xfId="14318"/>
    <cellStyle name="强调文字颜色 4 6 2 4" xfId="14319"/>
    <cellStyle name="强调文字颜色 4 6 2 5" xfId="14320"/>
    <cellStyle name="强调文字颜色 4 6 2 5 2" xfId="14321"/>
    <cellStyle name="强调文字颜色 4 6 2 6" xfId="14322"/>
    <cellStyle name="强调文字颜色 4 6 3" xfId="14323"/>
    <cellStyle name="强调文字颜色 4 7" xfId="14324"/>
    <cellStyle name="强调文字颜色 4 7 2" xfId="14325"/>
    <cellStyle name="强调文字颜色 4 7 2 2" xfId="14326"/>
    <cellStyle name="强调文字颜色 4 7 2 3" xfId="14327"/>
    <cellStyle name="强调文字颜色 4 7 2 4" xfId="14328"/>
    <cellStyle name="强调文字颜色 4 7 2 5" xfId="14329"/>
    <cellStyle name="强调文字颜色 4 7 2 5 2" xfId="14330"/>
    <cellStyle name="强调文字颜色 4 7 2 6" xfId="14331"/>
    <cellStyle name="强调文字颜色 4 7 3" xfId="14332"/>
    <cellStyle name="强调文字颜色 5 2" xfId="14333"/>
    <cellStyle name="强调文字颜色 5 2 2" xfId="14334"/>
    <cellStyle name="强调文字颜色 5 2 2 2" xfId="14335"/>
    <cellStyle name="强调文字颜色 5 2 2 3" xfId="14336"/>
    <cellStyle name="强调文字颜色 5 2 2 4" xfId="14337"/>
    <cellStyle name="强调文字颜色 5 2 2 5" xfId="14338"/>
    <cellStyle name="强调文字颜色 5 2 2 5 2" xfId="14339"/>
    <cellStyle name="强调文字颜色 5 2 2 6" xfId="14340"/>
    <cellStyle name="强调文字颜色 5 2 3" xfId="14341"/>
    <cellStyle name="强调文字颜色 5 3" xfId="14342"/>
    <cellStyle name="强调文字颜色 5 3 2" xfId="14343"/>
    <cellStyle name="强调文字颜色 5 3 2 2" xfId="14344"/>
    <cellStyle name="强调文字颜色 5 3 2 3" xfId="14345"/>
    <cellStyle name="强调文字颜色 5 3 2 4" xfId="14346"/>
    <cellStyle name="强调文字颜色 5 3 2 5" xfId="14347"/>
    <cellStyle name="强调文字颜色 5 3 2 5 2" xfId="14348"/>
    <cellStyle name="强调文字颜色 5 3 2 6" xfId="14349"/>
    <cellStyle name="强调文字颜色 5 3 3" xfId="14350"/>
    <cellStyle name="强调文字颜色 5 4" xfId="14351"/>
    <cellStyle name="强调文字颜色 5 4 2" xfId="14352"/>
    <cellStyle name="强调文字颜色 5 4 2 2" xfId="14353"/>
    <cellStyle name="强调文字颜色 5 4 2 3" xfId="14354"/>
    <cellStyle name="强调文字颜色 5 4 2 4" xfId="14355"/>
    <cellStyle name="强调文字颜色 5 4 2 5" xfId="14356"/>
    <cellStyle name="强调文字颜色 5 4 2 5 2" xfId="14357"/>
    <cellStyle name="强调文字颜色 5 4 2 6" xfId="14358"/>
    <cellStyle name="强调文字颜色 5 4 3" xfId="14359"/>
    <cellStyle name="强调文字颜色 5 5" xfId="14360"/>
    <cellStyle name="强调文字颜色 5 5 2" xfId="14361"/>
    <cellStyle name="强调文字颜色 5 5 2 2" xfId="14362"/>
    <cellStyle name="强调文字颜色 5 5 2 3" xfId="14363"/>
    <cellStyle name="强调文字颜色 5 5 2 4" xfId="14364"/>
    <cellStyle name="强调文字颜色 5 5 2 5" xfId="14365"/>
    <cellStyle name="强调文字颜色 5 5 2 5 2" xfId="14366"/>
    <cellStyle name="强调文字颜色 5 5 2 6" xfId="14367"/>
    <cellStyle name="强调文字颜色 5 5 3" xfId="14368"/>
    <cellStyle name="强调文字颜色 5 6" xfId="14369"/>
    <cellStyle name="强调文字颜色 5 6 2" xfId="14370"/>
    <cellStyle name="强调文字颜色 5 6 2 2" xfId="14371"/>
    <cellStyle name="强调文字颜色 5 6 2 3" xfId="14372"/>
    <cellStyle name="强调文字颜色 5 6 2 4" xfId="14373"/>
    <cellStyle name="强调文字颜色 5 6 2 5" xfId="14374"/>
    <cellStyle name="强调文字颜色 5 6 2 5 2" xfId="14375"/>
    <cellStyle name="强调文字颜色 5 6 2 6" xfId="14376"/>
    <cellStyle name="强调文字颜色 5 6 3" xfId="14377"/>
    <cellStyle name="强调文字颜色 5 7" xfId="14378"/>
    <cellStyle name="强调文字颜色 5 7 2" xfId="14379"/>
    <cellStyle name="强调文字颜色 5 7 2 2" xfId="14380"/>
    <cellStyle name="强调文字颜色 5 7 2 3" xfId="14381"/>
    <cellStyle name="强调文字颜色 5 7 2 4" xfId="14382"/>
    <cellStyle name="强调文字颜色 5 7 2 5" xfId="14383"/>
    <cellStyle name="强调文字颜色 5 7 2 5 2" xfId="14384"/>
    <cellStyle name="强调文字颜色 5 7 2 6" xfId="14385"/>
    <cellStyle name="强调文字颜色 5 7 3" xfId="14386"/>
    <cellStyle name="强调文字颜色 6 2" xfId="14387"/>
    <cellStyle name="强调文字颜色 6 2 2" xfId="14388"/>
    <cellStyle name="强调文字颜色 6 2 2 2" xfId="14389"/>
    <cellStyle name="强调文字颜色 6 2 2 3" xfId="14390"/>
    <cellStyle name="强调文字颜色 6 2 2 4" xfId="14391"/>
    <cellStyle name="强调文字颜色 6 2 2 5" xfId="14392"/>
    <cellStyle name="强调文字颜色 6 2 2 5 2" xfId="14393"/>
    <cellStyle name="强调文字颜色 6 2 2 6" xfId="14394"/>
    <cellStyle name="强调文字颜色 6 2 3" xfId="14395"/>
    <cellStyle name="强调文字颜色 6 3" xfId="14396"/>
    <cellStyle name="强调文字颜色 6 3 2" xfId="14397"/>
    <cellStyle name="强调文字颜色 6 3 2 2" xfId="14398"/>
    <cellStyle name="强调文字颜色 6 3 2 3" xfId="14399"/>
    <cellStyle name="强调文字颜色 6 3 2 4" xfId="14400"/>
    <cellStyle name="强调文字颜色 6 3 2 5" xfId="14401"/>
    <cellStyle name="强调文字颜色 6 3 2 5 2" xfId="14402"/>
    <cellStyle name="强调文字颜色 6 3 2 6" xfId="14403"/>
    <cellStyle name="强调文字颜色 6 3 3" xfId="14404"/>
    <cellStyle name="强调文字颜色 6 4" xfId="14405"/>
    <cellStyle name="强调文字颜色 6 4 2" xfId="14406"/>
    <cellStyle name="强调文字颜色 6 4 2 2" xfId="14407"/>
    <cellStyle name="强调文字颜色 6 4 2 3" xfId="14408"/>
    <cellStyle name="强调文字颜色 6 4 2 4" xfId="14409"/>
    <cellStyle name="强调文字颜色 6 4 2 5" xfId="14410"/>
    <cellStyle name="强调文字颜色 6 4 2 5 2" xfId="14411"/>
    <cellStyle name="强调文字颜色 6 4 2 6" xfId="14412"/>
    <cellStyle name="强调文字颜色 6 4 3" xfId="14413"/>
    <cellStyle name="强调文字颜色 6 5" xfId="14414"/>
    <cellStyle name="强调文字颜色 6 5 2" xfId="14415"/>
    <cellStyle name="强调文字颜色 6 5 2 2" xfId="14416"/>
    <cellStyle name="强调文字颜色 6 5 2 3" xfId="14417"/>
    <cellStyle name="强调文字颜色 6 5 2 4" xfId="14418"/>
    <cellStyle name="强调文字颜色 6 5 2 5" xfId="14419"/>
    <cellStyle name="强调文字颜色 6 5 2 5 2" xfId="14420"/>
    <cellStyle name="强调文字颜色 6 5 2 6" xfId="14421"/>
    <cellStyle name="强调文字颜色 6 5 3" xfId="14422"/>
    <cellStyle name="强调文字颜色 6 6" xfId="14423"/>
    <cellStyle name="强调文字颜色 6 6 2" xfId="14424"/>
    <cellStyle name="强调文字颜色 6 6 2 2" xfId="14425"/>
    <cellStyle name="强调文字颜色 6 6 2 3" xfId="14426"/>
    <cellStyle name="强调文字颜色 6 6 2 4" xfId="14427"/>
    <cellStyle name="强调文字颜色 6 6 2 5" xfId="14428"/>
    <cellStyle name="强调文字颜色 6 6 2 5 2" xfId="14429"/>
    <cellStyle name="强调文字颜色 6 6 2 6" xfId="14430"/>
    <cellStyle name="强调文字颜色 6 6 3" xfId="14431"/>
    <cellStyle name="强调文字颜色 6 7" xfId="14432"/>
    <cellStyle name="强调文字颜色 6 7 2" xfId="14433"/>
    <cellStyle name="强调文字颜色 6 7 2 2" xfId="14434"/>
    <cellStyle name="强调文字颜色 6 7 2 3" xfId="14435"/>
    <cellStyle name="强调文字颜色 6 7 2 4" xfId="14436"/>
    <cellStyle name="强调文字颜色 6 7 2 5" xfId="14437"/>
    <cellStyle name="强调文字颜色 6 7 2 5 2" xfId="14438"/>
    <cellStyle name="强调文字颜色 6 7 2 6" xfId="14439"/>
    <cellStyle name="强调文字颜色 6 7 3" xfId="14440"/>
    <cellStyle name="适中 2" xfId="14441"/>
    <cellStyle name="适中 2 2" xfId="14442"/>
    <cellStyle name="适中 2 2 2" xfId="14443"/>
    <cellStyle name="适中 2 2 3" xfId="14444"/>
    <cellStyle name="适中 2 2 4" xfId="14445"/>
    <cellStyle name="适中 2 2 5" xfId="14446"/>
    <cellStyle name="适中 2 2 5 2" xfId="14447"/>
    <cellStyle name="适中 2 2 6" xfId="14448"/>
    <cellStyle name="适中 2 3" xfId="14449"/>
    <cellStyle name="适中 3" xfId="14450"/>
    <cellStyle name="适中 3 2" xfId="14451"/>
    <cellStyle name="适中 3 2 2" xfId="14452"/>
    <cellStyle name="适中 3 2 3" xfId="14453"/>
    <cellStyle name="适中 3 2 4" xfId="14454"/>
    <cellStyle name="适中 3 2 5" xfId="14455"/>
    <cellStyle name="适中 3 2 5 2" xfId="14456"/>
    <cellStyle name="适中 3 2 6" xfId="14457"/>
    <cellStyle name="适中 3 3" xfId="14458"/>
    <cellStyle name="适中 4" xfId="14459"/>
    <cellStyle name="适中 4 2" xfId="14460"/>
    <cellStyle name="适中 4 2 2" xfId="14461"/>
    <cellStyle name="适中 4 2 3" xfId="14462"/>
    <cellStyle name="适中 4 2 4" xfId="14463"/>
    <cellStyle name="适中 4 2 5" xfId="14464"/>
    <cellStyle name="适中 4 2 5 2" xfId="14465"/>
    <cellStyle name="适中 4 2 6" xfId="14466"/>
    <cellStyle name="适中 4 3" xfId="14467"/>
    <cellStyle name="适中 5" xfId="14468"/>
    <cellStyle name="适中 5 2" xfId="14469"/>
    <cellStyle name="适中 5 2 2" xfId="14470"/>
    <cellStyle name="适中 5 2 3" xfId="14471"/>
    <cellStyle name="适中 5 2 4" xfId="14472"/>
    <cellStyle name="适中 5 2 5" xfId="14473"/>
    <cellStyle name="适中 5 2 5 2" xfId="14474"/>
    <cellStyle name="适中 5 2 6" xfId="14475"/>
    <cellStyle name="适中 5 3" xfId="14476"/>
    <cellStyle name="适中 6" xfId="14477"/>
    <cellStyle name="适中 6 2" xfId="14478"/>
    <cellStyle name="适中 6 2 2" xfId="14479"/>
    <cellStyle name="适中 6 2 3" xfId="14480"/>
    <cellStyle name="适中 6 2 4" xfId="14481"/>
    <cellStyle name="适中 6 2 5" xfId="14482"/>
    <cellStyle name="适中 6 2 5 2" xfId="14483"/>
    <cellStyle name="适中 6 2 6" xfId="14484"/>
    <cellStyle name="适中 6 3" xfId="14485"/>
    <cellStyle name="适中 7" xfId="14486"/>
    <cellStyle name="适中 7 2" xfId="14487"/>
    <cellStyle name="适中 7 2 2" xfId="14488"/>
    <cellStyle name="适中 7 2 3" xfId="14489"/>
    <cellStyle name="适中 7 2 4" xfId="14490"/>
    <cellStyle name="适中 7 2 5" xfId="14491"/>
    <cellStyle name="适中 7 2 5 2" xfId="14492"/>
    <cellStyle name="适中 7 2 6" xfId="14493"/>
    <cellStyle name="适中 7 3" xfId="14494"/>
    <cellStyle name="输出 2" xfId="14495"/>
    <cellStyle name="输出 2 10" xfId="14496"/>
    <cellStyle name="输出 2 10 2" xfId="14497"/>
    <cellStyle name="输出 2 11" xfId="14498"/>
    <cellStyle name="输出 2 12" xfId="14499"/>
    <cellStyle name="输出 2 2" xfId="14500"/>
    <cellStyle name="输出 2 2 10" xfId="14501"/>
    <cellStyle name="输出 2 2 10 2" xfId="14502"/>
    <cellStyle name="输出 2 2 11" xfId="14503"/>
    <cellStyle name="输出 2 2 11 2" xfId="14504"/>
    <cellStyle name="输出 2 2 12" xfId="14505"/>
    <cellStyle name="输出 2 2 13" xfId="14506"/>
    <cellStyle name="输出 2 2 2" xfId="14507"/>
    <cellStyle name="输出 2 2 2 2" xfId="14508"/>
    <cellStyle name="输出 2 2 2 2 2" xfId="14509"/>
    <cellStyle name="输出 2 2 2 2 2 2" xfId="14510"/>
    <cellStyle name="输出 2 2 2 2 2 2 2" xfId="14511"/>
    <cellStyle name="输出 2 2 2 2 2 3" xfId="14512"/>
    <cellStyle name="输出 2 2 2 2 2 3 2" xfId="14513"/>
    <cellStyle name="输出 2 2 2 2 2 4" xfId="14514"/>
    <cellStyle name="输出 2 2 2 2 3" xfId="14515"/>
    <cellStyle name="输出 2 2 2 2 3 2" xfId="14516"/>
    <cellStyle name="输出 2 2 2 2 4" xfId="14517"/>
    <cellStyle name="输出 2 2 2 2 4 2" xfId="14518"/>
    <cellStyle name="输出 2 2 2 2 5" xfId="14519"/>
    <cellStyle name="输出 2 2 2 3" xfId="14520"/>
    <cellStyle name="输出 2 2 2 3 2" xfId="14521"/>
    <cellStyle name="输出 2 2 2 3 2 2" xfId="14522"/>
    <cellStyle name="输出 2 2 2 3 3" xfId="14523"/>
    <cellStyle name="输出 2 2 2 3 3 2" xfId="14524"/>
    <cellStyle name="输出 2 2 2 3 4" xfId="14525"/>
    <cellStyle name="输出 2 2 2 4" xfId="14526"/>
    <cellStyle name="输出 2 2 2 4 2" xfId="14527"/>
    <cellStyle name="输出 2 2 2 5" xfId="14528"/>
    <cellStyle name="输出 2 2 2 5 2" xfId="14529"/>
    <cellStyle name="输出 2 2 2 6" xfId="14530"/>
    <cellStyle name="输出 2 2 3" xfId="14531"/>
    <cellStyle name="输出 2 2 3 2" xfId="14532"/>
    <cellStyle name="输出 2 2 3 2 2" xfId="14533"/>
    <cellStyle name="输出 2 2 3 2 2 2" xfId="14534"/>
    <cellStyle name="输出 2 2 3 2 2 2 2" xfId="14535"/>
    <cellStyle name="输出 2 2 3 2 2 3" xfId="14536"/>
    <cellStyle name="输出 2 2 3 2 2 3 2" xfId="14537"/>
    <cellStyle name="输出 2 2 3 2 2 4" xfId="14538"/>
    <cellStyle name="输出 2 2 3 2 3" xfId="14539"/>
    <cellStyle name="输出 2 2 3 2 3 2" xfId="14540"/>
    <cellStyle name="输出 2 2 3 2 4" xfId="14541"/>
    <cellStyle name="输出 2 2 3 2 4 2" xfId="14542"/>
    <cellStyle name="输出 2 2 3 2 5" xfId="14543"/>
    <cellStyle name="输出 2 2 3 3" xfId="14544"/>
    <cellStyle name="输出 2 2 3 3 2" xfId="14545"/>
    <cellStyle name="输出 2 2 3 3 2 2" xfId="14546"/>
    <cellStyle name="输出 2 2 3 3 2 2 2" xfId="14547"/>
    <cellStyle name="输出 2 2 3 3 2 3" xfId="14548"/>
    <cellStyle name="输出 2 2 3 3 2 3 2" xfId="14549"/>
    <cellStyle name="输出 2 2 3 3 2 4" xfId="14550"/>
    <cellStyle name="输出 2 2 3 3 3" xfId="14551"/>
    <cellStyle name="输出 2 2 3 3 3 2" xfId="14552"/>
    <cellStyle name="输出 2 2 3 3 4" xfId="14553"/>
    <cellStyle name="输出 2 2 3 3 4 2" xfId="14554"/>
    <cellStyle name="输出 2 2 3 3 5" xfId="14555"/>
    <cellStyle name="输出 2 2 3 4" xfId="14556"/>
    <cellStyle name="输出 2 2 3 4 2" xfId="14557"/>
    <cellStyle name="输出 2 2 3 4 2 2" xfId="14558"/>
    <cellStyle name="输出 2 2 3 4 3" xfId="14559"/>
    <cellStyle name="输出 2 2 3 4 3 2" xfId="14560"/>
    <cellStyle name="输出 2 2 3 4 4" xfId="14561"/>
    <cellStyle name="输出 2 2 3 5" xfId="14562"/>
    <cellStyle name="输出 2 2 3 5 2" xfId="14563"/>
    <cellStyle name="输出 2 2 3 6" xfId="14564"/>
    <cellStyle name="输出 2 2 3 6 2" xfId="14565"/>
    <cellStyle name="输出 2 2 3 7" xfId="14566"/>
    <cellStyle name="输出 2 2 4" xfId="14567"/>
    <cellStyle name="输出 2 2 4 2" xfId="14568"/>
    <cellStyle name="输出 2 2 4 2 2" xfId="14569"/>
    <cellStyle name="输出 2 2 4 2 2 2" xfId="14570"/>
    <cellStyle name="输出 2 2 4 2 2 2 2" xfId="14571"/>
    <cellStyle name="输出 2 2 4 2 2 3" xfId="14572"/>
    <cellStyle name="输出 2 2 4 2 2 3 2" xfId="14573"/>
    <cellStyle name="输出 2 2 4 2 2 4" xfId="14574"/>
    <cellStyle name="输出 2 2 4 2 3" xfId="14575"/>
    <cellStyle name="输出 2 2 4 2 3 2" xfId="14576"/>
    <cellStyle name="输出 2 2 4 2 4" xfId="14577"/>
    <cellStyle name="输出 2 2 4 2 4 2" xfId="14578"/>
    <cellStyle name="输出 2 2 4 2 5" xfId="14579"/>
    <cellStyle name="输出 2 2 4 3" xfId="14580"/>
    <cellStyle name="输出 2 2 4 3 2" xfId="14581"/>
    <cellStyle name="输出 2 2 4 3 2 2" xfId="14582"/>
    <cellStyle name="输出 2 2 4 3 2 2 2" xfId="14583"/>
    <cellStyle name="输出 2 2 4 3 2 3" xfId="14584"/>
    <cellStyle name="输出 2 2 4 3 2 3 2" xfId="14585"/>
    <cellStyle name="输出 2 2 4 3 2 4" xfId="14586"/>
    <cellStyle name="输出 2 2 4 3 3" xfId="14587"/>
    <cellStyle name="输出 2 2 4 3 3 2" xfId="14588"/>
    <cellStyle name="输出 2 2 4 3 4" xfId="14589"/>
    <cellStyle name="输出 2 2 4 3 4 2" xfId="14590"/>
    <cellStyle name="输出 2 2 4 3 5" xfId="14591"/>
    <cellStyle name="输出 2 2 4 4" xfId="14592"/>
    <cellStyle name="输出 2 2 4 4 2" xfId="14593"/>
    <cellStyle name="输出 2 2 4 4 2 2" xfId="14594"/>
    <cellStyle name="输出 2 2 4 4 3" xfId="14595"/>
    <cellStyle name="输出 2 2 4 4 3 2" xfId="14596"/>
    <cellStyle name="输出 2 2 4 4 4" xfId="14597"/>
    <cellStyle name="输出 2 2 4 5" xfId="14598"/>
    <cellStyle name="输出 2 2 4 5 2" xfId="14599"/>
    <cellStyle name="输出 2 2 4 6" xfId="14600"/>
    <cellStyle name="输出 2 2 4 6 2" xfId="14601"/>
    <cellStyle name="输出 2 2 4 7" xfId="14602"/>
    <cellStyle name="输出 2 2 5" xfId="14603"/>
    <cellStyle name="输出 2 2 5 2" xfId="14604"/>
    <cellStyle name="输出 2 2 5 2 2" xfId="14605"/>
    <cellStyle name="输出 2 2 5 2 2 2" xfId="14606"/>
    <cellStyle name="输出 2 2 5 2 3" xfId="14607"/>
    <cellStyle name="输出 2 2 5 2 3 2" xfId="14608"/>
    <cellStyle name="输出 2 2 5 2 4" xfId="14609"/>
    <cellStyle name="输出 2 2 5 3" xfId="14610"/>
    <cellStyle name="输出 2 2 5 3 2" xfId="14611"/>
    <cellStyle name="输出 2 2 5 4" xfId="14612"/>
    <cellStyle name="输出 2 2 5 4 2" xfId="14613"/>
    <cellStyle name="输出 2 2 5 5" xfId="14614"/>
    <cellStyle name="输出 2 2 6" xfId="14615"/>
    <cellStyle name="输出 2 2 7" xfId="14616"/>
    <cellStyle name="输出 2 2 7 2" xfId="14617"/>
    <cellStyle name="输出 2 2 7 2 2" xfId="14618"/>
    <cellStyle name="输出 2 2 7 3" xfId="14619"/>
    <cellStyle name="输出 2 2 7 3 2" xfId="14620"/>
    <cellStyle name="输出 2 2 7 4" xfId="14621"/>
    <cellStyle name="输出 2 2 8" xfId="14622"/>
    <cellStyle name="输出 2 2 8 2" xfId="14623"/>
    <cellStyle name="输出 2 2 8 2 2" xfId="14624"/>
    <cellStyle name="输出 2 2 8 3" xfId="14625"/>
    <cellStyle name="输出 2 2 8 3 2" xfId="14626"/>
    <cellStyle name="输出 2 2 8 4" xfId="14627"/>
    <cellStyle name="输出 2 2 9" xfId="14628"/>
    <cellStyle name="输出 2 2 9 2" xfId="14629"/>
    <cellStyle name="输出 2 3" xfId="14630"/>
    <cellStyle name="输出 2 3 2" xfId="14631"/>
    <cellStyle name="输出 2 3 2 2" xfId="14632"/>
    <cellStyle name="输出 2 3 2 2 2" xfId="14633"/>
    <cellStyle name="输出 2 3 2 2 2 2" xfId="14634"/>
    <cellStyle name="输出 2 3 2 2 2 2 2" xfId="14635"/>
    <cellStyle name="输出 2 3 2 2 2 3" xfId="14636"/>
    <cellStyle name="输出 2 3 2 2 2 3 2" xfId="14637"/>
    <cellStyle name="输出 2 3 2 2 2 4" xfId="14638"/>
    <cellStyle name="输出 2 3 2 2 3" xfId="14639"/>
    <cellStyle name="输出 2 3 2 2 3 2" xfId="14640"/>
    <cellStyle name="输出 2 3 2 2 4" xfId="14641"/>
    <cellStyle name="输出 2 3 2 2 4 2" xfId="14642"/>
    <cellStyle name="输出 2 3 2 2 5" xfId="14643"/>
    <cellStyle name="输出 2 3 2 3" xfId="14644"/>
    <cellStyle name="输出 2 3 2 3 2" xfId="14645"/>
    <cellStyle name="输出 2 3 2 3 2 2" xfId="14646"/>
    <cellStyle name="输出 2 3 2 3 3" xfId="14647"/>
    <cellStyle name="输出 2 3 2 3 3 2" xfId="14648"/>
    <cellStyle name="输出 2 3 2 3 4" xfId="14649"/>
    <cellStyle name="输出 2 3 2 4" xfId="14650"/>
    <cellStyle name="输出 2 3 2 4 2" xfId="14651"/>
    <cellStyle name="输出 2 3 2 5" xfId="14652"/>
    <cellStyle name="输出 2 3 2 5 2" xfId="14653"/>
    <cellStyle name="输出 2 3 2 6" xfId="14654"/>
    <cellStyle name="输出 2 3 3" xfId="14655"/>
    <cellStyle name="输出 2 3 3 2" xfId="14656"/>
    <cellStyle name="输出 2 3 3 2 2" xfId="14657"/>
    <cellStyle name="输出 2 3 3 2 2 2" xfId="14658"/>
    <cellStyle name="输出 2 3 3 2 3" xfId="14659"/>
    <cellStyle name="输出 2 3 3 2 3 2" xfId="14660"/>
    <cellStyle name="输出 2 3 3 2 4" xfId="14661"/>
    <cellStyle name="输出 2 3 3 3" xfId="14662"/>
    <cellStyle name="输出 2 3 3 3 2" xfId="14663"/>
    <cellStyle name="输出 2 3 3 4" xfId="14664"/>
    <cellStyle name="输出 2 3 3 4 2" xfId="14665"/>
    <cellStyle name="输出 2 3 3 5" xfId="14666"/>
    <cellStyle name="输出 2 3 4" xfId="14667"/>
    <cellStyle name="输出 2 3 4 2" xfId="14668"/>
    <cellStyle name="输出 2 3 4 2 2" xfId="14669"/>
    <cellStyle name="输出 2 3 4 3" xfId="14670"/>
    <cellStyle name="输出 2 3 4 3 2" xfId="14671"/>
    <cellStyle name="输出 2 3 4 4" xfId="14672"/>
    <cellStyle name="输出 2 3 5" xfId="14673"/>
    <cellStyle name="输出 2 3 5 2" xfId="14674"/>
    <cellStyle name="输出 2 3 6" xfId="14675"/>
    <cellStyle name="输出 2 3 6 2" xfId="14676"/>
    <cellStyle name="输出 2 3 7" xfId="14677"/>
    <cellStyle name="输出 2 4" xfId="14678"/>
    <cellStyle name="输出 2 4 2" xfId="14679"/>
    <cellStyle name="输出 2 4 2 2" xfId="14680"/>
    <cellStyle name="输出 2 4 2 2 2" xfId="14681"/>
    <cellStyle name="输出 2 4 2 2 2 2" xfId="14682"/>
    <cellStyle name="输出 2 4 2 2 3" xfId="14683"/>
    <cellStyle name="输出 2 4 2 2 3 2" xfId="14684"/>
    <cellStyle name="输出 2 4 2 2 4" xfId="14685"/>
    <cellStyle name="输出 2 4 2 3" xfId="14686"/>
    <cellStyle name="输出 2 4 2 3 2" xfId="14687"/>
    <cellStyle name="输出 2 4 2 4" xfId="14688"/>
    <cellStyle name="输出 2 4 2 4 2" xfId="14689"/>
    <cellStyle name="输出 2 4 2 5" xfId="14690"/>
    <cellStyle name="输出 2 4 3" xfId="14691"/>
    <cellStyle name="输出 2 4 3 2" xfId="14692"/>
    <cellStyle name="输出 2 4 3 2 2" xfId="14693"/>
    <cellStyle name="输出 2 4 3 3" xfId="14694"/>
    <cellStyle name="输出 2 4 3 3 2" xfId="14695"/>
    <cellStyle name="输出 2 4 3 4" xfId="14696"/>
    <cellStyle name="输出 2 4 4" xfId="14697"/>
    <cellStyle name="输出 2 4 4 2" xfId="14698"/>
    <cellStyle name="输出 2 4 5" xfId="14699"/>
    <cellStyle name="输出 2 4 5 2" xfId="14700"/>
    <cellStyle name="输出 2 4 6" xfId="14701"/>
    <cellStyle name="输出 2 5" xfId="14702"/>
    <cellStyle name="输出 2 5 2" xfId="14703"/>
    <cellStyle name="输出 2 5 2 2" xfId="14704"/>
    <cellStyle name="输出 2 5 2 2 2" xfId="14705"/>
    <cellStyle name="输出 2 5 2 2 2 2" xfId="14706"/>
    <cellStyle name="输出 2 5 2 2 3" xfId="14707"/>
    <cellStyle name="输出 2 5 2 2 3 2" xfId="14708"/>
    <cellStyle name="输出 2 5 2 2 4" xfId="14709"/>
    <cellStyle name="输出 2 5 2 3" xfId="14710"/>
    <cellStyle name="输出 2 5 2 3 2" xfId="14711"/>
    <cellStyle name="输出 2 5 2 4" xfId="14712"/>
    <cellStyle name="输出 2 5 2 4 2" xfId="14713"/>
    <cellStyle name="输出 2 5 2 5" xfId="14714"/>
    <cellStyle name="输出 2 5 3" xfId="14715"/>
    <cellStyle name="输出 2 5 3 2" xfId="14716"/>
    <cellStyle name="输出 2 5 3 2 2" xfId="14717"/>
    <cellStyle name="输出 2 5 3 2 2 2" xfId="14718"/>
    <cellStyle name="输出 2 5 3 2 3" xfId="14719"/>
    <cellStyle name="输出 2 5 3 2 3 2" xfId="14720"/>
    <cellStyle name="输出 2 5 3 2 4" xfId="14721"/>
    <cellStyle name="输出 2 5 3 3" xfId="14722"/>
    <cellStyle name="输出 2 5 3 3 2" xfId="14723"/>
    <cellStyle name="输出 2 5 3 4" xfId="14724"/>
    <cellStyle name="输出 2 5 3 4 2" xfId="14725"/>
    <cellStyle name="输出 2 5 3 5" xfId="14726"/>
    <cellStyle name="输出 2 5 4" xfId="14727"/>
    <cellStyle name="输出 2 5 4 2" xfId="14728"/>
    <cellStyle name="输出 2 5 4 2 2" xfId="14729"/>
    <cellStyle name="输出 2 5 4 3" xfId="14730"/>
    <cellStyle name="输出 2 5 4 3 2" xfId="14731"/>
    <cellStyle name="输出 2 5 4 4" xfId="14732"/>
    <cellStyle name="输出 2 5 5" xfId="14733"/>
    <cellStyle name="输出 2 5 5 2" xfId="14734"/>
    <cellStyle name="输出 2 5 6" xfId="14735"/>
    <cellStyle name="输出 2 5 6 2" xfId="14736"/>
    <cellStyle name="输出 2 5 7" xfId="14737"/>
    <cellStyle name="输出 2 6" xfId="14738"/>
    <cellStyle name="输出 2 7" xfId="14739"/>
    <cellStyle name="输出 2 7 2" xfId="14740"/>
    <cellStyle name="输出 2 7 2 2" xfId="14741"/>
    <cellStyle name="输出 2 7 3" xfId="14742"/>
    <cellStyle name="输出 2 7 3 2" xfId="14743"/>
    <cellStyle name="输出 2 7 4" xfId="14744"/>
    <cellStyle name="输出 2 8" xfId="14745"/>
    <cellStyle name="输出 2 8 2" xfId="14746"/>
    <cellStyle name="输出 2 8 2 2" xfId="14747"/>
    <cellStyle name="输出 2 8 3" xfId="14748"/>
    <cellStyle name="输出 2 8 3 2" xfId="14749"/>
    <cellStyle name="输出 2 8 4" xfId="14750"/>
    <cellStyle name="输出 2 9" xfId="14751"/>
    <cellStyle name="输出 2 9 2" xfId="14752"/>
    <cellStyle name="输出 3" xfId="14753"/>
    <cellStyle name="输出 3 10" xfId="14754"/>
    <cellStyle name="输出 3 10 2" xfId="14755"/>
    <cellStyle name="输出 3 11" xfId="14756"/>
    <cellStyle name="输出 3 12" xfId="14757"/>
    <cellStyle name="输出 3 2" xfId="14758"/>
    <cellStyle name="输出 3 2 10" xfId="14759"/>
    <cellStyle name="输出 3 2 10 2" xfId="14760"/>
    <cellStyle name="输出 3 2 11" xfId="14761"/>
    <cellStyle name="输出 3 2 11 2" xfId="14762"/>
    <cellStyle name="输出 3 2 12" xfId="14763"/>
    <cellStyle name="输出 3 2 13" xfId="14764"/>
    <cellStyle name="输出 3 2 2" xfId="14765"/>
    <cellStyle name="输出 3 2 2 2" xfId="14766"/>
    <cellStyle name="输出 3 2 2 2 2" xfId="14767"/>
    <cellStyle name="输出 3 2 2 2 2 2" xfId="14768"/>
    <cellStyle name="输出 3 2 2 2 2 2 2" xfId="14769"/>
    <cellStyle name="输出 3 2 2 2 2 3" xfId="14770"/>
    <cellStyle name="输出 3 2 2 2 2 3 2" xfId="14771"/>
    <cellStyle name="输出 3 2 2 2 2 4" xfId="14772"/>
    <cellStyle name="输出 3 2 2 2 3" xfId="14773"/>
    <cellStyle name="输出 3 2 2 2 3 2" xfId="14774"/>
    <cellStyle name="输出 3 2 2 2 4" xfId="14775"/>
    <cellStyle name="输出 3 2 2 2 4 2" xfId="14776"/>
    <cellStyle name="输出 3 2 2 2 5" xfId="14777"/>
    <cellStyle name="输出 3 2 2 3" xfId="14778"/>
    <cellStyle name="输出 3 2 2 3 2" xfId="14779"/>
    <cellStyle name="输出 3 2 2 3 2 2" xfId="14780"/>
    <cellStyle name="输出 3 2 2 3 3" xfId="14781"/>
    <cellStyle name="输出 3 2 2 3 3 2" xfId="14782"/>
    <cellStyle name="输出 3 2 2 3 4" xfId="14783"/>
    <cellStyle name="输出 3 2 2 4" xfId="14784"/>
    <cellStyle name="输出 3 2 2 4 2" xfId="14785"/>
    <cellStyle name="输出 3 2 2 5" xfId="14786"/>
    <cellStyle name="输出 3 2 2 5 2" xfId="14787"/>
    <cellStyle name="输出 3 2 2 6" xfId="14788"/>
    <cellStyle name="输出 3 2 3" xfId="14789"/>
    <cellStyle name="输出 3 2 3 2" xfId="14790"/>
    <cellStyle name="输出 3 2 3 2 2" xfId="14791"/>
    <cellStyle name="输出 3 2 3 2 2 2" xfId="14792"/>
    <cellStyle name="输出 3 2 3 2 2 2 2" xfId="14793"/>
    <cellStyle name="输出 3 2 3 2 2 3" xfId="14794"/>
    <cellStyle name="输出 3 2 3 2 2 3 2" xfId="14795"/>
    <cellStyle name="输出 3 2 3 2 2 4" xfId="14796"/>
    <cellStyle name="输出 3 2 3 2 3" xfId="14797"/>
    <cellStyle name="输出 3 2 3 2 3 2" xfId="14798"/>
    <cellStyle name="输出 3 2 3 2 4" xfId="14799"/>
    <cellStyle name="输出 3 2 3 2 4 2" xfId="14800"/>
    <cellStyle name="输出 3 2 3 2 5" xfId="14801"/>
    <cellStyle name="输出 3 2 3 3" xfId="14802"/>
    <cellStyle name="输出 3 2 3 3 2" xfId="14803"/>
    <cellStyle name="输出 3 2 3 3 2 2" xfId="14804"/>
    <cellStyle name="输出 3 2 3 3 2 2 2" xfId="14805"/>
    <cellStyle name="输出 3 2 3 3 2 3" xfId="14806"/>
    <cellStyle name="输出 3 2 3 3 2 3 2" xfId="14807"/>
    <cellStyle name="输出 3 2 3 3 2 4" xfId="14808"/>
    <cellStyle name="输出 3 2 3 3 3" xfId="14809"/>
    <cellStyle name="输出 3 2 3 3 3 2" xfId="14810"/>
    <cellStyle name="输出 3 2 3 3 4" xfId="14811"/>
    <cellStyle name="输出 3 2 3 3 4 2" xfId="14812"/>
    <cellStyle name="输出 3 2 3 3 5" xfId="14813"/>
    <cellStyle name="输出 3 2 3 4" xfId="14814"/>
    <cellStyle name="输出 3 2 3 4 2" xfId="14815"/>
    <cellStyle name="输出 3 2 3 4 2 2" xfId="14816"/>
    <cellStyle name="输出 3 2 3 4 3" xfId="14817"/>
    <cellStyle name="输出 3 2 3 4 3 2" xfId="14818"/>
    <cellStyle name="输出 3 2 3 4 4" xfId="14819"/>
    <cellStyle name="输出 3 2 3 5" xfId="14820"/>
    <cellStyle name="输出 3 2 3 5 2" xfId="14821"/>
    <cellStyle name="输出 3 2 3 6" xfId="14822"/>
    <cellStyle name="输出 3 2 3 6 2" xfId="14823"/>
    <cellStyle name="输出 3 2 3 7" xfId="14824"/>
    <cellStyle name="输出 3 2 4" xfId="14825"/>
    <cellStyle name="输出 3 2 4 2" xfId="14826"/>
    <cellStyle name="输出 3 2 4 2 2" xfId="14827"/>
    <cellStyle name="输出 3 2 4 2 2 2" xfId="14828"/>
    <cellStyle name="输出 3 2 4 2 2 2 2" xfId="14829"/>
    <cellStyle name="输出 3 2 4 2 2 3" xfId="14830"/>
    <cellStyle name="输出 3 2 4 2 2 3 2" xfId="14831"/>
    <cellStyle name="输出 3 2 4 2 2 4" xfId="14832"/>
    <cellStyle name="输出 3 2 4 2 3" xfId="14833"/>
    <cellStyle name="输出 3 2 4 2 3 2" xfId="14834"/>
    <cellStyle name="输出 3 2 4 2 4" xfId="14835"/>
    <cellStyle name="输出 3 2 4 2 4 2" xfId="14836"/>
    <cellStyle name="输出 3 2 4 2 5" xfId="14837"/>
    <cellStyle name="输出 3 2 4 3" xfId="14838"/>
    <cellStyle name="输出 3 2 4 3 2" xfId="14839"/>
    <cellStyle name="输出 3 2 4 3 2 2" xfId="14840"/>
    <cellStyle name="输出 3 2 4 3 2 2 2" xfId="14841"/>
    <cellStyle name="输出 3 2 4 3 2 3" xfId="14842"/>
    <cellStyle name="输出 3 2 4 3 2 3 2" xfId="14843"/>
    <cellStyle name="输出 3 2 4 3 2 4" xfId="14844"/>
    <cellStyle name="输出 3 2 4 3 3" xfId="14845"/>
    <cellStyle name="输出 3 2 4 3 3 2" xfId="14846"/>
    <cellStyle name="输出 3 2 4 3 4" xfId="14847"/>
    <cellStyle name="输出 3 2 4 3 4 2" xfId="14848"/>
    <cellStyle name="输出 3 2 4 3 5" xfId="14849"/>
    <cellStyle name="输出 3 2 4 4" xfId="14850"/>
    <cellStyle name="输出 3 2 4 4 2" xfId="14851"/>
    <cellStyle name="输出 3 2 4 4 2 2" xfId="14852"/>
    <cellStyle name="输出 3 2 4 4 3" xfId="14853"/>
    <cellStyle name="输出 3 2 4 4 3 2" xfId="14854"/>
    <cellStyle name="输出 3 2 4 4 4" xfId="14855"/>
    <cellStyle name="输出 3 2 4 5" xfId="14856"/>
    <cellStyle name="输出 3 2 4 5 2" xfId="14857"/>
    <cellStyle name="输出 3 2 4 6" xfId="14858"/>
    <cellStyle name="输出 3 2 4 6 2" xfId="14859"/>
    <cellStyle name="输出 3 2 4 7" xfId="14860"/>
    <cellStyle name="输出 3 2 5" xfId="14861"/>
    <cellStyle name="输出 3 2 5 2" xfId="14862"/>
    <cellStyle name="输出 3 2 5 2 2" xfId="14863"/>
    <cellStyle name="输出 3 2 5 2 2 2" xfId="14864"/>
    <cellStyle name="输出 3 2 5 2 3" xfId="14865"/>
    <cellStyle name="输出 3 2 5 2 3 2" xfId="14866"/>
    <cellStyle name="输出 3 2 5 2 4" xfId="14867"/>
    <cellStyle name="输出 3 2 5 3" xfId="14868"/>
    <cellStyle name="输出 3 2 5 3 2" xfId="14869"/>
    <cellStyle name="输出 3 2 5 4" xfId="14870"/>
    <cellStyle name="输出 3 2 5 4 2" xfId="14871"/>
    <cellStyle name="输出 3 2 5 5" xfId="14872"/>
    <cellStyle name="输出 3 2 6" xfId="14873"/>
    <cellStyle name="输出 3 2 7" xfId="14874"/>
    <cellStyle name="输出 3 2 7 2" xfId="14875"/>
    <cellStyle name="输出 3 2 7 2 2" xfId="14876"/>
    <cellStyle name="输出 3 2 7 3" xfId="14877"/>
    <cellStyle name="输出 3 2 7 3 2" xfId="14878"/>
    <cellStyle name="输出 3 2 7 4" xfId="14879"/>
    <cellStyle name="输出 3 2 8" xfId="14880"/>
    <cellStyle name="输出 3 2 8 2" xfId="14881"/>
    <cellStyle name="输出 3 2 8 2 2" xfId="14882"/>
    <cellStyle name="输出 3 2 8 3" xfId="14883"/>
    <cellStyle name="输出 3 2 8 3 2" xfId="14884"/>
    <cellStyle name="输出 3 2 8 4" xfId="14885"/>
    <cellStyle name="输出 3 2 9" xfId="14886"/>
    <cellStyle name="输出 3 2 9 2" xfId="14887"/>
    <cellStyle name="输出 3 3" xfId="14888"/>
    <cellStyle name="输出 3 3 2" xfId="14889"/>
    <cellStyle name="输出 3 3 2 2" xfId="14890"/>
    <cellStyle name="输出 3 3 2 2 2" xfId="14891"/>
    <cellStyle name="输出 3 3 2 2 2 2" xfId="14892"/>
    <cellStyle name="输出 3 3 2 2 2 2 2" xfId="14893"/>
    <cellStyle name="输出 3 3 2 2 2 3" xfId="14894"/>
    <cellStyle name="输出 3 3 2 2 2 3 2" xfId="14895"/>
    <cellStyle name="输出 3 3 2 2 2 4" xfId="14896"/>
    <cellStyle name="输出 3 3 2 2 3" xfId="14897"/>
    <cellStyle name="输出 3 3 2 2 3 2" xfId="14898"/>
    <cellStyle name="输出 3 3 2 2 4" xfId="14899"/>
    <cellStyle name="输出 3 3 2 2 4 2" xfId="14900"/>
    <cellStyle name="输出 3 3 2 2 5" xfId="14901"/>
    <cellStyle name="输出 3 3 2 3" xfId="14902"/>
    <cellStyle name="输出 3 3 2 3 2" xfId="14903"/>
    <cellStyle name="输出 3 3 2 3 2 2" xfId="14904"/>
    <cellStyle name="输出 3 3 2 3 3" xfId="14905"/>
    <cellStyle name="输出 3 3 2 3 3 2" xfId="14906"/>
    <cellStyle name="输出 3 3 2 3 4" xfId="14907"/>
    <cellStyle name="输出 3 3 2 4" xfId="14908"/>
    <cellStyle name="输出 3 3 2 4 2" xfId="14909"/>
    <cellStyle name="输出 3 3 2 5" xfId="14910"/>
    <cellStyle name="输出 3 3 2 5 2" xfId="14911"/>
    <cellStyle name="输出 3 3 2 6" xfId="14912"/>
    <cellStyle name="输出 3 3 3" xfId="14913"/>
    <cellStyle name="输出 3 3 3 2" xfId="14914"/>
    <cellStyle name="输出 3 3 3 2 2" xfId="14915"/>
    <cellStyle name="输出 3 3 3 2 2 2" xfId="14916"/>
    <cellStyle name="输出 3 3 3 2 3" xfId="14917"/>
    <cellStyle name="输出 3 3 3 2 3 2" xfId="14918"/>
    <cellStyle name="输出 3 3 3 2 4" xfId="14919"/>
    <cellStyle name="输出 3 3 3 3" xfId="14920"/>
    <cellStyle name="输出 3 3 3 3 2" xfId="14921"/>
    <cellStyle name="输出 3 3 3 4" xfId="14922"/>
    <cellStyle name="输出 3 3 3 4 2" xfId="14923"/>
    <cellStyle name="输出 3 3 3 5" xfId="14924"/>
    <cellStyle name="输出 3 3 4" xfId="14925"/>
    <cellStyle name="输出 3 3 4 2" xfId="14926"/>
    <cellStyle name="输出 3 3 4 2 2" xfId="14927"/>
    <cellStyle name="输出 3 3 4 3" xfId="14928"/>
    <cellStyle name="输出 3 3 4 3 2" xfId="14929"/>
    <cellStyle name="输出 3 3 4 4" xfId="14930"/>
    <cellStyle name="输出 3 3 5" xfId="14931"/>
    <cellStyle name="输出 3 3 5 2" xfId="14932"/>
    <cellStyle name="输出 3 3 6" xfId="14933"/>
    <cellStyle name="输出 3 3 6 2" xfId="14934"/>
    <cellStyle name="输出 3 3 7" xfId="14935"/>
    <cellStyle name="输出 3 4" xfId="14936"/>
    <cellStyle name="输出 3 4 2" xfId="14937"/>
    <cellStyle name="输出 3 4 2 2" xfId="14938"/>
    <cellStyle name="输出 3 4 2 2 2" xfId="14939"/>
    <cellStyle name="输出 3 4 2 2 2 2" xfId="14940"/>
    <cellStyle name="输出 3 4 2 2 3" xfId="14941"/>
    <cellStyle name="输出 3 4 2 2 3 2" xfId="14942"/>
    <cellStyle name="输出 3 4 2 2 4" xfId="14943"/>
    <cellStyle name="输出 3 4 2 3" xfId="14944"/>
    <cellStyle name="输出 3 4 2 3 2" xfId="14945"/>
    <cellStyle name="输出 3 4 2 4" xfId="14946"/>
    <cellStyle name="输出 3 4 2 4 2" xfId="14947"/>
    <cellStyle name="输出 3 4 2 5" xfId="14948"/>
    <cellStyle name="输出 3 4 3" xfId="14949"/>
    <cellStyle name="输出 3 4 3 2" xfId="14950"/>
    <cellStyle name="输出 3 4 3 2 2" xfId="14951"/>
    <cellStyle name="输出 3 4 3 3" xfId="14952"/>
    <cellStyle name="输出 3 4 3 3 2" xfId="14953"/>
    <cellStyle name="输出 3 4 3 4" xfId="14954"/>
    <cellStyle name="输出 3 4 4" xfId="14955"/>
    <cellStyle name="输出 3 4 4 2" xfId="14956"/>
    <cellStyle name="输出 3 4 5" xfId="14957"/>
    <cellStyle name="输出 3 4 5 2" xfId="14958"/>
    <cellStyle name="输出 3 4 6" xfId="14959"/>
    <cellStyle name="输出 3 5" xfId="14960"/>
    <cellStyle name="输出 3 5 2" xfId="14961"/>
    <cellStyle name="输出 3 5 2 2" xfId="14962"/>
    <cellStyle name="输出 3 5 2 2 2" xfId="14963"/>
    <cellStyle name="输出 3 5 2 2 2 2" xfId="14964"/>
    <cellStyle name="输出 3 5 2 2 3" xfId="14965"/>
    <cellStyle name="输出 3 5 2 2 3 2" xfId="14966"/>
    <cellStyle name="输出 3 5 2 2 4" xfId="14967"/>
    <cellStyle name="输出 3 5 2 3" xfId="14968"/>
    <cellStyle name="输出 3 5 2 3 2" xfId="14969"/>
    <cellStyle name="输出 3 5 2 4" xfId="14970"/>
    <cellStyle name="输出 3 5 2 4 2" xfId="14971"/>
    <cellStyle name="输出 3 5 2 5" xfId="14972"/>
    <cellStyle name="输出 3 5 3" xfId="14973"/>
    <cellStyle name="输出 3 5 3 2" xfId="14974"/>
    <cellStyle name="输出 3 5 3 2 2" xfId="14975"/>
    <cellStyle name="输出 3 5 3 2 2 2" xfId="14976"/>
    <cellStyle name="输出 3 5 3 2 3" xfId="14977"/>
    <cellStyle name="输出 3 5 3 2 3 2" xfId="14978"/>
    <cellStyle name="输出 3 5 3 2 4" xfId="14979"/>
    <cellStyle name="输出 3 5 3 3" xfId="14980"/>
    <cellStyle name="输出 3 5 3 3 2" xfId="14981"/>
    <cellStyle name="输出 3 5 3 4" xfId="14982"/>
    <cellStyle name="输出 3 5 3 4 2" xfId="14983"/>
    <cellStyle name="输出 3 5 3 5" xfId="14984"/>
    <cellStyle name="输出 3 5 4" xfId="14985"/>
    <cellStyle name="输出 3 5 4 2" xfId="14986"/>
    <cellStyle name="输出 3 5 4 2 2" xfId="14987"/>
    <cellStyle name="输出 3 5 4 3" xfId="14988"/>
    <cellStyle name="输出 3 5 4 3 2" xfId="14989"/>
    <cellStyle name="输出 3 5 4 4" xfId="14990"/>
    <cellStyle name="输出 3 5 5" xfId="14991"/>
    <cellStyle name="输出 3 5 5 2" xfId="14992"/>
    <cellStyle name="输出 3 5 6" xfId="14993"/>
    <cellStyle name="输出 3 5 6 2" xfId="14994"/>
    <cellStyle name="输出 3 5 7" xfId="14995"/>
    <cellStyle name="输出 3 6" xfId="14996"/>
    <cellStyle name="输出 3 7" xfId="14997"/>
    <cellStyle name="输出 3 7 2" xfId="14998"/>
    <cellStyle name="输出 3 7 2 2" xfId="14999"/>
    <cellStyle name="输出 3 7 3" xfId="15000"/>
    <cellStyle name="输出 3 7 3 2" xfId="15001"/>
    <cellStyle name="输出 3 7 4" xfId="15002"/>
    <cellStyle name="输出 3 8" xfId="15003"/>
    <cellStyle name="输出 3 8 2" xfId="15004"/>
    <cellStyle name="输出 3 8 2 2" xfId="15005"/>
    <cellStyle name="输出 3 8 3" xfId="15006"/>
    <cellStyle name="输出 3 8 3 2" xfId="15007"/>
    <cellStyle name="输出 3 8 4" xfId="15008"/>
    <cellStyle name="输出 3 9" xfId="15009"/>
    <cellStyle name="输出 3 9 2" xfId="15010"/>
    <cellStyle name="输出 4" xfId="15011"/>
    <cellStyle name="输出 4 10" xfId="15012"/>
    <cellStyle name="输出 4 10 2" xfId="15013"/>
    <cellStyle name="输出 4 11" xfId="15014"/>
    <cellStyle name="输出 4 12" xfId="15015"/>
    <cellStyle name="输出 4 2" xfId="15016"/>
    <cellStyle name="输出 4 2 10" xfId="15017"/>
    <cellStyle name="输出 4 2 10 2" xfId="15018"/>
    <cellStyle name="输出 4 2 11" xfId="15019"/>
    <cellStyle name="输出 4 2 11 2" xfId="15020"/>
    <cellStyle name="输出 4 2 12" xfId="15021"/>
    <cellStyle name="输出 4 2 13" xfId="15022"/>
    <cellStyle name="输出 4 2 2" xfId="15023"/>
    <cellStyle name="输出 4 2 2 2" xfId="15024"/>
    <cellStyle name="输出 4 2 2 2 2" xfId="15025"/>
    <cellStyle name="输出 4 2 2 2 2 2" xfId="15026"/>
    <cellStyle name="输出 4 2 2 2 2 2 2" xfId="15027"/>
    <cellStyle name="输出 4 2 2 2 2 3" xfId="15028"/>
    <cellStyle name="输出 4 2 2 2 2 3 2" xfId="15029"/>
    <cellStyle name="输出 4 2 2 2 2 4" xfId="15030"/>
    <cellStyle name="输出 4 2 2 2 3" xfId="15031"/>
    <cellStyle name="输出 4 2 2 2 3 2" xfId="15032"/>
    <cellStyle name="输出 4 2 2 2 4" xfId="15033"/>
    <cellStyle name="输出 4 2 2 2 4 2" xfId="15034"/>
    <cellStyle name="输出 4 2 2 2 5" xfId="15035"/>
    <cellStyle name="输出 4 2 2 3" xfId="15036"/>
    <cellStyle name="输出 4 2 2 3 2" xfId="15037"/>
    <cellStyle name="输出 4 2 2 3 2 2" xfId="15038"/>
    <cellStyle name="输出 4 2 2 3 3" xfId="15039"/>
    <cellStyle name="输出 4 2 2 3 3 2" xfId="15040"/>
    <cellStyle name="输出 4 2 2 3 4" xfId="15041"/>
    <cellStyle name="输出 4 2 2 4" xfId="15042"/>
    <cellStyle name="输出 4 2 2 4 2" xfId="15043"/>
    <cellStyle name="输出 4 2 2 5" xfId="15044"/>
    <cellStyle name="输出 4 2 2 5 2" xfId="15045"/>
    <cellStyle name="输出 4 2 2 6" xfId="15046"/>
    <cellStyle name="输出 4 2 3" xfId="15047"/>
    <cellStyle name="输出 4 2 3 2" xfId="15048"/>
    <cellStyle name="输出 4 2 3 2 2" xfId="15049"/>
    <cellStyle name="输出 4 2 3 2 2 2" xfId="15050"/>
    <cellStyle name="输出 4 2 3 2 2 2 2" xfId="15051"/>
    <cellStyle name="输出 4 2 3 2 2 3" xfId="15052"/>
    <cellStyle name="输出 4 2 3 2 2 3 2" xfId="15053"/>
    <cellStyle name="输出 4 2 3 2 2 4" xfId="15054"/>
    <cellStyle name="输出 4 2 3 2 3" xfId="15055"/>
    <cellStyle name="输出 4 2 3 2 3 2" xfId="15056"/>
    <cellStyle name="输出 4 2 3 2 4" xfId="15057"/>
    <cellStyle name="输出 4 2 3 2 4 2" xfId="15058"/>
    <cellStyle name="输出 4 2 3 2 5" xfId="15059"/>
    <cellStyle name="输出 4 2 3 3" xfId="15060"/>
    <cellStyle name="输出 4 2 3 3 2" xfId="15061"/>
    <cellStyle name="输出 4 2 3 3 2 2" xfId="15062"/>
    <cellStyle name="输出 4 2 3 3 2 2 2" xfId="15063"/>
    <cellStyle name="输出 4 2 3 3 2 3" xfId="15064"/>
    <cellStyle name="输出 4 2 3 3 2 3 2" xfId="15065"/>
    <cellStyle name="输出 4 2 3 3 2 4" xfId="15066"/>
    <cellStyle name="输出 4 2 3 3 3" xfId="15067"/>
    <cellStyle name="输出 4 2 3 3 3 2" xfId="15068"/>
    <cellStyle name="输出 4 2 3 3 4" xfId="15069"/>
    <cellStyle name="输出 4 2 3 3 4 2" xfId="15070"/>
    <cellStyle name="输出 4 2 3 3 5" xfId="15071"/>
    <cellStyle name="输出 4 2 3 4" xfId="15072"/>
    <cellStyle name="输出 4 2 3 4 2" xfId="15073"/>
    <cellStyle name="输出 4 2 3 4 2 2" xfId="15074"/>
    <cellStyle name="输出 4 2 3 4 3" xfId="15075"/>
    <cellStyle name="输出 4 2 3 4 3 2" xfId="15076"/>
    <cellStyle name="输出 4 2 3 4 4" xfId="15077"/>
    <cellStyle name="输出 4 2 3 5" xfId="15078"/>
    <cellStyle name="输出 4 2 3 5 2" xfId="15079"/>
    <cellStyle name="输出 4 2 3 6" xfId="15080"/>
    <cellStyle name="输出 4 2 3 6 2" xfId="15081"/>
    <cellStyle name="输出 4 2 3 7" xfId="15082"/>
    <cellStyle name="输出 4 2 4" xfId="15083"/>
    <cellStyle name="输出 4 2 4 2" xfId="15084"/>
    <cellStyle name="输出 4 2 4 2 2" xfId="15085"/>
    <cellStyle name="输出 4 2 4 2 2 2" xfId="15086"/>
    <cellStyle name="输出 4 2 4 2 2 2 2" xfId="15087"/>
    <cellStyle name="输出 4 2 4 2 2 3" xfId="15088"/>
    <cellStyle name="输出 4 2 4 2 2 3 2" xfId="15089"/>
    <cellStyle name="输出 4 2 4 2 2 4" xfId="15090"/>
    <cellStyle name="输出 4 2 4 2 3" xfId="15091"/>
    <cellStyle name="输出 4 2 4 2 3 2" xfId="15092"/>
    <cellStyle name="输出 4 2 4 2 4" xfId="15093"/>
    <cellStyle name="输出 4 2 4 2 4 2" xfId="15094"/>
    <cellStyle name="输出 4 2 4 2 5" xfId="15095"/>
    <cellStyle name="输出 4 2 4 3" xfId="15096"/>
    <cellStyle name="输出 4 2 4 3 2" xfId="15097"/>
    <cellStyle name="输出 4 2 4 3 2 2" xfId="15098"/>
    <cellStyle name="输出 4 2 4 3 2 2 2" xfId="15099"/>
    <cellStyle name="输出 4 2 4 3 2 3" xfId="15100"/>
    <cellStyle name="输出 4 2 4 3 2 3 2" xfId="15101"/>
    <cellStyle name="输出 4 2 4 3 2 4" xfId="15102"/>
    <cellStyle name="输出 4 2 4 3 3" xfId="15103"/>
    <cellStyle name="输出 4 2 4 3 3 2" xfId="15104"/>
    <cellStyle name="输出 4 2 4 3 4" xfId="15105"/>
    <cellStyle name="输出 4 2 4 3 4 2" xfId="15106"/>
    <cellStyle name="输出 4 2 4 3 5" xfId="15107"/>
    <cellStyle name="输出 4 2 4 4" xfId="15108"/>
    <cellStyle name="输出 4 2 4 4 2" xfId="15109"/>
    <cellStyle name="输出 4 2 4 4 2 2" xfId="15110"/>
    <cellStyle name="输出 4 2 4 4 3" xfId="15111"/>
    <cellStyle name="输出 4 2 4 4 3 2" xfId="15112"/>
    <cellStyle name="输出 4 2 4 4 4" xfId="15113"/>
    <cellStyle name="输出 4 2 4 5" xfId="15114"/>
    <cellStyle name="输出 4 2 4 5 2" xfId="15115"/>
    <cellStyle name="输出 4 2 4 6" xfId="15116"/>
    <cellStyle name="输出 4 2 4 6 2" xfId="15117"/>
    <cellStyle name="输出 4 2 4 7" xfId="15118"/>
    <cellStyle name="输出 4 2 5" xfId="15119"/>
    <cellStyle name="输出 4 2 5 2" xfId="15120"/>
    <cellStyle name="输出 4 2 5 2 2" xfId="15121"/>
    <cellStyle name="输出 4 2 5 2 2 2" xfId="15122"/>
    <cellStyle name="输出 4 2 5 2 3" xfId="15123"/>
    <cellStyle name="输出 4 2 5 2 3 2" xfId="15124"/>
    <cellStyle name="输出 4 2 5 2 4" xfId="15125"/>
    <cellStyle name="输出 4 2 5 3" xfId="15126"/>
    <cellStyle name="输出 4 2 5 3 2" xfId="15127"/>
    <cellStyle name="输出 4 2 5 4" xfId="15128"/>
    <cellStyle name="输出 4 2 5 4 2" xfId="15129"/>
    <cellStyle name="输出 4 2 5 5" xfId="15130"/>
    <cellStyle name="输出 4 2 6" xfId="15131"/>
    <cellStyle name="输出 4 2 7" xfId="15132"/>
    <cellStyle name="输出 4 2 7 2" xfId="15133"/>
    <cellStyle name="输出 4 2 7 2 2" xfId="15134"/>
    <cellStyle name="输出 4 2 7 3" xfId="15135"/>
    <cellStyle name="输出 4 2 7 3 2" xfId="15136"/>
    <cellStyle name="输出 4 2 7 4" xfId="15137"/>
    <cellStyle name="输出 4 2 8" xfId="15138"/>
    <cellStyle name="输出 4 2 8 2" xfId="15139"/>
    <cellStyle name="输出 4 2 8 2 2" xfId="15140"/>
    <cellStyle name="输出 4 2 8 3" xfId="15141"/>
    <cellStyle name="输出 4 2 8 3 2" xfId="15142"/>
    <cellStyle name="输出 4 2 8 4" xfId="15143"/>
    <cellStyle name="输出 4 2 9" xfId="15144"/>
    <cellStyle name="输出 4 2 9 2" xfId="15145"/>
    <cellStyle name="输出 4 3" xfId="15146"/>
    <cellStyle name="输出 4 3 2" xfId="15147"/>
    <cellStyle name="输出 4 3 2 2" xfId="15148"/>
    <cellStyle name="输出 4 3 2 2 2" xfId="15149"/>
    <cellStyle name="输出 4 3 2 2 2 2" xfId="15150"/>
    <cellStyle name="输出 4 3 2 2 2 2 2" xfId="15151"/>
    <cellStyle name="输出 4 3 2 2 2 3" xfId="15152"/>
    <cellStyle name="输出 4 3 2 2 2 3 2" xfId="15153"/>
    <cellStyle name="输出 4 3 2 2 2 4" xfId="15154"/>
    <cellStyle name="输出 4 3 2 2 3" xfId="15155"/>
    <cellStyle name="输出 4 3 2 2 3 2" xfId="15156"/>
    <cellStyle name="输出 4 3 2 2 4" xfId="15157"/>
    <cellStyle name="输出 4 3 2 2 4 2" xfId="15158"/>
    <cellStyle name="输出 4 3 2 2 5" xfId="15159"/>
    <cellStyle name="输出 4 3 2 3" xfId="15160"/>
    <cellStyle name="输出 4 3 2 3 2" xfId="15161"/>
    <cellStyle name="输出 4 3 2 3 2 2" xfId="15162"/>
    <cellStyle name="输出 4 3 2 3 3" xfId="15163"/>
    <cellStyle name="输出 4 3 2 3 3 2" xfId="15164"/>
    <cellStyle name="输出 4 3 2 3 4" xfId="15165"/>
    <cellStyle name="输出 4 3 2 4" xfId="15166"/>
    <cellStyle name="输出 4 3 2 4 2" xfId="15167"/>
    <cellStyle name="输出 4 3 2 5" xfId="15168"/>
    <cellStyle name="输出 4 3 2 5 2" xfId="15169"/>
    <cellStyle name="输出 4 3 2 6" xfId="15170"/>
    <cellStyle name="输出 4 3 3" xfId="15171"/>
    <cellStyle name="输出 4 3 3 2" xfId="15172"/>
    <cellStyle name="输出 4 3 3 2 2" xfId="15173"/>
    <cellStyle name="输出 4 3 3 2 2 2" xfId="15174"/>
    <cellStyle name="输出 4 3 3 2 3" xfId="15175"/>
    <cellStyle name="输出 4 3 3 2 3 2" xfId="15176"/>
    <cellStyle name="输出 4 3 3 2 4" xfId="15177"/>
    <cellStyle name="输出 4 3 3 3" xfId="15178"/>
    <cellStyle name="输出 4 3 3 3 2" xfId="15179"/>
    <cellStyle name="输出 4 3 3 4" xfId="15180"/>
    <cellStyle name="输出 4 3 3 4 2" xfId="15181"/>
    <cellStyle name="输出 4 3 3 5" xfId="15182"/>
    <cellStyle name="输出 4 3 4" xfId="15183"/>
    <cellStyle name="输出 4 3 4 2" xfId="15184"/>
    <cellStyle name="输出 4 3 4 2 2" xfId="15185"/>
    <cellStyle name="输出 4 3 4 3" xfId="15186"/>
    <cellStyle name="输出 4 3 4 3 2" xfId="15187"/>
    <cellStyle name="输出 4 3 4 4" xfId="15188"/>
    <cellStyle name="输出 4 3 5" xfId="15189"/>
    <cellStyle name="输出 4 3 5 2" xfId="15190"/>
    <cellStyle name="输出 4 3 6" xfId="15191"/>
    <cellStyle name="输出 4 3 6 2" xfId="15192"/>
    <cellStyle name="输出 4 3 7" xfId="15193"/>
    <cellStyle name="输出 4 4" xfId="15194"/>
    <cellStyle name="输出 4 4 2" xfId="15195"/>
    <cellStyle name="输出 4 4 2 2" xfId="15196"/>
    <cellStyle name="输出 4 4 2 2 2" xfId="15197"/>
    <cellStyle name="输出 4 4 2 2 2 2" xfId="15198"/>
    <cellStyle name="输出 4 4 2 2 3" xfId="15199"/>
    <cellStyle name="输出 4 4 2 2 3 2" xfId="15200"/>
    <cellStyle name="输出 4 4 2 2 4" xfId="15201"/>
    <cellStyle name="输出 4 4 2 3" xfId="15202"/>
    <cellStyle name="输出 4 4 2 3 2" xfId="15203"/>
    <cellStyle name="输出 4 4 2 4" xfId="15204"/>
    <cellStyle name="输出 4 4 2 4 2" xfId="15205"/>
    <cellStyle name="输出 4 4 2 5" xfId="15206"/>
    <cellStyle name="输出 4 4 3" xfId="15207"/>
    <cellStyle name="输出 4 4 3 2" xfId="15208"/>
    <cellStyle name="输出 4 4 3 2 2" xfId="15209"/>
    <cellStyle name="输出 4 4 3 3" xfId="15210"/>
    <cellStyle name="输出 4 4 3 3 2" xfId="15211"/>
    <cellStyle name="输出 4 4 3 4" xfId="15212"/>
    <cellStyle name="输出 4 4 4" xfId="15213"/>
    <cellStyle name="输出 4 4 4 2" xfId="15214"/>
    <cellStyle name="输出 4 4 5" xfId="15215"/>
    <cellStyle name="输出 4 4 5 2" xfId="15216"/>
    <cellStyle name="输出 4 4 6" xfId="15217"/>
    <cellStyle name="输出 4 5" xfId="15218"/>
    <cellStyle name="输出 4 5 2" xfId="15219"/>
    <cellStyle name="输出 4 5 2 2" xfId="15220"/>
    <cellStyle name="输出 4 5 2 2 2" xfId="15221"/>
    <cellStyle name="输出 4 5 2 2 2 2" xfId="15222"/>
    <cellStyle name="输出 4 5 2 2 3" xfId="15223"/>
    <cellStyle name="输出 4 5 2 2 3 2" xfId="15224"/>
    <cellStyle name="输出 4 5 2 2 4" xfId="15225"/>
    <cellStyle name="输出 4 5 2 3" xfId="15226"/>
    <cellStyle name="输出 4 5 2 3 2" xfId="15227"/>
    <cellStyle name="输出 4 5 2 4" xfId="15228"/>
    <cellStyle name="输出 4 5 2 4 2" xfId="15229"/>
    <cellStyle name="输出 4 5 2 5" xfId="15230"/>
    <cellStyle name="输出 4 5 3" xfId="15231"/>
    <cellStyle name="输出 4 5 3 2" xfId="15232"/>
    <cellStyle name="输出 4 5 3 2 2" xfId="15233"/>
    <cellStyle name="输出 4 5 3 2 2 2" xfId="15234"/>
    <cellStyle name="输出 4 5 3 2 3" xfId="15235"/>
    <cellStyle name="输出 4 5 3 2 3 2" xfId="15236"/>
    <cellStyle name="输出 4 5 3 2 4" xfId="15237"/>
    <cellStyle name="输出 4 5 3 3" xfId="15238"/>
    <cellStyle name="输出 4 5 3 3 2" xfId="15239"/>
    <cellStyle name="输出 4 5 3 4" xfId="15240"/>
    <cellStyle name="输出 4 5 3 4 2" xfId="15241"/>
    <cellStyle name="输出 4 5 3 5" xfId="15242"/>
    <cellStyle name="输出 4 5 4" xfId="15243"/>
    <cellStyle name="输出 4 5 4 2" xfId="15244"/>
    <cellStyle name="输出 4 5 4 2 2" xfId="15245"/>
    <cellStyle name="输出 4 5 4 3" xfId="15246"/>
    <cellStyle name="输出 4 5 4 3 2" xfId="15247"/>
    <cellStyle name="输出 4 5 4 4" xfId="15248"/>
    <cellStyle name="输出 4 5 5" xfId="15249"/>
    <cellStyle name="输出 4 5 5 2" xfId="15250"/>
    <cellStyle name="输出 4 5 6" xfId="15251"/>
    <cellStyle name="输出 4 5 6 2" xfId="15252"/>
    <cellStyle name="输出 4 5 7" xfId="15253"/>
    <cellStyle name="输出 4 6" xfId="15254"/>
    <cellStyle name="输出 4 7" xfId="15255"/>
    <cellStyle name="输出 4 7 2" xfId="15256"/>
    <cellStyle name="输出 4 7 2 2" xfId="15257"/>
    <cellStyle name="输出 4 7 3" xfId="15258"/>
    <cellStyle name="输出 4 7 3 2" xfId="15259"/>
    <cellStyle name="输出 4 7 4" xfId="15260"/>
    <cellStyle name="输出 4 8" xfId="15261"/>
    <cellStyle name="输出 4 8 2" xfId="15262"/>
    <cellStyle name="输出 4 8 2 2" xfId="15263"/>
    <cellStyle name="输出 4 8 3" xfId="15264"/>
    <cellStyle name="输出 4 8 3 2" xfId="15265"/>
    <cellStyle name="输出 4 8 4" xfId="15266"/>
    <cellStyle name="输出 4 9" xfId="15267"/>
    <cellStyle name="输出 4 9 2" xfId="15268"/>
    <cellStyle name="输出 5" xfId="15269"/>
    <cellStyle name="输出 5 10" xfId="15270"/>
    <cellStyle name="输出 5 10 2" xfId="15271"/>
    <cellStyle name="输出 5 11" xfId="15272"/>
    <cellStyle name="输出 5 12" xfId="15273"/>
    <cellStyle name="输出 5 2" xfId="15274"/>
    <cellStyle name="输出 5 2 10" xfId="15275"/>
    <cellStyle name="输出 5 2 10 2" xfId="15276"/>
    <cellStyle name="输出 5 2 11" xfId="15277"/>
    <cellStyle name="输出 5 2 11 2" xfId="15278"/>
    <cellStyle name="输出 5 2 12" xfId="15279"/>
    <cellStyle name="输出 5 2 13" xfId="15280"/>
    <cellStyle name="输出 5 2 2" xfId="15281"/>
    <cellStyle name="输出 5 2 2 2" xfId="15282"/>
    <cellStyle name="输出 5 2 2 2 2" xfId="15283"/>
    <cellStyle name="输出 5 2 2 2 2 2" xfId="15284"/>
    <cellStyle name="输出 5 2 2 2 2 2 2" xfId="15285"/>
    <cellStyle name="输出 5 2 2 2 2 3" xfId="15286"/>
    <cellStyle name="输出 5 2 2 2 2 3 2" xfId="15287"/>
    <cellStyle name="输出 5 2 2 2 2 4" xfId="15288"/>
    <cellStyle name="输出 5 2 2 2 3" xfId="15289"/>
    <cellStyle name="输出 5 2 2 2 3 2" xfId="15290"/>
    <cellStyle name="输出 5 2 2 2 4" xfId="15291"/>
    <cellStyle name="输出 5 2 2 2 4 2" xfId="15292"/>
    <cellStyle name="输出 5 2 2 2 5" xfId="15293"/>
    <cellStyle name="输出 5 2 2 3" xfId="15294"/>
    <cellStyle name="输出 5 2 2 3 2" xfId="15295"/>
    <cellStyle name="输出 5 2 2 3 2 2" xfId="15296"/>
    <cellStyle name="输出 5 2 2 3 3" xfId="15297"/>
    <cellStyle name="输出 5 2 2 3 3 2" xfId="15298"/>
    <cellStyle name="输出 5 2 2 3 4" xfId="15299"/>
    <cellStyle name="输出 5 2 2 4" xfId="15300"/>
    <cellStyle name="输出 5 2 2 4 2" xfId="15301"/>
    <cellStyle name="输出 5 2 2 5" xfId="15302"/>
    <cellStyle name="输出 5 2 2 5 2" xfId="15303"/>
    <cellStyle name="输出 5 2 2 6" xfId="15304"/>
    <cellStyle name="输出 5 2 3" xfId="15305"/>
    <cellStyle name="输出 5 2 3 2" xfId="15306"/>
    <cellStyle name="输出 5 2 3 2 2" xfId="15307"/>
    <cellStyle name="输出 5 2 3 2 2 2" xfId="15308"/>
    <cellStyle name="输出 5 2 3 2 2 2 2" xfId="15309"/>
    <cellStyle name="输出 5 2 3 2 2 3" xfId="15310"/>
    <cellStyle name="输出 5 2 3 2 2 3 2" xfId="15311"/>
    <cellStyle name="输出 5 2 3 2 2 4" xfId="15312"/>
    <cellStyle name="输出 5 2 3 2 3" xfId="15313"/>
    <cellStyle name="输出 5 2 3 2 3 2" xfId="15314"/>
    <cellStyle name="输出 5 2 3 2 4" xfId="15315"/>
    <cellStyle name="输出 5 2 3 2 4 2" xfId="15316"/>
    <cellStyle name="输出 5 2 3 2 5" xfId="15317"/>
    <cellStyle name="输出 5 2 3 3" xfId="15318"/>
    <cellStyle name="输出 5 2 3 3 2" xfId="15319"/>
    <cellStyle name="输出 5 2 3 3 2 2" xfId="15320"/>
    <cellStyle name="输出 5 2 3 3 2 2 2" xfId="15321"/>
    <cellStyle name="输出 5 2 3 3 2 3" xfId="15322"/>
    <cellStyle name="输出 5 2 3 3 2 3 2" xfId="15323"/>
    <cellStyle name="输出 5 2 3 3 2 4" xfId="15324"/>
    <cellStyle name="输出 5 2 3 3 3" xfId="15325"/>
    <cellStyle name="输出 5 2 3 3 3 2" xfId="15326"/>
    <cellStyle name="输出 5 2 3 3 4" xfId="15327"/>
    <cellStyle name="输出 5 2 3 3 4 2" xfId="15328"/>
    <cellStyle name="输出 5 2 3 3 5" xfId="15329"/>
    <cellStyle name="输出 5 2 3 4" xfId="15330"/>
    <cellStyle name="输出 5 2 3 4 2" xfId="15331"/>
    <cellStyle name="输出 5 2 3 4 2 2" xfId="15332"/>
    <cellStyle name="输出 5 2 3 4 3" xfId="15333"/>
    <cellStyle name="输出 5 2 3 4 3 2" xfId="15334"/>
    <cellStyle name="输出 5 2 3 4 4" xfId="15335"/>
    <cellStyle name="输出 5 2 3 5" xfId="15336"/>
    <cellStyle name="输出 5 2 3 5 2" xfId="15337"/>
    <cellStyle name="输出 5 2 3 6" xfId="15338"/>
    <cellStyle name="输出 5 2 3 6 2" xfId="15339"/>
    <cellStyle name="输出 5 2 3 7" xfId="15340"/>
    <cellStyle name="输出 5 2 4" xfId="15341"/>
    <cellStyle name="输出 5 2 4 2" xfId="15342"/>
    <cellStyle name="输出 5 2 4 2 2" xfId="15343"/>
    <cellStyle name="输出 5 2 4 2 2 2" xfId="15344"/>
    <cellStyle name="输出 5 2 4 2 2 2 2" xfId="15345"/>
    <cellStyle name="输出 5 2 4 2 2 3" xfId="15346"/>
    <cellStyle name="输出 5 2 4 2 2 3 2" xfId="15347"/>
    <cellStyle name="输出 5 2 4 2 2 4" xfId="15348"/>
    <cellStyle name="输出 5 2 4 2 3" xfId="15349"/>
    <cellStyle name="输出 5 2 4 2 3 2" xfId="15350"/>
    <cellStyle name="输出 5 2 4 2 4" xfId="15351"/>
    <cellStyle name="输出 5 2 4 2 4 2" xfId="15352"/>
    <cellStyle name="输出 5 2 4 2 5" xfId="15353"/>
    <cellStyle name="输出 5 2 4 3" xfId="15354"/>
    <cellStyle name="输出 5 2 4 3 2" xfId="15355"/>
    <cellStyle name="输出 5 2 4 3 2 2" xfId="15356"/>
    <cellStyle name="输出 5 2 4 3 2 2 2" xfId="15357"/>
    <cellStyle name="输出 5 2 4 3 2 3" xfId="15358"/>
    <cellStyle name="输出 5 2 4 3 2 3 2" xfId="15359"/>
    <cellStyle name="输出 5 2 4 3 2 4" xfId="15360"/>
    <cellStyle name="输出 5 2 4 3 3" xfId="15361"/>
    <cellStyle name="输出 5 2 4 3 3 2" xfId="15362"/>
    <cellStyle name="输出 5 2 4 3 4" xfId="15363"/>
    <cellStyle name="输出 5 2 4 3 4 2" xfId="15364"/>
    <cellStyle name="输出 5 2 4 3 5" xfId="15365"/>
    <cellStyle name="输出 5 2 4 4" xfId="15366"/>
    <cellStyle name="输出 5 2 4 4 2" xfId="15367"/>
    <cellStyle name="输出 5 2 4 4 2 2" xfId="15368"/>
    <cellStyle name="输出 5 2 4 4 3" xfId="15369"/>
    <cellStyle name="输出 5 2 4 4 3 2" xfId="15370"/>
    <cellStyle name="输出 5 2 4 4 4" xfId="15371"/>
    <cellStyle name="输出 5 2 4 5" xfId="15372"/>
    <cellStyle name="输出 5 2 4 5 2" xfId="15373"/>
    <cellStyle name="输出 5 2 4 6" xfId="15374"/>
    <cellStyle name="输出 5 2 4 6 2" xfId="15375"/>
    <cellStyle name="输出 5 2 4 7" xfId="15376"/>
    <cellStyle name="输出 5 2 5" xfId="15377"/>
    <cellStyle name="输出 5 2 5 2" xfId="15378"/>
    <cellStyle name="输出 5 2 5 2 2" xfId="15379"/>
    <cellStyle name="输出 5 2 5 2 2 2" xfId="15380"/>
    <cellStyle name="输出 5 2 5 2 3" xfId="15381"/>
    <cellStyle name="输出 5 2 5 2 3 2" xfId="15382"/>
    <cellStyle name="输出 5 2 5 2 4" xfId="15383"/>
    <cellStyle name="输出 5 2 5 3" xfId="15384"/>
    <cellStyle name="输出 5 2 5 3 2" xfId="15385"/>
    <cellStyle name="输出 5 2 5 4" xfId="15386"/>
    <cellStyle name="输出 5 2 5 4 2" xfId="15387"/>
    <cellStyle name="输出 5 2 5 5" xfId="15388"/>
    <cellStyle name="输出 5 2 6" xfId="15389"/>
    <cellStyle name="输出 5 2 7" xfId="15390"/>
    <cellStyle name="输出 5 2 7 2" xfId="15391"/>
    <cellStyle name="输出 5 2 7 2 2" xfId="15392"/>
    <cellStyle name="输出 5 2 7 3" xfId="15393"/>
    <cellStyle name="输出 5 2 7 3 2" xfId="15394"/>
    <cellStyle name="输出 5 2 7 4" xfId="15395"/>
    <cellStyle name="输出 5 2 8" xfId="15396"/>
    <cellStyle name="输出 5 2 8 2" xfId="15397"/>
    <cellStyle name="输出 5 2 8 2 2" xfId="15398"/>
    <cellStyle name="输出 5 2 8 3" xfId="15399"/>
    <cellStyle name="输出 5 2 8 3 2" xfId="15400"/>
    <cellStyle name="输出 5 2 8 4" xfId="15401"/>
    <cellStyle name="输出 5 2 9" xfId="15402"/>
    <cellStyle name="输出 5 2 9 2" xfId="15403"/>
    <cellStyle name="输出 5 3" xfId="15404"/>
    <cellStyle name="输出 5 3 2" xfId="15405"/>
    <cellStyle name="输出 5 3 2 2" xfId="15406"/>
    <cellStyle name="输出 5 3 2 2 2" xfId="15407"/>
    <cellStyle name="输出 5 3 2 2 2 2" xfId="15408"/>
    <cellStyle name="输出 5 3 2 2 2 2 2" xfId="15409"/>
    <cellStyle name="输出 5 3 2 2 2 3" xfId="15410"/>
    <cellStyle name="输出 5 3 2 2 2 3 2" xfId="15411"/>
    <cellStyle name="输出 5 3 2 2 2 4" xfId="15412"/>
    <cellStyle name="输出 5 3 2 2 3" xfId="15413"/>
    <cellStyle name="输出 5 3 2 2 3 2" xfId="15414"/>
    <cellStyle name="输出 5 3 2 2 4" xfId="15415"/>
    <cellStyle name="输出 5 3 2 2 4 2" xfId="15416"/>
    <cellStyle name="输出 5 3 2 2 5" xfId="15417"/>
    <cellStyle name="输出 5 3 2 3" xfId="15418"/>
    <cellStyle name="输出 5 3 2 3 2" xfId="15419"/>
    <cellStyle name="输出 5 3 2 3 2 2" xfId="15420"/>
    <cellStyle name="输出 5 3 2 3 3" xfId="15421"/>
    <cellStyle name="输出 5 3 2 3 3 2" xfId="15422"/>
    <cellStyle name="输出 5 3 2 3 4" xfId="15423"/>
    <cellStyle name="输出 5 3 2 4" xfId="15424"/>
    <cellStyle name="输出 5 3 2 4 2" xfId="15425"/>
    <cellStyle name="输出 5 3 2 5" xfId="15426"/>
    <cellStyle name="输出 5 3 2 5 2" xfId="15427"/>
    <cellStyle name="输出 5 3 2 6" xfId="15428"/>
    <cellStyle name="输出 5 3 3" xfId="15429"/>
    <cellStyle name="输出 5 3 3 2" xfId="15430"/>
    <cellStyle name="输出 5 3 3 2 2" xfId="15431"/>
    <cellStyle name="输出 5 3 3 2 2 2" xfId="15432"/>
    <cellStyle name="输出 5 3 3 2 3" xfId="15433"/>
    <cellStyle name="输出 5 3 3 2 3 2" xfId="15434"/>
    <cellStyle name="输出 5 3 3 2 4" xfId="15435"/>
    <cellStyle name="输出 5 3 3 3" xfId="15436"/>
    <cellStyle name="输出 5 3 3 3 2" xfId="15437"/>
    <cellStyle name="输出 5 3 3 4" xfId="15438"/>
    <cellStyle name="输出 5 3 3 4 2" xfId="15439"/>
    <cellStyle name="输出 5 3 3 5" xfId="15440"/>
    <cellStyle name="输出 5 3 4" xfId="15441"/>
    <cellStyle name="输出 5 3 4 2" xfId="15442"/>
    <cellStyle name="输出 5 3 4 2 2" xfId="15443"/>
    <cellStyle name="输出 5 3 4 3" xfId="15444"/>
    <cellStyle name="输出 5 3 4 3 2" xfId="15445"/>
    <cellStyle name="输出 5 3 4 4" xfId="15446"/>
    <cellStyle name="输出 5 3 5" xfId="15447"/>
    <cellStyle name="输出 5 3 5 2" xfId="15448"/>
    <cellStyle name="输出 5 3 6" xfId="15449"/>
    <cellStyle name="输出 5 3 6 2" xfId="15450"/>
    <cellStyle name="输出 5 3 7" xfId="15451"/>
    <cellStyle name="输出 5 4" xfId="15452"/>
    <cellStyle name="输出 5 4 2" xfId="15453"/>
    <cellStyle name="输出 5 4 2 2" xfId="15454"/>
    <cellStyle name="输出 5 4 2 2 2" xfId="15455"/>
    <cellStyle name="输出 5 4 2 2 2 2" xfId="15456"/>
    <cellStyle name="输出 5 4 2 2 3" xfId="15457"/>
    <cellStyle name="输出 5 4 2 2 3 2" xfId="15458"/>
    <cellStyle name="输出 5 4 2 2 4" xfId="15459"/>
    <cellStyle name="输出 5 4 2 3" xfId="15460"/>
    <cellStyle name="输出 5 4 2 3 2" xfId="15461"/>
    <cellStyle name="输出 5 4 2 4" xfId="15462"/>
    <cellStyle name="输出 5 4 2 4 2" xfId="15463"/>
    <cellStyle name="输出 5 4 2 5" xfId="15464"/>
    <cellStyle name="输出 5 4 3" xfId="15465"/>
    <cellStyle name="输出 5 4 3 2" xfId="15466"/>
    <cellStyle name="输出 5 4 3 2 2" xfId="15467"/>
    <cellStyle name="输出 5 4 3 3" xfId="15468"/>
    <cellStyle name="输出 5 4 3 3 2" xfId="15469"/>
    <cellStyle name="输出 5 4 3 4" xfId="15470"/>
    <cellStyle name="输出 5 4 4" xfId="15471"/>
    <cellStyle name="输出 5 4 4 2" xfId="15472"/>
    <cellStyle name="输出 5 4 5" xfId="15473"/>
    <cellStyle name="输出 5 4 5 2" xfId="15474"/>
    <cellStyle name="输出 5 4 6" xfId="15475"/>
    <cellStyle name="输出 5 5" xfId="15476"/>
    <cellStyle name="输出 5 5 2" xfId="15477"/>
    <cellStyle name="输出 5 5 2 2" xfId="15478"/>
    <cellStyle name="输出 5 5 2 2 2" xfId="15479"/>
    <cellStyle name="输出 5 5 2 2 2 2" xfId="15480"/>
    <cellStyle name="输出 5 5 2 2 3" xfId="15481"/>
    <cellStyle name="输出 5 5 2 2 3 2" xfId="15482"/>
    <cellStyle name="输出 5 5 2 2 4" xfId="15483"/>
    <cellStyle name="输出 5 5 2 3" xfId="15484"/>
    <cellStyle name="输出 5 5 2 3 2" xfId="15485"/>
    <cellStyle name="输出 5 5 2 4" xfId="15486"/>
    <cellStyle name="输出 5 5 2 4 2" xfId="15487"/>
    <cellStyle name="输出 5 5 2 5" xfId="15488"/>
    <cellStyle name="输出 5 5 3" xfId="15489"/>
    <cellStyle name="输出 5 5 3 2" xfId="15490"/>
    <cellStyle name="输出 5 5 3 2 2" xfId="15491"/>
    <cellStyle name="输出 5 5 3 2 2 2" xfId="15492"/>
    <cellStyle name="输出 5 5 3 2 3" xfId="15493"/>
    <cellStyle name="输出 5 5 3 2 3 2" xfId="15494"/>
    <cellStyle name="输出 5 5 3 2 4" xfId="15495"/>
    <cellStyle name="输出 5 5 3 3" xfId="15496"/>
    <cellStyle name="输出 5 5 3 3 2" xfId="15497"/>
    <cellStyle name="输出 5 5 3 4" xfId="15498"/>
    <cellStyle name="输出 5 5 3 4 2" xfId="15499"/>
    <cellStyle name="输出 5 5 3 5" xfId="15500"/>
    <cellStyle name="输出 5 5 4" xfId="15501"/>
    <cellStyle name="输出 5 5 4 2" xfId="15502"/>
    <cellStyle name="输出 5 5 4 2 2" xfId="15503"/>
    <cellStyle name="输出 5 5 4 3" xfId="15504"/>
    <cellStyle name="输出 5 5 4 3 2" xfId="15505"/>
    <cellStyle name="输出 5 5 4 4" xfId="15506"/>
    <cellStyle name="输出 5 5 5" xfId="15507"/>
    <cellStyle name="输出 5 5 5 2" xfId="15508"/>
    <cellStyle name="输出 5 5 6" xfId="15509"/>
    <cellStyle name="输出 5 5 6 2" xfId="15510"/>
    <cellStyle name="输出 5 5 7" xfId="15511"/>
    <cellStyle name="输出 5 6" xfId="15512"/>
    <cellStyle name="输出 5 7" xfId="15513"/>
    <cellStyle name="输出 5 7 2" xfId="15514"/>
    <cellStyle name="输出 5 7 2 2" xfId="15515"/>
    <cellStyle name="输出 5 7 3" xfId="15516"/>
    <cellStyle name="输出 5 7 3 2" xfId="15517"/>
    <cellStyle name="输出 5 7 4" xfId="15518"/>
    <cellStyle name="输出 5 8" xfId="15519"/>
    <cellStyle name="输出 5 8 2" xfId="15520"/>
    <cellStyle name="输出 5 8 2 2" xfId="15521"/>
    <cellStyle name="输出 5 8 3" xfId="15522"/>
    <cellStyle name="输出 5 8 3 2" xfId="15523"/>
    <cellStyle name="输出 5 8 4" xfId="15524"/>
    <cellStyle name="输出 5 9" xfId="15525"/>
    <cellStyle name="输出 5 9 2" xfId="15526"/>
    <cellStyle name="输出 6" xfId="15527"/>
    <cellStyle name="输出 6 10" xfId="15528"/>
    <cellStyle name="输出 6 10 2" xfId="15529"/>
    <cellStyle name="输出 6 11" xfId="15530"/>
    <cellStyle name="输出 6 12" xfId="15531"/>
    <cellStyle name="输出 6 2" xfId="15532"/>
    <cellStyle name="输出 6 2 10" xfId="15533"/>
    <cellStyle name="输出 6 2 10 2" xfId="15534"/>
    <cellStyle name="输出 6 2 11" xfId="15535"/>
    <cellStyle name="输出 6 2 11 2" xfId="15536"/>
    <cellStyle name="输出 6 2 12" xfId="15537"/>
    <cellStyle name="输出 6 2 13" xfId="15538"/>
    <cellStyle name="输出 6 2 2" xfId="15539"/>
    <cellStyle name="输出 6 2 2 2" xfId="15540"/>
    <cellStyle name="输出 6 2 2 2 2" xfId="15541"/>
    <cellStyle name="输出 6 2 2 2 2 2" xfId="15542"/>
    <cellStyle name="输出 6 2 2 2 2 2 2" xfId="15543"/>
    <cellStyle name="输出 6 2 2 2 2 3" xfId="15544"/>
    <cellStyle name="输出 6 2 2 2 2 3 2" xfId="15545"/>
    <cellStyle name="输出 6 2 2 2 2 4" xfId="15546"/>
    <cellStyle name="输出 6 2 2 2 3" xfId="15547"/>
    <cellStyle name="输出 6 2 2 2 3 2" xfId="15548"/>
    <cellStyle name="输出 6 2 2 2 4" xfId="15549"/>
    <cellStyle name="输出 6 2 2 2 4 2" xfId="15550"/>
    <cellStyle name="输出 6 2 2 2 5" xfId="15551"/>
    <cellStyle name="输出 6 2 2 3" xfId="15552"/>
    <cellStyle name="输出 6 2 2 3 2" xfId="15553"/>
    <cellStyle name="输出 6 2 2 3 2 2" xfId="15554"/>
    <cellStyle name="输出 6 2 2 3 3" xfId="15555"/>
    <cellStyle name="输出 6 2 2 3 3 2" xfId="15556"/>
    <cellStyle name="输出 6 2 2 3 4" xfId="15557"/>
    <cellStyle name="输出 6 2 2 4" xfId="15558"/>
    <cellStyle name="输出 6 2 2 4 2" xfId="15559"/>
    <cellStyle name="输出 6 2 2 5" xfId="15560"/>
    <cellStyle name="输出 6 2 2 5 2" xfId="15561"/>
    <cellStyle name="输出 6 2 2 6" xfId="15562"/>
    <cellStyle name="输出 6 2 3" xfId="15563"/>
    <cellStyle name="输出 6 2 3 2" xfId="15564"/>
    <cellStyle name="输出 6 2 3 2 2" xfId="15565"/>
    <cellStyle name="输出 6 2 3 2 2 2" xfId="15566"/>
    <cellStyle name="输出 6 2 3 2 2 2 2" xfId="15567"/>
    <cellStyle name="输出 6 2 3 2 2 3" xfId="15568"/>
    <cellStyle name="输出 6 2 3 2 2 3 2" xfId="15569"/>
    <cellStyle name="输出 6 2 3 2 2 4" xfId="15570"/>
    <cellStyle name="输出 6 2 3 2 3" xfId="15571"/>
    <cellStyle name="输出 6 2 3 2 3 2" xfId="15572"/>
    <cellStyle name="输出 6 2 3 2 4" xfId="15573"/>
    <cellStyle name="输出 6 2 3 2 4 2" xfId="15574"/>
    <cellStyle name="输出 6 2 3 2 5" xfId="15575"/>
    <cellStyle name="输出 6 2 3 3" xfId="15576"/>
    <cellStyle name="输出 6 2 3 3 2" xfId="15577"/>
    <cellStyle name="输出 6 2 3 3 2 2" xfId="15578"/>
    <cellStyle name="输出 6 2 3 3 2 2 2" xfId="15579"/>
    <cellStyle name="输出 6 2 3 3 2 3" xfId="15580"/>
    <cellStyle name="输出 6 2 3 3 2 3 2" xfId="15581"/>
    <cellStyle name="输出 6 2 3 3 2 4" xfId="15582"/>
    <cellStyle name="输出 6 2 3 3 3" xfId="15583"/>
    <cellStyle name="输出 6 2 3 3 3 2" xfId="15584"/>
    <cellStyle name="输出 6 2 3 3 4" xfId="15585"/>
    <cellStyle name="输出 6 2 3 3 4 2" xfId="15586"/>
    <cellStyle name="输出 6 2 3 3 5" xfId="15587"/>
    <cellStyle name="输出 6 2 3 4" xfId="15588"/>
    <cellStyle name="输出 6 2 3 4 2" xfId="15589"/>
    <cellStyle name="输出 6 2 3 4 2 2" xfId="15590"/>
    <cellStyle name="输出 6 2 3 4 3" xfId="15591"/>
    <cellStyle name="输出 6 2 3 4 3 2" xfId="15592"/>
    <cellStyle name="输出 6 2 3 4 4" xfId="15593"/>
    <cellStyle name="输出 6 2 3 5" xfId="15594"/>
    <cellStyle name="输出 6 2 3 5 2" xfId="15595"/>
    <cellStyle name="输出 6 2 3 6" xfId="15596"/>
    <cellStyle name="输出 6 2 3 6 2" xfId="15597"/>
    <cellStyle name="输出 6 2 3 7" xfId="15598"/>
    <cellStyle name="输出 6 2 4" xfId="15599"/>
    <cellStyle name="输出 6 2 4 2" xfId="15600"/>
    <cellStyle name="输出 6 2 4 2 2" xfId="15601"/>
    <cellStyle name="输出 6 2 4 2 2 2" xfId="15602"/>
    <cellStyle name="输出 6 2 4 2 2 2 2" xfId="15603"/>
    <cellStyle name="输出 6 2 4 2 2 3" xfId="15604"/>
    <cellStyle name="输出 6 2 4 2 2 3 2" xfId="15605"/>
    <cellStyle name="输出 6 2 4 2 2 4" xfId="15606"/>
    <cellStyle name="输出 6 2 4 2 3" xfId="15607"/>
    <cellStyle name="输出 6 2 4 2 3 2" xfId="15608"/>
    <cellStyle name="输出 6 2 4 2 4" xfId="15609"/>
    <cellStyle name="输出 6 2 4 2 4 2" xfId="15610"/>
    <cellStyle name="输出 6 2 4 2 5" xfId="15611"/>
    <cellStyle name="输出 6 2 4 3" xfId="15612"/>
    <cellStyle name="输出 6 2 4 3 2" xfId="15613"/>
    <cellStyle name="输出 6 2 4 3 2 2" xfId="15614"/>
    <cellStyle name="输出 6 2 4 3 2 2 2" xfId="15615"/>
    <cellStyle name="输出 6 2 4 3 2 3" xfId="15616"/>
    <cellStyle name="输出 6 2 4 3 2 3 2" xfId="15617"/>
    <cellStyle name="输出 6 2 4 3 2 4" xfId="15618"/>
    <cellStyle name="输出 6 2 4 3 3" xfId="15619"/>
    <cellStyle name="输出 6 2 4 3 3 2" xfId="15620"/>
    <cellStyle name="输出 6 2 4 3 4" xfId="15621"/>
    <cellStyle name="输出 6 2 4 3 4 2" xfId="15622"/>
    <cellStyle name="输出 6 2 4 3 5" xfId="15623"/>
    <cellStyle name="输出 6 2 4 4" xfId="15624"/>
    <cellStyle name="输出 6 2 4 4 2" xfId="15625"/>
    <cellStyle name="输出 6 2 4 4 2 2" xfId="15626"/>
    <cellStyle name="输出 6 2 4 4 3" xfId="15627"/>
    <cellStyle name="输出 6 2 4 4 3 2" xfId="15628"/>
    <cellStyle name="输出 6 2 4 4 4" xfId="15629"/>
    <cellStyle name="输出 6 2 4 5" xfId="15630"/>
    <cellStyle name="输出 6 2 4 5 2" xfId="15631"/>
    <cellStyle name="输出 6 2 4 6" xfId="15632"/>
    <cellStyle name="输出 6 2 4 6 2" xfId="15633"/>
    <cellStyle name="输出 6 2 4 7" xfId="15634"/>
    <cellStyle name="输出 6 2 5" xfId="15635"/>
    <cellStyle name="输出 6 2 5 2" xfId="15636"/>
    <cellStyle name="输出 6 2 5 2 2" xfId="15637"/>
    <cellStyle name="输出 6 2 5 2 2 2" xfId="15638"/>
    <cellStyle name="输出 6 2 5 2 3" xfId="15639"/>
    <cellStyle name="输出 6 2 5 2 3 2" xfId="15640"/>
    <cellStyle name="输出 6 2 5 2 4" xfId="15641"/>
    <cellStyle name="输出 6 2 5 3" xfId="15642"/>
    <cellStyle name="输出 6 2 5 3 2" xfId="15643"/>
    <cellStyle name="输出 6 2 5 4" xfId="15644"/>
    <cellStyle name="输出 6 2 5 4 2" xfId="15645"/>
    <cellStyle name="输出 6 2 5 5" xfId="15646"/>
    <cellStyle name="输出 6 2 6" xfId="15647"/>
    <cellStyle name="输出 6 2 7" xfId="15648"/>
    <cellStyle name="输出 6 2 7 2" xfId="15649"/>
    <cellStyle name="输出 6 2 7 2 2" xfId="15650"/>
    <cellStyle name="输出 6 2 7 3" xfId="15651"/>
    <cellStyle name="输出 6 2 7 3 2" xfId="15652"/>
    <cellStyle name="输出 6 2 7 4" xfId="15653"/>
    <cellStyle name="输出 6 2 8" xfId="15654"/>
    <cellStyle name="输出 6 2 8 2" xfId="15655"/>
    <cellStyle name="输出 6 2 8 2 2" xfId="15656"/>
    <cellStyle name="输出 6 2 8 3" xfId="15657"/>
    <cellStyle name="输出 6 2 8 3 2" xfId="15658"/>
    <cellStyle name="输出 6 2 8 4" xfId="15659"/>
    <cellStyle name="输出 6 2 9" xfId="15660"/>
    <cellStyle name="输出 6 2 9 2" xfId="15661"/>
    <cellStyle name="输出 6 3" xfId="15662"/>
    <cellStyle name="输出 6 3 2" xfId="15663"/>
    <cellStyle name="输出 6 3 2 2" xfId="15664"/>
    <cellStyle name="输出 6 3 2 2 2" xfId="15665"/>
    <cellStyle name="输出 6 3 2 2 2 2" xfId="15666"/>
    <cellStyle name="输出 6 3 2 2 2 2 2" xfId="15667"/>
    <cellStyle name="输出 6 3 2 2 2 3" xfId="15668"/>
    <cellStyle name="输出 6 3 2 2 2 3 2" xfId="15669"/>
    <cellStyle name="输出 6 3 2 2 2 4" xfId="15670"/>
    <cellStyle name="输出 6 3 2 2 3" xfId="15671"/>
    <cellStyle name="输出 6 3 2 2 3 2" xfId="15672"/>
    <cellStyle name="输出 6 3 2 2 4" xfId="15673"/>
    <cellStyle name="输出 6 3 2 2 4 2" xfId="15674"/>
    <cellStyle name="输出 6 3 2 2 5" xfId="15675"/>
    <cellStyle name="输出 6 3 2 3" xfId="15676"/>
    <cellStyle name="输出 6 3 2 3 2" xfId="15677"/>
    <cellStyle name="输出 6 3 2 3 2 2" xfId="15678"/>
    <cellStyle name="输出 6 3 2 3 3" xfId="15679"/>
    <cellStyle name="输出 6 3 2 3 3 2" xfId="15680"/>
    <cellStyle name="输出 6 3 2 3 4" xfId="15681"/>
    <cellStyle name="输出 6 3 2 4" xfId="15682"/>
    <cellStyle name="输出 6 3 2 4 2" xfId="15683"/>
    <cellStyle name="输出 6 3 2 5" xfId="15684"/>
    <cellStyle name="输出 6 3 2 5 2" xfId="15685"/>
    <cellStyle name="输出 6 3 2 6" xfId="15686"/>
    <cellStyle name="输出 6 3 3" xfId="15687"/>
    <cellStyle name="输出 6 3 3 2" xfId="15688"/>
    <cellStyle name="输出 6 3 3 2 2" xfId="15689"/>
    <cellStyle name="输出 6 3 3 2 2 2" xfId="15690"/>
    <cellStyle name="输出 6 3 3 2 3" xfId="15691"/>
    <cellStyle name="输出 6 3 3 2 3 2" xfId="15692"/>
    <cellStyle name="输出 6 3 3 2 4" xfId="15693"/>
    <cellStyle name="输出 6 3 3 3" xfId="15694"/>
    <cellStyle name="输出 6 3 3 3 2" xfId="15695"/>
    <cellStyle name="输出 6 3 3 4" xfId="15696"/>
    <cellStyle name="输出 6 3 3 4 2" xfId="15697"/>
    <cellStyle name="输出 6 3 3 5" xfId="15698"/>
    <cellStyle name="输出 6 3 4" xfId="15699"/>
    <cellStyle name="输出 6 3 4 2" xfId="15700"/>
    <cellStyle name="输出 6 3 4 2 2" xfId="15701"/>
    <cellStyle name="输出 6 3 4 3" xfId="15702"/>
    <cellStyle name="输出 6 3 4 3 2" xfId="15703"/>
    <cellStyle name="输出 6 3 4 4" xfId="15704"/>
    <cellStyle name="输出 6 3 5" xfId="15705"/>
    <cellStyle name="输出 6 3 5 2" xfId="15706"/>
    <cellStyle name="输出 6 3 6" xfId="15707"/>
    <cellStyle name="输出 6 3 6 2" xfId="15708"/>
    <cellStyle name="输出 6 3 7" xfId="15709"/>
    <cellStyle name="输出 6 4" xfId="15710"/>
    <cellStyle name="输出 6 4 2" xfId="15711"/>
    <cellStyle name="输出 6 4 2 2" xfId="15712"/>
    <cellStyle name="输出 6 4 2 2 2" xfId="15713"/>
    <cellStyle name="输出 6 4 2 2 2 2" xfId="15714"/>
    <cellStyle name="输出 6 4 2 2 3" xfId="15715"/>
    <cellStyle name="输出 6 4 2 2 3 2" xfId="15716"/>
    <cellStyle name="输出 6 4 2 2 4" xfId="15717"/>
    <cellStyle name="输出 6 4 2 3" xfId="15718"/>
    <cellStyle name="输出 6 4 2 3 2" xfId="15719"/>
    <cellStyle name="输出 6 4 2 4" xfId="15720"/>
    <cellStyle name="输出 6 4 2 4 2" xfId="15721"/>
    <cellStyle name="输出 6 4 2 5" xfId="15722"/>
    <cellStyle name="输出 6 4 3" xfId="15723"/>
    <cellStyle name="输出 6 4 3 2" xfId="15724"/>
    <cellStyle name="输出 6 4 3 2 2" xfId="15725"/>
    <cellStyle name="输出 6 4 3 3" xfId="15726"/>
    <cellStyle name="输出 6 4 3 3 2" xfId="15727"/>
    <cellStyle name="输出 6 4 3 4" xfId="15728"/>
    <cellStyle name="输出 6 4 4" xfId="15729"/>
    <cellStyle name="输出 6 4 4 2" xfId="15730"/>
    <cellStyle name="输出 6 4 5" xfId="15731"/>
    <cellStyle name="输出 6 4 5 2" xfId="15732"/>
    <cellStyle name="输出 6 4 6" xfId="15733"/>
    <cellStyle name="输出 6 5" xfId="15734"/>
    <cellStyle name="输出 6 5 2" xfId="15735"/>
    <cellStyle name="输出 6 5 2 2" xfId="15736"/>
    <cellStyle name="输出 6 5 2 2 2" xfId="15737"/>
    <cellStyle name="输出 6 5 2 2 2 2" xfId="15738"/>
    <cellStyle name="输出 6 5 2 2 3" xfId="15739"/>
    <cellStyle name="输出 6 5 2 2 3 2" xfId="15740"/>
    <cellStyle name="输出 6 5 2 2 4" xfId="15741"/>
    <cellStyle name="输出 6 5 2 3" xfId="15742"/>
    <cellStyle name="输出 6 5 2 3 2" xfId="15743"/>
    <cellStyle name="输出 6 5 2 4" xfId="15744"/>
    <cellStyle name="输出 6 5 2 4 2" xfId="15745"/>
    <cellStyle name="输出 6 5 2 5" xfId="15746"/>
    <cellStyle name="输出 6 5 3" xfId="15747"/>
    <cellStyle name="输出 6 5 3 2" xfId="15748"/>
    <cellStyle name="输出 6 5 3 2 2" xfId="15749"/>
    <cellStyle name="输出 6 5 3 2 2 2" xfId="15750"/>
    <cellStyle name="输出 6 5 3 2 3" xfId="15751"/>
    <cellStyle name="输出 6 5 3 2 3 2" xfId="15752"/>
    <cellStyle name="输出 6 5 3 2 4" xfId="15753"/>
    <cellStyle name="输出 6 5 3 3" xfId="15754"/>
    <cellStyle name="输出 6 5 3 3 2" xfId="15755"/>
    <cellStyle name="输出 6 5 3 4" xfId="15756"/>
    <cellStyle name="输出 6 5 3 4 2" xfId="15757"/>
    <cellStyle name="输出 6 5 3 5" xfId="15758"/>
    <cellStyle name="输出 6 5 4" xfId="15759"/>
    <cellStyle name="输出 6 5 4 2" xfId="15760"/>
    <cellStyle name="输出 6 5 4 2 2" xfId="15761"/>
    <cellStyle name="输出 6 5 4 3" xfId="15762"/>
    <cellStyle name="输出 6 5 4 3 2" xfId="15763"/>
    <cellStyle name="输出 6 5 4 4" xfId="15764"/>
    <cellStyle name="输出 6 5 5" xfId="15765"/>
    <cellStyle name="输出 6 5 5 2" xfId="15766"/>
    <cellStyle name="输出 6 5 6" xfId="15767"/>
    <cellStyle name="输出 6 5 6 2" xfId="15768"/>
    <cellStyle name="输出 6 5 7" xfId="15769"/>
    <cellStyle name="输出 6 6" xfId="15770"/>
    <cellStyle name="输出 6 7" xfId="15771"/>
    <cellStyle name="输出 6 7 2" xfId="15772"/>
    <cellStyle name="输出 6 7 2 2" xfId="15773"/>
    <cellStyle name="输出 6 7 3" xfId="15774"/>
    <cellStyle name="输出 6 7 3 2" xfId="15775"/>
    <cellStyle name="输出 6 7 4" xfId="15776"/>
    <cellStyle name="输出 6 8" xfId="15777"/>
    <cellStyle name="输出 6 8 2" xfId="15778"/>
    <cellStyle name="输出 6 8 2 2" xfId="15779"/>
    <cellStyle name="输出 6 8 3" xfId="15780"/>
    <cellStyle name="输出 6 8 3 2" xfId="15781"/>
    <cellStyle name="输出 6 8 4" xfId="15782"/>
    <cellStyle name="输出 6 9" xfId="15783"/>
    <cellStyle name="输出 6 9 2" xfId="15784"/>
    <cellStyle name="输出 7" xfId="15785"/>
    <cellStyle name="输出 7 10" xfId="15786"/>
    <cellStyle name="输出 7 10 2" xfId="15787"/>
    <cellStyle name="输出 7 11" xfId="15788"/>
    <cellStyle name="输出 7 12" xfId="15789"/>
    <cellStyle name="输出 7 2" xfId="15790"/>
    <cellStyle name="输出 7 2 10" xfId="15791"/>
    <cellStyle name="输出 7 2 10 2" xfId="15792"/>
    <cellStyle name="输出 7 2 11" xfId="15793"/>
    <cellStyle name="输出 7 2 11 2" xfId="15794"/>
    <cellStyle name="输出 7 2 12" xfId="15795"/>
    <cellStyle name="输出 7 2 13" xfId="15796"/>
    <cellStyle name="输出 7 2 2" xfId="15797"/>
    <cellStyle name="输出 7 2 2 2" xfId="15798"/>
    <cellStyle name="输出 7 2 2 2 2" xfId="15799"/>
    <cellStyle name="输出 7 2 2 2 2 2" xfId="15800"/>
    <cellStyle name="输出 7 2 2 2 2 2 2" xfId="15801"/>
    <cellStyle name="输出 7 2 2 2 2 3" xfId="15802"/>
    <cellStyle name="输出 7 2 2 2 2 3 2" xfId="15803"/>
    <cellStyle name="输出 7 2 2 2 2 4" xfId="15804"/>
    <cellStyle name="输出 7 2 2 2 3" xfId="15805"/>
    <cellStyle name="输出 7 2 2 2 3 2" xfId="15806"/>
    <cellStyle name="输出 7 2 2 2 4" xfId="15807"/>
    <cellStyle name="输出 7 2 2 2 4 2" xfId="15808"/>
    <cellStyle name="输出 7 2 2 2 5" xfId="15809"/>
    <cellStyle name="输出 7 2 2 3" xfId="15810"/>
    <cellStyle name="输出 7 2 2 3 2" xfId="15811"/>
    <cellStyle name="输出 7 2 2 3 2 2" xfId="15812"/>
    <cellStyle name="输出 7 2 2 3 3" xfId="15813"/>
    <cellStyle name="输出 7 2 2 3 3 2" xfId="15814"/>
    <cellStyle name="输出 7 2 2 3 4" xfId="15815"/>
    <cellStyle name="输出 7 2 2 4" xfId="15816"/>
    <cellStyle name="输出 7 2 2 4 2" xfId="15817"/>
    <cellStyle name="输出 7 2 2 5" xfId="15818"/>
    <cellStyle name="输出 7 2 2 5 2" xfId="15819"/>
    <cellStyle name="输出 7 2 2 6" xfId="15820"/>
    <cellStyle name="输出 7 2 3" xfId="15821"/>
    <cellStyle name="输出 7 2 3 2" xfId="15822"/>
    <cellStyle name="输出 7 2 3 2 2" xfId="15823"/>
    <cellStyle name="输出 7 2 3 2 2 2" xfId="15824"/>
    <cellStyle name="输出 7 2 3 2 2 2 2" xfId="15825"/>
    <cellStyle name="输出 7 2 3 2 2 3" xfId="15826"/>
    <cellStyle name="输出 7 2 3 2 2 3 2" xfId="15827"/>
    <cellStyle name="输出 7 2 3 2 2 4" xfId="15828"/>
    <cellStyle name="输出 7 2 3 2 3" xfId="15829"/>
    <cellStyle name="输出 7 2 3 2 3 2" xfId="15830"/>
    <cellStyle name="输出 7 2 3 2 4" xfId="15831"/>
    <cellStyle name="输出 7 2 3 2 4 2" xfId="15832"/>
    <cellStyle name="输出 7 2 3 2 5" xfId="15833"/>
    <cellStyle name="输出 7 2 3 3" xfId="15834"/>
    <cellStyle name="输出 7 2 3 3 2" xfId="15835"/>
    <cellStyle name="输出 7 2 3 3 2 2" xfId="15836"/>
    <cellStyle name="输出 7 2 3 3 2 2 2" xfId="15837"/>
    <cellStyle name="输出 7 2 3 3 2 3" xfId="15838"/>
    <cellStyle name="输出 7 2 3 3 2 3 2" xfId="15839"/>
    <cellStyle name="输出 7 2 3 3 2 4" xfId="15840"/>
    <cellStyle name="输出 7 2 3 3 3" xfId="15841"/>
    <cellStyle name="输出 7 2 3 3 3 2" xfId="15842"/>
    <cellStyle name="输出 7 2 3 3 4" xfId="15843"/>
    <cellStyle name="输出 7 2 3 3 4 2" xfId="15844"/>
    <cellStyle name="输出 7 2 3 3 5" xfId="15845"/>
    <cellStyle name="输出 7 2 3 4" xfId="15846"/>
    <cellStyle name="输出 7 2 3 4 2" xfId="15847"/>
    <cellStyle name="输出 7 2 3 4 2 2" xfId="15848"/>
    <cellStyle name="输出 7 2 3 4 3" xfId="15849"/>
    <cellStyle name="输出 7 2 3 4 3 2" xfId="15850"/>
    <cellStyle name="输出 7 2 3 4 4" xfId="15851"/>
    <cellStyle name="输出 7 2 3 5" xfId="15852"/>
    <cellStyle name="输出 7 2 3 5 2" xfId="15853"/>
    <cellStyle name="输出 7 2 3 6" xfId="15854"/>
    <cellStyle name="输出 7 2 3 6 2" xfId="15855"/>
    <cellStyle name="输出 7 2 3 7" xfId="15856"/>
    <cellStyle name="输出 7 2 4" xfId="15857"/>
    <cellStyle name="输出 7 2 4 2" xfId="15858"/>
    <cellStyle name="输出 7 2 4 2 2" xfId="15859"/>
    <cellStyle name="输出 7 2 4 2 2 2" xfId="15860"/>
    <cellStyle name="输出 7 2 4 2 2 2 2" xfId="15861"/>
    <cellStyle name="输出 7 2 4 2 2 3" xfId="15862"/>
    <cellStyle name="输出 7 2 4 2 2 3 2" xfId="15863"/>
    <cellStyle name="输出 7 2 4 2 2 4" xfId="15864"/>
    <cellStyle name="输出 7 2 4 2 3" xfId="15865"/>
    <cellStyle name="输出 7 2 4 2 3 2" xfId="15866"/>
    <cellStyle name="输出 7 2 4 2 4" xfId="15867"/>
    <cellStyle name="输出 7 2 4 2 4 2" xfId="15868"/>
    <cellStyle name="输出 7 2 4 2 5" xfId="15869"/>
    <cellStyle name="输出 7 2 4 3" xfId="15870"/>
    <cellStyle name="输出 7 2 4 3 2" xfId="15871"/>
    <cellStyle name="输出 7 2 4 3 2 2" xfId="15872"/>
    <cellStyle name="输出 7 2 4 3 2 2 2" xfId="15873"/>
    <cellStyle name="输出 7 2 4 3 2 3" xfId="15874"/>
    <cellStyle name="输出 7 2 4 3 2 3 2" xfId="15875"/>
    <cellStyle name="输出 7 2 4 3 2 4" xfId="15876"/>
    <cellStyle name="输出 7 2 4 3 3" xfId="15877"/>
    <cellStyle name="输出 7 2 4 3 3 2" xfId="15878"/>
    <cellStyle name="输出 7 2 4 3 4" xfId="15879"/>
    <cellStyle name="输出 7 2 4 3 4 2" xfId="15880"/>
    <cellStyle name="输出 7 2 4 3 5" xfId="15881"/>
    <cellStyle name="输出 7 2 4 4" xfId="15882"/>
    <cellStyle name="输出 7 2 4 4 2" xfId="15883"/>
    <cellStyle name="输出 7 2 4 4 2 2" xfId="15884"/>
    <cellStyle name="输出 7 2 4 4 3" xfId="15885"/>
    <cellStyle name="输出 7 2 4 4 3 2" xfId="15886"/>
    <cellStyle name="输出 7 2 4 4 4" xfId="15887"/>
    <cellStyle name="输出 7 2 4 5" xfId="15888"/>
    <cellStyle name="输出 7 2 4 5 2" xfId="15889"/>
    <cellStyle name="输出 7 2 4 6" xfId="15890"/>
    <cellStyle name="输出 7 2 4 6 2" xfId="15891"/>
    <cellStyle name="输出 7 2 4 7" xfId="15892"/>
    <cellStyle name="输出 7 2 5" xfId="15893"/>
    <cellStyle name="输出 7 2 5 2" xfId="15894"/>
    <cellStyle name="输出 7 2 5 2 2" xfId="15895"/>
    <cellStyle name="输出 7 2 5 2 2 2" xfId="15896"/>
    <cellStyle name="输出 7 2 5 2 3" xfId="15897"/>
    <cellStyle name="输出 7 2 5 2 3 2" xfId="15898"/>
    <cellStyle name="输出 7 2 5 2 4" xfId="15899"/>
    <cellStyle name="输出 7 2 5 3" xfId="15900"/>
    <cellStyle name="输出 7 2 5 3 2" xfId="15901"/>
    <cellStyle name="输出 7 2 5 4" xfId="15902"/>
    <cellStyle name="输出 7 2 5 4 2" xfId="15903"/>
    <cellStyle name="输出 7 2 5 5" xfId="15904"/>
    <cellStyle name="输出 7 2 6" xfId="15905"/>
    <cellStyle name="输出 7 2 7" xfId="15906"/>
    <cellStyle name="输出 7 2 7 2" xfId="15907"/>
    <cellStyle name="输出 7 2 7 2 2" xfId="15908"/>
    <cellStyle name="输出 7 2 7 3" xfId="15909"/>
    <cellStyle name="输出 7 2 7 3 2" xfId="15910"/>
    <cellStyle name="输出 7 2 7 4" xfId="15911"/>
    <cellStyle name="输出 7 2 8" xfId="15912"/>
    <cellStyle name="输出 7 2 8 2" xfId="15913"/>
    <cellStyle name="输出 7 2 8 2 2" xfId="15914"/>
    <cellStyle name="输出 7 2 8 3" xfId="15915"/>
    <cellStyle name="输出 7 2 8 3 2" xfId="15916"/>
    <cellStyle name="输出 7 2 8 4" xfId="15917"/>
    <cellStyle name="输出 7 2 9" xfId="15918"/>
    <cellStyle name="输出 7 2 9 2" xfId="15919"/>
    <cellStyle name="输出 7 3" xfId="15920"/>
    <cellStyle name="输出 7 3 2" xfId="15921"/>
    <cellStyle name="输出 7 3 2 2" xfId="15922"/>
    <cellStyle name="输出 7 3 2 2 2" xfId="15923"/>
    <cellStyle name="输出 7 3 2 2 2 2" xfId="15924"/>
    <cellStyle name="输出 7 3 2 2 2 2 2" xfId="15925"/>
    <cellStyle name="输出 7 3 2 2 2 3" xfId="15926"/>
    <cellStyle name="输出 7 3 2 2 2 3 2" xfId="15927"/>
    <cellStyle name="输出 7 3 2 2 2 4" xfId="15928"/>
    <cellStyle name="输出 7 3 2 2 3" xfId="15929"/>
    <cellStyle name="输出 7 3 2 2 3 2" xfId="15930"/>
    <cellStyle name="输出 7 3 2 2 4" xfId="15931"/>
    <cellStyle name="输出 7 3 2 2 4 2" xfId="15932"/>
    <cellStyle name="输出 7 3 2 2 5" xfId="15933"/>
    <cellStyle name="输出 7 3 2 3" xfId="15934"/>
    <cellStyle name="输出 7 3 2 3 2" xfId="15935"/>
    <cellStyle name="输出 7 3 2 3 2 2" xfId="15936"/>
    <cellStyle name="输出 7 3 2 3 3" xfId="15937"/>
    <cellStyle name="输出 7 3 2 3 3 2" xfId="15938"/>
    <cellStyle name="输出 7 3 2 3 4" xfId="15939"/>
    <cellStyle name="输出 7 3 2 4" xfId="15940"/>
    <cellStyle name="输出 7 3 2 4 2" xfId="15941"/>
    <cellStyle name="输出 7 3 2 5" xfId="15942"/>
    <cellStyle name="输出 7 3 2 5 2" xfId="15943"/>
    <cellStyle name="输出 7 3 2 6" xfId="15944"/>
    <cellStyle name="输出 7 3 3" xfId="15945"/>
    <cellStyle name="输出 7 3 3 2" xfId="15946"/>
    <cellStyle name="输出 7 3 3 2 2" xfId="15947"/>
    <cellStyle name="输出 7 3 3 2 2 2" xfId="15948"/>
    <cellStyle name="输出 7 3 3 2 3" xfId="15949"/>
    <cellStyle name="输出 7 3 3 2 3 2" xfId="15950"/>
    <cellStyle name="输出 7 3 3 2 4" xfId="15951"/>
    <cellStyle name="输出 7 3 3 3" xfId="15952"/>
    <cellStyle name="输出 7 3 3 3 2" xfId="15953"/>
    <cellStyle name="输出 7 3 3 4" xfId="15954"/>
    <cellStyle name="输出 7 3 3 4 2" xfId="15955"/>
    <cellStyle name="输出 7 3 3 5" xfId="15956"/>
    <cellStyle name="输出 7 3 4" xfId="15957"/>
    <cellStyle name="输出 7 3 4 2" xfId="15958"/>
    <cellStyle name="输出 7 3 4 2 2" xfId="15959"/>
    <cellStyle name="输出 7 3 4 3" xfId="15960"/>
    <cellStyle name="输出 7 3 4 3 2" xfId="15961"/>
    <cellStyle name="输出 7 3 4 4" xfId="15962"/>
    <cellStyle name="输出 7 3 5" xfId="15963"/>
    <cellStyle name="输出 7 3 5 2" xfId="15964"/>
    <cellStyle name="输出 7 3 6" xfId="15965"/>
    <cellStyle name="输出 7 3 6 2" xfId="15966"/>
    <cellStyle name="输出 7 3 7" xfId="15967"/>
    <cellStyle name="输出 7 4" xfId="15968"/>
    <cellStyle name="输出 7 4 2" xfId="15969"/>
    <cellStyle name="输出 7 4 2 2" xfId="15970"/>
    <cellStyle name="输出 7 4 2 2 2" xfId="15971"/>
    <cellStyle name="输出 7 4 2 2 2 2" xfId="15972"/>
    <cellStyle name="输出 7 4 2 2 3" xfId="15973"/>
    <cellStyle name="输出 7 4 2 2 3 2" xfId="15974"/>
    <cellStyle name="输出 7 4 2 2 4" xfId="15975"/>
    <cellStyle name="输出 7 4 2 3" xfId="15976"/>
    <cellStyle name="输出 7 4 2 3 2" xfId="15977"/>
    <cellStyle name="输出 7 4 2 4" xfId="15978"/>
    <cellStyle name="输出 7 4 2 4 2" xfId="15979"/>
    <cellStyle name="输出 7 4 2 5" xfId="15980"/>
    <cellStyle name="输出 7 4 3" xfId="15981"/>
    <cellStyle name="输出 7 4 3 2" xfId="15982"/>
    <cellStyle name="输出 7 4 3 2 2" xfId="15983"/>
    <cellStyle name="输出 7 4 3 3" xfId="15984"/>
    <cellStyle name="输出 7 4 3 3 2" xfId="15985"/>
    <cellStyle name="输出 7 4 3 4" xfId="15986"/>
    <cellStyle name="输出 7 4 4" xfId="15987"/>
    <cellStyle name="输出 7 4 4 2" xfId="15988"/>
    <cellStyle name="输出 7 4 5" xfId="15989"/>
    <cellStyle name="输出 7 4 5 2" xfId="15990"/>
    <cellStyle name="输出 7 4 6" xfId="15991"/>
    <cellStyle name="输出 7 5" xfId="15992"/>
    <cellStyle name="输出 7 5 2" xfId="15993"/>
    <cellStyle name="输出 7 5 2 2" xfId="15994"/>
    <cellStyle name="输出 7 5 2 2 2" xfId="15995"/>
    <cellStyle name="输出 7 5 2 2 2 2" xfId="15996"/>
    <cellStyle name="输出 7 5 2 2 3" xfId="15997"/>
    <cellStyle name="输出 7 5 2 2 3 2" xfId="15998"/>
    <cellStyle name="输出 7 5 2 2 4" xfId="15999"/>
    <cellStyle name="输出 7 5 2 3" xfId="16000"/>
    <cellStyle name="输出 7 5 2 3 2" xfId="16001"/>
    <cellStyle name="输出 7 5 2 4" xfId="16002"/>
    <cellStyle name="输出 7 5 2 4 2" xfId="16003"/>
    <cellStyle name="输出 7 5 2 5" xfId="16004"/>
    <cellStyle name="输出 7 5 3" xfId="16005"/>
    <cellStyle name="输出 7 5 3 2" xfId="16006"/>
    <cellStyle name="输出 7 5 3 2 2" xfId="16007"/>
    <cellStyle name="输出 7 5 3 2 2 2" xfId="16008"/>
    <cellStyle name="输出 7 5 3 2 3" xfId="16009"/>
    <cellStyle name="输出 7 5 3 2 3 2" xfId="16010"/>
    <cellStyle name="输出 7 5 3 2 4" xfId="16011"/>
    <cellStyle name="输出 7 5 3 3" xfId="16012"/>
    <cellStyle name="输出 7 5 3 3 2" xfId="16013"/>
    <cellStyle name="输出 7 5 3 4" xfId="16014"/>
    <cellStyle name="输出 7 5 3 4 2" xfId="16015"/>
    <cellStyle name="输出 7 5 3 5" xfId="16016"/>
    <cellStyle name="输出 7 5 4" xfId="16017"/>
    <cellStyle name="输出 7 5 4 2" xfId="16018"/>
    <cellStyle name="输出 7 5 4 2 2" xfId="16019"/>
    <cellStyle name="输出 7 5 4 3" xfId="16020"/>
    <cellStyle name="输出 7 5 4 3 2" xfId="16021"/>
    <cellStyle name="输出 7 5 4 4" xfId="16022"/>
    <cellStyle name="输出 7 5 5" xfId="16023"/>
    <cellStyle name="输出 7 5 5 2" xfId="16024"/>
    <cellStyle name="输出 7 5 6" xfId="16025"/>
    <cellStyle name="输出 7 5 6 2" xfId="16026"/>
    <cellStyle name="输出 7 5 7" xfId="16027"/>
    <cellStyle name="输出 7 6" xfId="16028"/>
    <cellStyle name="输出 7 7" xfId="16029"/>
    <cellStyle name="输出 7 7 2" xfId="16030"/>
    <cellStyle name="输出 7 7 2 2" xfId="16031"/>
    <cellStyle name="输出 7 7 3" xfId="16032"/>
    <cellStyle name="输出 7 7 3 2" xfId="16033"/>
    <cellStyle name="输出 7 7 4" xfId="16034"/>
    <cellStyle name="输出 7 8" xfId="16035"/>
    <cellStyle name="输出 7 8 2" xfId="16036"/>
    <cellStyle name="输出 7 8 2 2" xfId="16037"/>
    <cellStyle name="输出 7 8 3" xfId="16038"/>
    <cellStyle name="输出 7 8 3 2" xfId="16039"/>
    <cellStyle name="输出 7 8 4" xfId="16040"/>
    <cellStyle name="输出 7 9" xfId="16041"/>
    <cellStyle name="输出 7 9 2" xfId="16042"/>
    <cellStyle name="输入 2" xfId="16043"/>
    <cellStyle name="输入 2 10" xfId="16044"/>
    <cellStyle name="输入 2 10 2" xfId="16045"/>
    <cellStyle name="输入 2 11" xfId="16046"/>
    <cellStyle name="输入 2 12" xfId="16047"/>
    <cellStyle name="输入 2 2" xfId="16048"/>
    <cellStyle name="输入 2 2 10" xfId="16049"/>
    <cellStyle name="输入 2 2 10 2" xfId="16050"/>
    <cellStyle name="输入 2 2 11" xfId="16051"/>
    <cellStyle name="输入 2 2 11 2" xfId="16052"/>
    <cellStyle name="输入 2 2 12" xfId="16053"/>
    <cellStyle name="输入 2 2 13" xfId="16054"/>
    <cellStyle name="输入 2 2 2" xfId="16055"/>
    <cellStyle name="输入 2 2 2 2" xfId="16056"/>
    <cellStyle name="输入 2 2 2 2 2" xfId="16057"/>
    <cellStyle name="输入 2 2 2 2 2 2" xfId="16058"/>
    <cellStyle name="输入 2 2 2 2 2 2 2" xfId="16059"/>
    <cellStyle name="输入 2 2 2 2 2 3" xfId="16060"/>
    <cellStyle name="输入 2 2 2 2 2 3 2" xfId="16061"/>
    <cellStyle name="输入 2 2 2 2 2 4" xfId="16062"/>
    <cellStyle name="输入 2 2 2 2 3" xfId="16063"/>
    <cellStyle name="输入 2 2 2 2 3 2" xfId="16064"/>
    <cellStyle name="输入 2 2 2 2 4" xfId="16065"/>
    <cellStyle name="输入 2 2 2 2 4 2" xfId="16066"/>
    <cellStyle name="输入 2 2 2 2 5" xfId="16067"/>
    <cellStyle name="输入 2 2 2 3" xfId="16068"/>
    <cellStyle name="输入 2 2 2 3 2" xfId="16069"/>
    <cellStyle name="输入 2 2 2 3 2 2" xfId="16070"/>
    <cellStyle name="输入 2 2 2 3 3" xfId="16071"/>
    <cellStyle name="输入 2 2 2 3 3 2" xfId="16072"/>
    <cellStyle name="输入 2 2 2 3 4" xfId="16073"/>
    <cellStyle name="输入 2 2 2 4" xfId="16074"/>
    <cellStyle name="输入 2 2 2 4 2" xfId="16075"/>
    <cellStyle name="输入 2 2 2 5" xfId="16076"/>
    <cellStyle name="输入 2 2 2 5 2" xfId="16077"/>
    <cellStyle name="输入 2 2 2 6" xfId="16078"/>
    <cellStyle name="输入 2 2 3" xfId="16079"/>
    <cellStyle name="输入 2 2 3 2" xfId="16080"/>
    <cellStyle name="输入 2 2 3 2 2" xfId="16081"/>
    <cellStyle name="输入 2 2 3 2 2 2" xfId="16082"/>
    <cellStyle name="输入 2 2 3 2 2 2 2" xfId="16083"/>
    <cellStyle name="输入 2 2 3 2 2 3" xfId="16084"/>
    <cellStyle name="输入 2 2 3 2 2 3 2" xfId="16085"/>
    <cellStyle name="输入 2 2 3 2 2 4" xfId="16086"/>
    <cellStyle name="输入 2 2 3 2 3" xfId="16087"/>
    <cellStyle name="输入 2 2 3 2 3 2" xfId="16088"/>
    <cellStyle name="输入 2 2 3 2 4" xfId="16089"/>
    <cellStyle name="输入 2 2 3 2 4 2" xfId="16090"/>
    <cellStyle name="输入 2 2 3 2 5" xfId="16091"/>
    <cellStyle name="输入 2 2 3 3" xfId="16092"/>
    <cellStyle name="输入 2 2 3 3 2" xfId="16093"/>
    <cellStyle name="输入 2 2 3 3 2 2" xfId="16094"/>
    <cellStyle name="输入 2 2 3 3 2 2 2" xfId="16095"/>
    <cellStyle name="输入 2 2 3 3 2 3" xfId="16096"/>
    <cellStyle name="输入 2 2 3 3 2 3 2" xfId="16097"/>
    <cellStyle name="输入 2 2 3 3 2 4" xfId="16098"/>
    <cellStyle name="输入 2 2 3 3 3" xfId="16099"/>
    <cellStyle name="输入 2 2 3 3 3 2" xfId="16100"/>
    <cellStyle name="输入 2 2 3 3 4" xfId="16101"/>
    <cellStyle name="输入 2 2 3 3 4 2" xfId="16102"/>
    <cellStyle name="输入 2 2 3 3 5" xfId="16103"/>
    <cellStyle name="输入 2 2 3 4" xfId="16104"/>
    <cellStyle name="输入 2 2 3 4 2" xfId="16105"/>
    <cellStyle name="输入 2 2 3 4 2 2" xfId="16106"/>
    <cellStyle name="输入 2 2 3 4 3" xfId="16107"/>
    <cellStyle name="输入 2 2 3 4 3 2" xfId="16108"/>
    <cellStyle name="输入 2 2 3 4 4" xfId="16109"/>
    <cellStyle name="输入 2 2 3 5" xfId="16110"/>
    <cellStyle name="输入 2 2 3 5 2" xfId="16111"/>
    <cellStyle name="输入 2 2 3 6" xfId="16112"/>
    <cellStyle name="输入 2 2 3 6 2" xfId="16113"/>
    <cellStyle name="输入 2 2 3 7" xfId="16114"/>
    <cellStyle name="输入 2 2 4" xfId="16115"/>
    <cellStyle name="输入 2 2 4 2" xfId="16116"/>
    <cellStyle name="输入 2 2 4 2 2" xfId="16117"/>
    <cellStyle name="输入 2 2 4 2 2 2" xfId="16118"/>
    <cellStyle name="输入 2 2 4 2 2 2 2" xfId="16119"/>
    <cellStyle name="输入 2 2 4 2 2 3" xfId="16120"/>
    <cellStyle name="输入 2 2 4 2 2 3 2" xfId="16121"/>
    <cellStyle name="输入 2 2 4 2 2 4" xfId="16122"/>
    <cellStyle name="输入 2 2 4 2 3" xfId="16123"/>
    <cellStyle name="输入 2 2 4 2 3 2" xfId="16124"/>
    <cellStyle name="输入 2 2 4 2 4" xfId="16125"/>
    <cellStyle name="输入 2 2 4 2 4 2" xfId="16126"/>
    <cellStyle name="输入 2 2 4 2 5" xfId="16127"/>
    <cellStyle name="输入 2 2 4 3" xfId="16128"/>
    <cellStyle name="输入 2 2 4 3 2" xfId="16129"/>
    <cellStyle name="输入 2 2 4 3 2 2" xfId="16130"/>
    <cellStyle name="输入 2 2 4 3 2 2 2" xfId="16131"/>
    <cellStyle name="输入 2 2 4 3 2 3" xfId="16132"/>
    <cellStyle name="输入 2 2 4 3 2 3 2" xfId="16133"/>
    <cellStyle name="输入 2 2 4 3 2 4" xfId="16134"/>
    <cellStyle name="输入 2 2 4 3 3" xfId="16135"/>
    <cellStyle name="输入 2 2 4 3 3 2" xfId="16136"/>
    <cellStyle name="输入 2 2 4 3 4" xfId="16137"/>
    <cellStyle name="输入 2 2 4 3 4 2" xfId="16138"/>
    <cellStyle name="输入 2 2 4 3 5" xfId="16139"/>
    <cellStyle name="输入 2 2 4 4" xfId="16140"/>
    <cellStyle name="输入 2 2 4 4 2" xfId="16141"/>
    <cellStyle name="输入 2 2 4 4 2 2" xfId="16142"/>
    <cellStyle name="输入 2 2 4 4 3" xfId="16143"/>
    <cellStyle name="输入 2 2 4 4 3 2" xfId="16144"/>
    <cellStyle name="输入 2 2 4 4 4" xfId="16145"/>
    <cellStyle name="输入 2 2 4 5" xfId="16146"/>
    <cellStyle name="输入 2 2 4 5 2" xfId="16147"/>
    <cellStyle name="输入 2 2 4 6" xfId="16148"/>
    <cellStyle name="输入 2 2 4 6 2" xfId="16149"/>
    <cellStyle name="输入 2 2 4 7" xfId="16150"/>
    <cellStyle name="输入 2 2 5" xfId="16151"/>
    <cellStyle name="输入 2 2 5 2" xfId="16152"/>
    <cellStyle name="输入 2 2 5 2 2" xfId="16153"/>
    <cellStyle name="输入 2 2 5 2 2 2" xfId="16154"/>
    <cellStyle name="输入 2 2 5 2 3" xfId="16155"/>
    <cellStyle name="输入 2 2 5 2 3 2" xfId="16156"/>
    <cellStyle name="输入 2 2 5 2 4" xfId="16157"/>
    <cellStyle name="输入 2 2 5 3" xfId="16158"/>
    <cellStyle name="输入 2 2 5 3 2" xfId="16159"/>
    <cellStyle name="输入 2 2 5 4" xfId="16160"/>
    <cellStyle name="输入 2 2 5 4 2" xfId="16161"/>
    <cellStyle name="输入 2 2 5 5" xfId="16162"/>
    <cellStyle name="输入 2 2 6" xfId="16163"/>
    <cellStyle name="输入 2 2 7" xfId="16164"/>
    <cellStyle name="输入 2 2 7 2" xfId="16165"/>
    <cellStyle name="输入 2 2 7 2 2" xfId="16166"/>
    <cellStyle name="输入 2 2 7 3" xfId="16167"/>
    <cellStyle name="输入 2 2 7 3 2" xfId="16168"/>
    <cellStyle name="输入 2 2 7 4" xfId="16169"/>
    <cellStyle name="输入 2 2 8" xfId="16170"/>
    <cellStyle name="输入 2 2 8 2" xfId="16171"/>
    <cellStyle name="输入 2 2 8 2 2" xfId="16172"/>
    <cellStyle name="输入 2 2 8 3" xfId="16173"/>
    <cellStyle name="输入 2 2 8 3 2" xfId="16174"/>
    <cellStyle name="输入 2 2 8 4" xfId="16175"/>
    <cellStyle name="输入 2 2 9" xfId="16176"/>
    <cellStyle name="输入 2 2 9 2" xfId="16177"/>
    <cellStyle name="输入 2 3" xfId="16178"/>
    <cellStyle name="输入 2 3 2" xfId="16179"/>
    <cellStyle name="输入 2 3 2 2" xfId="16180"/>
    <cellStyle name="输入 2 3 2 2 2" xfId="16181"/>
    <cellStyle name="输入 2 3 2 2 2 2" xfId="16182"/>
    <cellStyle name="输入 2 3 2 2 2 2 2" xfId="16183"/>
    <cellStyle name="输入 2 3 2 2 2 3" xfId="16184"/>
    <cellStyle name="输入 2 3 2 2 2 3 2" xfId="16185"/>
    <cellStyle name="输入 2 3 2 2 2 4" xfId="16186"/>
    <cellStyle name="输入 2 3 2 2 3" xfId="16187"/>
    <cellStyle name="输入 2 3 2 2 3 2" xfId="16188"/>
    <cellStyle name="输入 2 3 2 2 4" xfId="16189"/>
    <cellStyle name="输入 2 3 2 2 4 2" xfId="16190"/>
    <cellStyle name="输入 2 3 2 2 5" xfId="16191"/>
    <cellStyle name="输入 2 3 2 3" xfId="16192"/>
    <cellStyle name="输入 2 3 2 3 2" xfId="16193"/>
    <cellStyle name="输入 2 3 2 3 2 2" xfId="16194"/>
    <cellStyle name="输入 2 3 2 3 3" xfId="16195"/>
    <cellStyle name="输入 2 3 2 3 3 2" xfId="16196"/>
    <cellStyle name="输入 2 3 2 3 4" xfId="16197"/>
    <cellStyle name="输入 2 3 2 4" xfId="16198"/>
    <cellStyle name="输入 2 3 2 4 2" xfId="16199"/>
    <cellStyle name="输入 2 3 2 5" xfId="16200"/>
    <cellStyle name="输入 2 3 2 5 2" xfId="16201"/>
    <cellStyle name="输入 2 3 2 6" xfId="16202"/>
    <cellStyle name="输入 2 3 3" xfId="16203"/>
    <cellStyle name="输入 2 3 3 2" xfId="16204"/>
    <cellStyle name="输入 2 3 3 2 2" xfId="16205"/>
    <cellStyle name="输入 2 3 3 2 2 2" xfId="16206"/>
    <cellStyle name="输入 2 3 3 2 3" xfId="16207"/>
    <cellStyle name="输入 2 3 3 2 3 2" xfId="16208"/>
    <cellStyle name="输入 2 3 3 2 4" xfId="16209"/>
    <cellStyle name="输入 2 3 3 3" xfId="16210"/>
    <cellStyle name="输入 2 3 3 3 2" xfId="16211"/>
    <cellStyle name="输入 2 3 3 4" xfId="16212"/>
    <cellStyle name="输入 2 3 3 4 2" xfId="16213"/>
    <cellStyle name="输入 2 3 3 5" xfId="16214"/>
    <cellStyle name="输入 2 3 4" xfId="16215"/>
    <cellStyle name="输入 2 3 4 2" xfId="16216"/>
    <cellStyle name="输入 2 3 4 2 2" xfId="16217"/>
    <cellStyle name="输入 2 3 4 3" xfId="16218"/>
    <cellStyle name="输入 2 3 4 3 2" xfId="16219"/>
    <cellStyle name="输入 2 3 4 4" xfId="16220"/>
    <cellStyle name="输入 2 3 5" xfId="16221"/>
    <cellStyle name="输入 2 3 5 2" xfId="16222"/>
    <cellStyle name="输入 2 3 6" xfId="16223"/>
    <cellStyle name="输入 2 3 6 2" xfId="16224"/>
    <cellStyle name="输入 2 3 7" xfId="16225"/>
    <cellStyle name="输入 2 4" xfId="16226"/>
    <cellStyle name="输入 2 4 2" xfId="16227"/>
    <cellStyle name="输入 2 4 2 2" xfId="16228"/>
    <cellStyle name="输入 2 4 2 2 2" xfId="16229"/>
    <cellStyle name="输入 2 4 2 2 2 2" xfId="16230"/>
    <cellStyle name="输入 2 4 2 2 3" xfId="16231"/>
    <cellStyle name="输入 2 4 2 2 3 2" xfId="16232"/>
    <cellStyle name="输入 2 4 2 2 4" xfId="16233"/>
    <cellStyle name="输入 2 4 2 3" xfId="16234"/>
    <cellStyle name="输入 2 4 2 3 2" xfId="16235"/>
    <cellStyle name="输入 2 4 2 4" xfId="16236"/>
    <cellStyle name="输入 2 4 2 4 2" xfId="16237"/>
    <cellStyle name="输入 2 4 2 5" xfId="16238"/>
    <cellStyle name="输入 2 4 3" xfId="16239"/>
    <cellStyle name="输入 2 4 3 2" xfId="16240"/>
    <cellStyle name="输入 2 4 3 2 2" xfId="16241"/>
    <cellStyle name="输入 2 4 3 3" xfId="16242"/>
    <cellStyle name="输入 2 4 3 3 2" xfId="16243"/>
    <cellStyle name="输入 2 4 3 4" xfId="16244"/>
    <cellStyle name="输入 2 4 4" xfId="16245"/>
    <cellStyle name="输入 2 4 4 2" xfId="16246"/>
    <cellStyle name="输入 2 4 5" xfId="16247"/>
    <cellStyle name="输入 2 4 5 2" xfId="16248"/>
    <cellStyle name="输入 2 4 6" xfId="16249"/>
    <cellStyle name="输入 2 5" xfId="16250"/>
    <cellStyle name="输入 2 5 2" xfId="16251"/>
    <cellStyle name="输入 2 5 2 2" xfId="16252"/>
    <cellStyle name="输入 2 5 2 2 2" xfId="16253"/>
    <cellStyle name="输入 2 5 2 2 2 2" xfId="16254"/>
    <cellStyle name="输入 2 5 2 2 3" xfId="16255"/>
    <cellStyle name="输入 2 5 2 2 3 2" xfId="16256"/>
    <cellStyle name="输入 2 5 2 2 4" xfId="16257"/>
    <cellStyle name="输入 2 5 2 3" xfId="16258"/>
    <cellStyle name="输入 2 5 2 3 2" xfId="16259"/>
    <cellStyle name="输入 2 5 2 4" xfId="16260"/>
    <cellStyle name="输入 2 5 2 4 2" xfId="16261"/>
    <cellStyle name="输入 2 5 2 5" xfId="16262"/>
    <cellStyle name="输入 2 5 3" xfId="16263"/>
    <cellStyle name="输入 2 5 3 2" xfId="16264"/>
    <cellStyle name="输入 2 5 3 2 2" xfId="16265"/>
    <cellStyle name="输入 2 5 3 2 2 2" xfId="16266"/>
    <cellStyle name="输入 2 5 3 2 3" xfId="16267"/>
    <cellStyle name="输入 2 5 3 2 3 2" xfId="16268"/>
    <cellStyle name="输入 2 5 3 2 4" xfId="16269"/>
    <cellStyle name="输入 2 5 3 3" xfId="16270"/>
    <cellStyle name="输入 2 5 3 3 2" xfId="16271"/>
    <cellStyle name="输入 2 5 3 4" xfId="16272"/>
    <cellStyle name="输入 2 5 3 4 2" xfId="16273"/>
    <cellStyle name="输入 2 5 3 5" xfId="16274"/>
    <cellStyle name="输入 2 5 4" xfId="16275"/>
    <cellStyle name="输入 2 5 4 2" xfId="16276"/>
    <cellStyle name="输入 2 5 4 2 2" xfId="16277"/>
    <cellStyle name="输入 2 5 4 3" xfId="16278"/>
    <cellStyle name="输入 2 5 4 3 2" xfId="16279"/>
    <cellStyle name="输入 2 5 4 4" xfId="16280"/>
    <cellStyle name="输入 2 5 5" xfId="16281"/>
    <cellStyle name="输入 2 5 5 2" xfId="16282"/>
    <cellStyle name="输入 2 5 6" xfId="16283"/>
    <cellStyle name="输入 2 5 6 2" xfId="16284"/>
    <cellStyle name="输入 2 5 7" xfId="16285"/>
    <cellStyle name="输入 2 6" xfId="16286"/>
    <cellStyle name="输入 2 7" xfId="16287"/>
    <cellStyle name="输入 2 7 2" xfId="16288"/>
    <cellStyle name="输入 2 7 2 2" xfId="16289"/>
    <cellStyle name="输入 2 7 3" xfId="16290"/>
    <cellStyle name="输入 2 7 3 2" xfId="16291"/>
    <cellStyle name="输入 2 7 4" xfId="16292"/>
    <cellStyle name="输入 2 8" xfId="16293"/>
    <cellStyle name="输入 2 8 2" xfId="16294"/>
    <cellStyle name="输入 2 8 2 2" xfId="16295"/>
    <cellStyle name="输入 2 8 3" xfId="16296"/>
    <cellStyle name="输入 2 8 3 2" xfId="16297"/>
    <cellStyle name="输入 2 8 4" xfId="16298"/>
    <cellStyle name="输入 2 9" xfId="16299"/>
    <cellStyle name="输入 2 9 2" xfId="16300"/>
    <cellStyle name="输入 3" xfId="16301"/>
    <cellStyle name="输入 3 10" xfId="16302"/>
    <cellStyle name="输入 3 10 2" xfId="16303"/>
    <cellStyle name="输入 3 11" xfId="16304"/>
    <cellStyle name="输入 3 12" xfId="16305"/>
    <cellStyle name="输入 3 2" xfId="16306"/>
    <cellStyle name="输入 3 2 10" xfId="16307"/>
    <cellStyle name="输入 3 2 10 2" xfId="16308"/>
    <cellStyle name="输入 3 2 11" xfId="16309"/>
    <cellStyle name="输入 3 2 11 2" xfId="16310"/>
    <cellStyle name="输入 3 2 12" xfId="16311"/>
    <cellStyle name="输入 3 2 13" xfId="16312"/>
    <cellStyle name="输入 3 2 2" xfId="16313"/>
    <cellStyle name="输入 3 2 2 2" xfId="16314"/>
    <cellStyle name="输入 3 2 2 2 2" xfId="16315"/>
    <cellStyle name="输入 3 2 2 2 2 2" xfId="16316"/>
    <cellStyle name="输入 3 2 2 2 2 2 2" xfId="16317"/>
    <cellStyle name="输入 3 2 2 2 2 3" xfId="16318"/>
    <cellStyle name="输入 3 2 2 2 2 3 2" xfId="16319"/>
    <cellStyle name="输入 3 2 2 2 2 4" xfId="16320"/>
    <cellStyle name="输入 3 2 2 2 3" xfId="16321"/>
    <cellStyle name="输入 3 2 2 2 3 2" xfId="16322"/>
    <cellStyle name="输入 3 2 2 2 4" xfId="16323"/>
    <cellStyle name="输入 3 2 2 2 4 2" xfId="16324"/>
    <cellStyle name="输入 3 2 2 2 5" xfId="16325"/>
    <cellStyle name="输入 3 2 2 3" xfId="16326"/>
    <cellStyle name="输入 3 2 2 3 2" xfId="16327"/>
    <cellStyle name="输入 3 2 2 3 2 2" xfId="16328"/>
    <cellStyle name="输入 3 2 2 3 3" xfId="16329"/>
    <cellStyle name="输入 3 2 2 3 3 2" xfId="16330"/>
    <cellStyle name="输入 3 2 2 3 4" xfId="16331"/>
    <cellStyle name="输入 3 2 2 4" xfId="16332"/>
    <cellStyle name="输入 3 2 2 4 2" xfId="16333"/>
    <cellStyle name="输入 3 2 2 5" xfId="16334"/>
    <cellStyle name="输入 3 2 2 5 2" xfId="16335"/>
    <cellStyle name="输入 3 2 2 6" xfId="16336"/>
    <cellStyle name="输入 3 2 3" xfId="16337"/>
    <cellStyle name="输入 3 2 3 2" xfId="16338"/>
    <cellStyle name="输入 3 2 3 2 2" xfId="16339"/>
    <cellStyle name="输入 3 2 3 2 2 2" xfId="16340"/>
    <cellStyle name="输入 3 2 3 2 2 2 2" xfId="16341"/>
    <cellStyle name="输入 3 2 3 2 2 3" xfId="16342"/>
    <cellStyle name="输入 3 2 3 2 2 3 2" xfId="16343"/>
    <cellStyle name="输入 3 2 3 2 2 4" xfId="16344"/>
    <cellStyle name="输入 3 2 3 2 3" xfId="16345"/>
    <cellStyle name="输入 3 2 3 2 3 2" xfId="16346"/>
    <cellStyle name="输入 3 2 3 2 4" xfId="16347"/>
    <cellStyle name="输入 3 2 3 2 4 2" xfId="16348"/>
    <cellStyle name="输入 3 2 3 2 5" xfId="16349"/>
    <cellStyle name="输入 3 2 3 3" xfId="16350"/>
    <cellStyle name="输入 3 2 3 3 2" xfId="16351"/>
    <cellStyle name="输入 3 2 3 3 2 2" xfId="16352"/>
    <cellStyle name="输入 3 2 3 3 2 2 2" xfId="16353"/>
    <cellStyle name="输入 3 2 3 3 2 3" xfId="16354"/>
    <cellStyle name="输入 3 2 3 3 2 3 2" xfId="16355"/>
    <cellStyle name="输入 3 2 3 3 2 4" xfId="16356"/>
    <cellStyle name="输入 3 2 3 3 3" xfId="16357"/>
    <cellStyle name="输入 3 2 3 3 3 2" xfId="16358"/>
    <cellStyle name="输入 3 2 3 3 4" xfId="16359"/>
    <cellStyle name="输入 3 2 3 3 4 2" xfId="16360"/>
    <cellStyle name="输入 3 2 3 3 5" xfId="16361"/>
    <cellStyle name="输入 3 2 3 4" xfId="16362"/>
    <cellStyle name="输入 3 2 3 4 2" xfId="16363"/>
    <cellStyle name="输入 3 2 3 4 2 2" xfId="16364"/>
    <cellStyle name="输入 3 2 3 4 3" xfId="16365"/>
    <cellStyle name="输入 3 2 3 4 3 2" xfId="16366"/>
    <cellStyle name="输入 3 2 3 4 4" xfId="16367"/>
    <cellStyle name="输入 3 2 3 5" xfId="16368"/>
    <cellStyle name="输入 3 2 3 5 2" xfId="16369"/>
    <cellStyle name="输入 3 2 3 6" xfId="16370"/>
    <cellStyle name="输入 3 2 3 6 2" xfId="16371"/>
    <cellStyle name="输入 3 2 3 7" xfId="16372"/>
    <cellStyle name="输入 3 2 4" xfId="16373"/>
    <cellStyle name="输入 3 2 4 2" xfId="16374"/>
    <cellStyle name="输入 3 2 4 2 2" xfId="16375"/>
    <cellStyle name="输入 3 2 4 2 2 2" xfId="16376"/>
    <cellStyle name="输入 3 2 4 2 2 2 2" xfId="16377"/>
    <cellStyle name="输入 3 2 4 2 2 3" xfId="16378"/>
    <cellStyle name="输入 3 2 4 2 2 3 2" xfId="16379"/>
    <cellStyle name="输入 3 2 4 2 2 4" xfId="16380"/>
    <cellStyle name="输入 3 2 4 2 3" xfId="16381"/>
    <cellStyle name="输入 3 2 4 2 3 2" xfId="16382"/>
    <cellStyle name="输入 3 2 4 2 4" xfId="16383"/>
    <cellStyle name="输入 3 2 4 2 4 2" xfId="16384"/>
    <cellStyle name="输入 3 2 4 2 5" xfId="16385"/>
    <cellStyle name="输入 3 2 4 3" xfId="16386"/>
    <cellStyle name="输入 3 2 4 3 2" xfId="16387"/>
    <cellStyle name="输入 3 2 4 3 2 2" xfId="16388"/>
    <cellStyle name="输入 3 2 4 3 2 2 2" xfId="16389"/>
    <cellStyle name="输入 3 2 4 3 2 3" xfId="16390"/>
    <cellStyle name="输入 3 2 4 3 2 3 2" xfId="16391"/>
    <cellStyle name="输入 3 2 4 3 2 4" xfId="16392"/>
    <cellStyle name="输入 3 2 4 3 3" xfId="16393"/>
    <cellStyle name="输入 3 2 4 3 3 2" xfId="16394"/>
    <cellStyle name="输入 3 2 4 3 4" xfId="16395"/>
    <cellStyle name="输入 3 2 4 3 4 2" xfId="16396"/>
    <cellStyle name="输入 3 2 4 3 5" xfId="16397"/>
    <cellStyle name="输入 3 2 4 4" xfId="16398"/>
    <cellStyle name="输入 3 2 4 4 2" xfId="16399"/>
    <cellStyle name="输入 3 2 4 4 2 2" xfId="16400"/>
    <cellStyle name="输入 3 2 4 4 3" xfId="16401"/>
    <cellStyle name="输入 3 2 4 4 3 2" xfId="16402"/>
    <cellStyle name="输入 3 2 4 4 4" xfId="16403"/>
    <cellStyle name="输入 3 2 4 5" xfId="16404"/>
    <cellStyle name="输入 3 2 4 5 2" xfId="16405"/>
    <cellStyle name="输入 3 2 4 6" xfId="16406"/>
    <cellStyle name="输入 3 2 4 6 2" xfId="16407"/>
    <cellStyle name="输入 3 2 4 7" xfId="16408"/>
    <cellStyle name="输入 3 2 5" xfId="16409"/>
    <cellStyle name="输入 3 2 5 2" xfId="16410"/>
    <cellStyle name="输入 3 2 5 2 2" xfId="16411"/>
    <cellStyle name="输入 3 2 5 2 2 2" xfId="16412"/>
    <cellStyle name="输入 3 2 5 2 3" xfId="16413"/>
    <cellStyle name="输入 3 2 5 2 3 2" xfId="16414"/>
    <cellStyle name="输入 3 2 5 2 4" xfId="16415"/>
    <cellStyle name="输入 3 2 5 3" xfId="16416"/>
    <cellStyle name="输入 3 2 5 3 2" xfId="16417"/>
    <cellStyle name="输入 3 2 5 4" xfId="16418"/>
    <cellStyle name="输入 3 2 5 4 2" xfId="16419"/>
    <cellStyle name="输入 3 2 5 5" xfId="16420"/>
    <cellStyle name="输入 3 2 6" xfId="16421"/>
    <cellStyle name="输入 3 2 7" xfId="16422"/>
    <cellStyle name="输入 3 2 7 2" xfId="16423"/>
    <cellStyle name="输入 3 2 7 2 2" xfId="16424"/>
    <cellStyle name="输入 3 2 7 3" xfId="16425"/>
    <cellStyle name="输入 3 2 7 3 2" xfId="16426"/>
    <cellStyle name="输入 3 2 7 4" xfId="16427"/>
    <cellStyle name="输入 3 2 8" xfId="16428"/>
    <cellStyle name="输入 3 2 8 2" xfId="16429"/>
    <cellStyle name="输入 3 2 8 2 2" xfId="16430"/>
    <cellStyle name="输入 3 2 8 3" xfId="16431"/>
    <cellStyle name="输入 3 2 8 3 2" xfId="16432"/>
    <cellStyle name="输入 3 2 8 4" xfId="16433"/>
    <cellStyle name="输入 3 2 9" xfId="16434"/>
    <cellStyle name="输入 3 2 9 2" xfId="16435"/>
    <cellStyle name="输入 3 3" xfId="16436"/>
    <cellStyle name="输入 3 3 2" xfId="16437"/>
    <cellStyle name="输入 3 3 2 2" xfId="16438"/>
    <cellStyle name="输入 3 3 2 2 2" xfId="16439"/>
    <cellStyle name="输入 3 3 2 2 2 2" xfId="16440"/>
    <cellStyle name="输入 3 3 2 2 2 2 2" xfId="16441"/>
    <cellStyle name="输入 3 3 2 2 2 3" xfId="16442"/>
    <cellStyle name="输入 3 3 2 2 2 3 2" xfId="16443"/>
    <cellStyle name="输入 3 3 2 2 2 4" xfId="16444"/>
    <cellStyle name="输入 3 3 2 2 3" xfId="16445"/>
    <cellStyle name="输入 3 3 2 2 3 2" xfId="16446"/>
    <cellStyle name="输入 3 3 2 2 4" xfId="16447"/>
    <cellStyle name="输入 3 3 2 2 4 2" xfId="16448"/>
    <cellStyle name="输入 3 3 2 2 5" xfId="16449"/>
    <cellStyle name="输入 3 3 2 3" xfId="16450"/>
    <cellStyle name="输入 3 3 2 3 2" xfId="16451"/>
    <cellStyle name="输入 3 3 2 3 2 2" xfId="16452"/>
    <cellStyle name="输入 3 3 2 3 3" xfId="16453"/>
    <cellStyle name="输入 3 3 2 3 3 2" xfId="16454"/>
    <cellStyle name="输入 3 3 2 3 4" xfId="16455"/>
    <cellStyle name="输入 3 3 2 4" xfId="16456"/>
    <cellStyle name="输入 3 3 2 4 2" xfId="16457"/>
    <cellStyle name="输入 3 3 2 5" xfId="16458"/>
    <cellStyle name="输入 3 3 2 5 2" xfId="16459"/>
    <cellStyle name="输入 3 3 2 6" xfId="16460"/>
    <cellStyle name="输入 3 3 3" xfId="16461"/>
    <cellStyle name="输入 3 3 3 2" xfId="16462"/>
    <cellStyle name="输入 3 3 3 2 2" xfId="16463"/>
    <cellStyle name="输入 3 3 3 2 2 2" xfId="16464"/>
    <cellStyle name="输入 3 3 3 2 3" xfId="16465"/>
    <cellStyle name="输入 3 3 3 2 3 2" xfId="16466"/>
    <cellStyle name="输入 3 3 3 2 4" xfId="16467"/>
    <cellStyle name="输入 3 3 3 3" xfId="16468"/>
    <cellStyle name="输入 3 3 3 3 2" xfId="16469"/>
    <cellStyle name="输入 3 3 3 4" xfId="16470"/>
    <cellStyle name="输入 3 3 3 4 2" xfId="16471"/>
    <cellStyle name="输入 3 3 3 5" xfId="16472"/>
    <cellStyle name="输入 3 3 4" xfId="16473"/>
    <cellStyle name="输入 3 3 4 2" xfId="16474"/>
    <cellStyle name="输入 3 3 4 2 2" xfId="16475"/>
    <cellStyle name="输入 3 3 4 3" xfId="16476"/>
    <cellStyle name="输入 3 3 4 3 2" xfId="16477"/>
    <cellStyle name="输入 3 3 4 4" xfId="16478"/>
    <cellStyle name="输入 3 3 5" xfId="16479"/>
    <cellStyle name="输入 3 3 5 2" xfId="16480"/>
    <cellStyle name="输入 3 3 6" xfId="16481"/>
    <cellStyle name="输入 3 3 6 2" xfId="16482"/>
    <cellStyle name="输入 3 3 7" xfId="16483"/>
    <cellStyle name="输入 3 4" xfId="16484"/>
    <cellStyle name="输入 3 4 2" xfId="16485"/>
    <cellStyle name="输入 3 4 2 2" xfId="16486"/>
    <cellStyle name="输入 3 4 2 2 2" xfId="16487"/>
    <cellStyle name="输入 3 4 2 2 2 2" xfId="16488"/>
    <cellStyle name="输入 3 4 2 2 3" xfId="16489"/>
    <cellStyle name="输入 3 4 2 2 3 2" xfId="16490"/>
    <cellStyle name="输入 3 4 2 2 4" xfId="16491"/>
    <cellStyle name="输入 3 4 2 3" xfId="16492"/>
    <cellStyle name="输入 3 4 2 3 2" xfId="16493"/>
    <cellStyle name="输入 3 4 2 4" xfId="16494"/>
    <cellStyle name="输入 3 4 2 4 2" xfId="16495"/>
    <cellStyle name="输入 3 4 2 5" xfId="16496"/>
    <cellStyle name="输入 3 4 3" xfId="16497"/>
    <cellStyle name="输入 3 4 3 2" xfId="16498"/>
    <cellStyle name="输入 3 4 3 2 2" xfId="16499"/>
    <cellStyle name="输入 3 4 3 3" xfId="16500"/>
    <cellStyle name="输入 3 4 3 3 2" xfId="16501"/>
    <cellStyle name="输入 3 4 3 4" xfId="16502"/>
    <cellStyle name="输入 3 4 4" xfId="16503"/>
    <cellStyle name="输入 3 4 4 2" xfId="16504"/>
    <cellStyle name="输入 3 4 5" xfId="16505"/>
    <cellStyle name="输入 3 4 5 2" xfId="16506"/>
    <cellStyle name="输入 3 4 6" xfId="16507"/>
    <cellStyle name="输入 3 5" xfId="16508"/>
    <cellStyle name="输入 3 5 2" xfId="16509"/>
    <cellStyle name="输入 3 5 2 2" xfId="16510"/>
    <cellStyle name="输入 3 5 2 2 2" xfId="16511"/>
    <cellStyle name="输入 3 5 2 2 2 2" xfId="16512"/>
    <cellStyle name="输入 3 5 2 2 3" xfId="16513"/>
    <cellStyle name="输入 3 5 2 2 3 2" xfId="16514"/>
    <cellStyle name="输入 3 5 2 2 4" xfId="16515"/>
    <cellStyle name="输入 3 5 2 3" xfId="16516"/>
    <cellStyle name="输入 3 5 2 3 2" xfId="16517"/>
    <cellStyle name="输入 3 5 2 4" xfId="16518"/>
    <cellStyle name="输入 3 5 2 4 2" xfId="16519"/>
    <cellStyle name="输入 3 5 2 5" xfId="16520"/>
    <cellStyle name="输入 3 5 3" xfId="16521"/>
    <cellStyle name="输入 3 5 3 2" xfId="16522"/>
    <cellStyle name="输入 3 5 3 2 2" xfId="16523"/>
    <cellStyle name="输入 3 5 3 2 2 2" xfId="16524"/>
    <cellStyle name="输入 3 5 3 2 3" xfId="16525"/>
    <cellStyle name="输入 3 5 3 2 3 2" xfId="16526"/>
    <cellStyle name="输入 3 5 3 2 4" xfId="16527"/>
    <cellStyle name="输入 3 5 3 3" xfId="16528"/>
    <cellStyle name="输入 3 5 3 3 2" xfId="16529"/>
    <cellStyle name="输入 3 5 3 4" xfId="16530"/>
    <cellStyle name="输入 3 5 3 4 2" xfId="16531"/>
    <cellStyle name="输入 3 5 3 5" xfId="16532"/>
    <cellStyle name="输入 3 5 4" xfId="16533"/>
    <cellStyle name="输入 3 5 4 2" xfId="16534"/>
    <cellStyle name="输入 3 5 4 2 2" xfId="16535"/>
    <cellStyle name="输入 3 5 4 3" xfId="16536"/>
    <cellStyle name="输入 3 5 4 3 2" xfId="16537"/>
    <cellStyle name="输入 3 5 4 4" xfId="16538"/>
    <cellStyle name="输入 3 5 5" xfId="16539"/>
    <cellStyle name="输入 3 5 5 2" xfId="16540"/>
    <cellStyle name="输入 3 5 6" xfId="16541"/>
    <cellStyle name="输入 3 5 6 2" xfId="16542"/>
    <cellStyle name="输入 3 5 7" xfId="16543"/>
    <cellStyle name="输入 3 6" xfId="16544"/>
    <cellStyle name="输入 3 7" xfId="16545"/>
    <cellStyle name="输入 3 7 2" xfId="16546"/>
    <cellStyle name="输入 3 7 2 2" xfId="16547"/>
    <cellStyle name="输入 3 7 3" xfId="16548"/>
    <cellStyle name="输入 3 7 3 2" xfId="16549"/>
    <cellStyle name="输入 3 7 4" xfId="16550"/>
    <cellStyle name="输入 3 8" xfId="16551"/>
    <cellStyle name="输入 3 8 2" xfId="16552"/>
    <cellStyle name="输入 3 8 2 2" xfId="16553"/>
    <cellStyle name="输入 3 8 3" xfId="16554"/>
    <cellStyle name="输入 3 8 3 2" xfId="16555"/>
    <cellStyle name="输入 3 8 4" xfId="16556"/>
    <cellStyle name="输入 3 9" xfId="16557"/>
    <cellStyle name="输入 3 9 2" xfId="16558"/>
    <cellStyle name="输入 4" xfId="16559"/>
    <cellStyle name="输入 4 10" xfId="16560"/>
    <cellStyle name="输入 4 10 2" xfId="16561"/>
    <cellStyle name="输入 4 11" xfId="16562"/>
    <cellStyle name="输入 4 12" xfId="16563"/>
    <cellStyle name="输入 4 2" xfId="16564"/>
    <cellStyle name="输入 4 2 10" xfId="16565"/>
    <cellStyle name="输入 4 2 10 2" xfId="16566"/>
    <cellStyle name="输入 4 2 11" xfId="16567"/>
    <cellStyle name="输入 4 2 11 2" xfId="16568"/>
    <cellStyle name="输入 4 2 12" xfId="16569"/>
    <cellStyle name="输入 4 2 13" xfId="16570"/>
    <cellStyle name="输入 4 2 2" xfId="16571"/>
    <cellStyle name="输入 4 2 2 2" xfId="16572"/>
    <cellStyle name="输入 4 2 2 2 2" xfId="16573"/>
    <cellStyle name="输入 4 2 2 2 2 2" xfId="16574"/>
    <cellStyle name="输入 4 2 2 2 2 2 2" xfId="16575"/>
    <cellStyle name="输入 4 2 2 2 2 3" xfId="16576"/>
    <cellStyle name="输入 4 2 2 2 2 3 2" xfId="16577"/>
    <cellStyle name="输入 4 2 2 2 2 4" xfId="16578"/>
    <cellStyle name="输入 4 2 2 2 3" xfId="16579"/>
    <cellStyle name="输入 4 2 2 2 3 2" xfId="16580"/>
    <cellStyle name="输入 4 2 2 2 4" xfId="16581"/>
    <cellStyle name="输入 4 2 2 2 4 2" xfId="16582"/>
    <cellStyle name="输入 4 2 2 2 5" xfId="16583"/>
    <cellStyle name="输入 4 2 2 3" xfId="16584"/>
    <cellStyle name="输入 4 2 2 3 2" xfId="16585"/>
    <cellStyle name="输入 4 2 2 3 2 2" xfId="16586"/>
    <cellStyle name="输入 4 2 2 3 3" xfId="16587"/>
    <cellStyle name="输入 4 2 2 3 3 2" xfId="16588"/>
    <cellStyle name="输入 4 2 2 3 4" xfId="16589"/>
    <cellStyle name="输入 4 2 2 4" xfId="16590"/>
    <cellStyle name="输入 4 2 2 4 2" xfId="16591"/>
    <cellStyle name="输入 4 2 2 5" xfId="16592"/>
    <cellStyle name="输入 4 2 2 5 2" xfId="16593"/>
    <cellStyle name="输入 4 2 2 6" xfId="16594"/>
    <cellStyle name="输入 4 2 3" xfId="16595"/>
    <cellStyle name="输入 4 2 3 2" xfId="16596"/>
    <cellStyle name="输入 4 2 3 2 2" xfId="16597"/>
    <cellStyle name="输入 4 2 3 2 2 2" xfId="16598"/>
    <cellStyle name="输入 4 2 3 2 2 2 2" xfId="16599"/>
    <cellStyle name="输入 4 2 3 2 2 3" xfId="16600"/>
    <cellStyle name="输入 4 2 3 2 2 3 2" xfId="16601"/>
    <cellStyle name="输入 4 2 3 2 2 4" xfId="16602"/>
    <cellStyle name="输入 4 2 3 2 3" xfId="16603"/>
    <cellStyle name="输入 4 2 3 2 3 2" xfId="16604"/>
    <cellStyle name="输入 4 2 3 2 4" xfId="16605"/>
    <cellStyle name="输入 4 2 3 2 4 2" xfId="16606"/>
    <cellStyle name="输入 4 2 3 2 5" xfId="16607"/>
    <cellStyle name="输入 4 2 3 3" xfId="16608"/>
    <cellStyle name="输入 4 2 3 3 2" xfId="16609"/>
    <cellStyle name="输入 4 2 3 3 2 2" xfId="16610"/>
    <cellStyle name="输入 4 2 3 3 2 2 2" xfId="16611"/>
    <cellStyle name="输入 4 2 3 3 2 3" xfId="16612"/>
    <cellStyle name="输入 4 2 3 3 2 3 2" xfId="16613"/>
    <cellStyle name="输入 4 2 3 3 2 4" xfId="16614"/>
    <cellStyle name="输入 4 2 3 3 3" xfId="16615"/>
    <cellStyle name="输入 4 2 3 3 3 2" xfId="16616"/>
    <cellStyle name="输入 4 2 3 3 4" xfId="16617"/>
    <cellStyle name="输入 4 2 3 3 4 2" xfId="16618"/>
    <cellStyle name="输入 4 2 3 3 5" xfId="16619"/>
    <cellStyle name="输入 4 2 3 4" xfId="16620"/>
    <cellStyle name="输入 4 2 3 4 2" xfId="16621"/>
    <cellStyle name="输入 4 2 3 4 2 2" xfId="16622"/>
    <cellStyle name="输入 4 2 3 4 3" xfId="16623"/>
    <cellStyle name="输入 4 2 3 4 3 2" xfId="16624"/>
    <cellStyle name="输入 4 2 3 4 4" xfId="16625"/>
    <cellStyle name="输入 4 2 3 5" xfId="16626"/>
    <cellStyle name="输入 4 2 3 5 2" xfId="16627"/>
    <cellStyle name="输入 4 2 3 6" xfId="16628"/>
    <cellStyle name="输入 4 2 3 6 2" xfId="16629"/>
    <cellStyle name="输入 4 2 3 7" xfId="16630"/>
    <cellStyle name="输入 4 2 4" xfId="16631"/>
    <cellStyle name="输入 4 2 4 2" xfId="16632"/>
    <cellStyle name="输入 4 2 4 2 2" xfId="16633"/>
    <cellStyle name="输入 4 2 4 2 2 2" xfId="16634"/>
    <cellStyle name="输入 4 2 4 2 2 2 2" xfId="16635"/>
    <cellStyle name="输入 4 2 4 2 2 3" xfId="16636"/>
    <cellStyle name="输入 4 2 4 2 2 3 2" xfId="16637"/>
    <cellStyle name="输入 4 2 4 2 2 4" xfId="16638"/>
    <cellStyle name="输入 4 2 4 2 3" xfId="16639"/>
    <cellStyle name="输入 4 2 4 2 3 2" xfId="16640"/>
    <cellStyle name="输入 4 2 4 2 4" xfId="16641"/>
    <cellStyle name="输入 4 2 4 2 4 2" xfId="16642"/>
    <cellStyle name="输入 4 2 4 2 5" xfId="16643"/>
    <cellStyle name="输入 4 2 4 3" xfId="16644"/>
    <cellStyle name="输入 4 2 4 3 2" xfId="16645"/>
    <cellStyle name="输入 4 2 4 3 2 2" xfId="16646"/>
    <cellStyle name="输入 4 2 4 3 2 2 2" xfId="16647"/>
    <cellStyle name="输入 4 2 4 3 2 3" xfId="16648"/>
    <cellStyle name="输入 4 2 4 3 2 3 2" xfId="16649"/>
    <cellStyle name="输入 4 2 4 3 2 4" xfId="16650"/>
    <cellStyle name="输入 4 2 4 3 3" xfId="16651"/>
    <cellStyle name="输入 4 2 4 3 3 2" xfId="16652"/>
    <cellStyle name="输入 4 2 4 3 4" xfId="16653"/>
    <cellStyle name="输入 4 2 4 3 4 2" xfId="16654"/>
    <cellStyle name="输入 4 2 4 3 5" xfId="16655"/>
    <cellStyle name="输入 4 2 4 4" xfId="16656"/>
    <cellStyle name="输入 4 2 4 4 2" xfId="16657"/>
    <cellStyle name="输入 4 2 4 4 2 2" xfId="16658"/>
    <cellStyle name="输入 4 2 4 4 3" xfId="16659"/>
    <cellStyle name="输入 4 2 4 4 3 2" xfId="16660"/>
    <cellStyle name="输入 4 2 4 4 4" xfId="16661"/>
    <cellStyle name="输入 4 2 4 5" xfId="16662"/>
    <cellStyle name="输入 4 2 4 5 2" xfId="16663"/>
    <cellStyle name="输入 4 2 4 6" xfId="16664"/>
    <cellStyle name="输入 4 2 4 6 2" xfId="16665"/>
    <cellStyle name="输入 4 2 4 7" xfId="16666"/>
    <cellStyle name="输入 4 2 5" xfId="16667"/>
    <cellStyle name="输入 4 2 5 2" xfId="16668"/>
    <cellStyle name="输入 4 2 5 2 2" xfId="16669"/>
    <cellStyle name="输入 4 2 5 2 2 2" xfId="16670"/>
    <cellStyle name="输入 4 2 5 2 3" xfId="16671"/>
    <cellStyle name="输入 4 2 5 2 3 2" xfId="16672"/>
    <cellStyle name="输入 4 2 5 2 4" xfId="16673"/>
    <cellStyle name="输入 4 2 5 3" xfId="16674"/>
    <cellStyle name="输入 4 2 5 3 2" xfId="16675"/>
    <cellStyle name="输入 4 2 5 4" xfId="16676"/>
    <cellStyle name="输入 4 2 5 4 2" xfId="16677"/>
    <cellStyle name="输入 4 2 5 5" xfId="16678"/>
    <cellStyle name="输入 4 2 6" xfId="16679"/>
    <cellStyle name="输入 4 2 7" xfId="16680"/>
    <cellStyle name="输入 4 2 7 2" xfId="16681"/>
    <cellStyle name="输入 4 2 7 2 2" xfId="16682"/>
    <cellStyle name="输入 4 2 7 3" xfId="16683"/>
    <cellStyle name="输入 4 2 7 3 2" xfId="16684"/>
    <cellStyle name="输入 4 2 7 4" xfId="16685"/>
    <cellStyle name="输入 4 2 8" xfId="16686"/>
    <cellStyle name="输入 4 2 8 2" xfId="16687"/>
    <cellStyle name="输入 4 2 8 2 2" xfId="16688"/>
    <cellStyle name="输入 4 2 8 3" xfId="16689"/>
    <cellStyle name="输入 4 2 8 3 2" xfId="16690"/>
    <cellStyle name="输入 4 2 8 4" xfId="16691"/>
    <cellStyle name="输入 4 2 9" xfId="16692"/>
    <cellStyle name="输入 4 2 9 2" xfId="16693"/>
    <cellStyle name="输入 4 3" xfId="16694"/>
    <cellStyle name="输入 4 3 2" xfId="16695"/>
    <cellStyle name="输入 4 3 2 2" xfId="16696"/>
    <cellStyle name="输入 4 3 2 2 2" xfId="16697"/>
    <cellStyle name="输入 4 3 2 2 2 2" xfId="16698"/>
    <cellStyle name="输入 4 3 2 2 2 2 2" xfId="16699"/>
    <cellStyle name="输入 4 3 2 2 2 3" xfId="16700"/>
    <cellStyle name="输入 4 3 2 2 2 3 2" xfId="16701"/>
    <cellStyle name="输入 4 3 2 2 2 4" xfId="16702"/>
    <cellStyle name="输入 4 3 2 2 3" xfId="16703"/>
    <cellStyle name="输入 4 3 2 2 3 2" xfId="16704"/>
    <cellStyle name="输入 4 3 2 2 4" xfId="16705"/>
    <cellStyle name="输入 4 3 2 2 4 2" xfId="16706"/>
    <cellStyle name="输入 4 3 2 2 5" xfId="16707"/>
    <cellStyle name="输入 4 3 2 3" xfId="16708"/>
    <cellStyle name="输入 4 3 2 3 2" xfId="16709"/>
    <cellStyle name="输入 4 3 2 3 2 2" xfId="16710"/>
    <cellStyle name="输入 4 3 2 3 3" xfId="16711"/>
    <cellStyle name="输入 4 3 2 3 3 2" xfId="16712"/>
    <cellStyle name="输入 4 3 2 3 4" xfId="16713"/>
    <cellStyle name="输入 4 3 2 4" xfId="16714"/>
    <cellStyle name="输入 4 3 2 4 2" xfId="16715"/>
    <cellStyle name="输入 4 3 2 5" xfId="16716"/>
    <cellStyle name="输入 4 3 2 5 2" xfId="16717"/>
    <cellStyle name="输入 4 3 2 6" xfId="16718"/>
    <cellStyle name="输入 4 3 3" xfId="16719"/>
    <cellStyle name="输入 4 3 3 2" xfId="16720"/>
    <cellStyle name="输入 4 3 3 2 2" xfId="16721"/>
    <cellStyle name="输入 4 3 3 2 2 2" xfId="16722"/>
    <cellStyle name="输入 4 3 3 2 3" xfId="16723"/>
    <cellStyle name="输入 4 3 3 2 3 2" xfId="16724"/>
    <cellStyle name="输入 4 3 3 2 4" xfId="16725"/>
    <cellStyle name="输入 4 3 3 3" xfId="16726"/>
    <cellStyle name="输入 4 3 3 3 2" xfId="16727"/>
    <cellStyle name="输入 4 3 3 4" xfId="16728"/>
    <cellStyle name="输入 4 3 3 4 2" xfId="16729"/>
    <cellStyle name="输入 4 3 3 5" xfId="16730"/>
    <cellStyle name="输入 4 3 4" xfId="16731"/>
    <cellStyle name="输入 4 3 4 2" xfId="16732"/>
    <cellStyle name="输入 4 3 4 2 2" xfId="16733"/>
    <cellStyle name="输入 4 3 4 3" xfId="16734"/>
    <cellStyle name="输入 4 3 4 3 2" xfId="16735"/>
    <cellStyle name="输入 4 3 4 4" xfId="16736"/>
    <cellStyle name="输入 4 3 5" xfId="16737"/>
    <cellStyle name="输入 4 3 5 2" xfId="16738"/>
    <cellStyle name="输入 4 3 6" xfId="16739"/>
    <cellStyle name="输入 4 3 6 2" xfId="16740"/>
    <cellStyle name="输入 4 3 7" xfId="16741"/>
    <cellStyle name="输入 4 4" xfId="16742"/>
    <cellStyle name="输入 4 4 2" xfId="16743"/>
    <cellStyle name="输入 4 4 2 2" xfId="16744"/>
    <cellStyle name="输入 4 4 2 2 2" xfId="16745"/>
    <cellStyle name="输入 4 4 2 2 2 2" xfId="16746"/>
    <cellStyle name="输入 4 4 2 2 3" xfId="16747"/>
    <cellStyle name="输入 4 4 2 2 3 2" xfId="16748"/>
    <cellStyle name="输入 4 4 2 2 4" xfId="16749"/>
    <cellStyle name="输入 4 4 2 3" xfId="16750"/>
    <cellStyle name="输入 4 4 2 3 2" xfId="16751"/>
    <cellStyle name="输入 4 4 2 4" xfId="16752"/>
    <cellStyle name="输入 4 4 2 4 2" xfId="16753"/>
    <cellStyle name="输入 4 4 2 5" xfId="16754"/>
    <cellStyle name="输入 4 4 3" xfId="16755"/>
    <cellStyle name="输入 4 4 3 2" xfId="16756"/>
    <cellStyle name="输入 4 4 3 2 2" xfId="16757"/>
    <cellStyle name="输入 4 4 3 3" xfId="16758"/>
    <cellStyle name="输入 4 4 3 3 2" xfId="16759"/>
    <cellStyle name="输入 4 4 3 4" xfId="16760"/>
    <cellStyle name="输入 4 4 4" xfId="16761"/>
    <cellStyle name="输入 4 4 4 2" xfId="16762"/>
    <cellStyle name="输入 4 4 5" xfId="16763"/>
    <cellStyle name="输入 4 4 5 2" xfId="16764"/>
    <cellStyle name="输入 4 4 6" xfId="16765"/>
    <cellStyle name="输入 4 5" xfId="16766"/>
    <cellStyle name="输入 4 5 2" xfId="16767"/>
    <cellStyle name="输入 4 5 2 2" xfId="16768"/>
    <cellStyle name="输入 4 5 2 2 2" xfId="16769"/>
    <cellStyle name="输入 4 5 2 2 2 2" xfId="16770"/>
    <cellStyle name="输入 4 5 2 2 3" xfId="16771"/>
    <cellStyle name="输入 4 5 2 2 3 2" xfId="16772"/>
    <cellStyle name="输入 4 5 2 2 4" xfId="16773"/>
    <cellStyle name="输入 4 5 2 3" xfId="16774"/>
    <cellStyle name="输入 4 5 2 3 2" xfId="16775"/>
    <cellStyle name="输入 4 5 2 4" xfId="16776"/>
    <cellStyle name="输入 4 5 2 4 2" xfId="16777"/>
    <cellStyle name="输入 4 5 2 5" xfId="16778"/>
    <cellStyle name="输入 4 5 3" xfId="16779"/>
    <cellStyle name="输入 4 5 3 2" xfId="16780"/>
    <cellStyle name="输入 4 5 3 2 2" xfId="16781"/>
    <cellStyle name="输入 4 5 3 2 2 2" xfId="16782"/>
    <cellStyle name="输入 4 5 3 2 3" xfId="16783"/>
    <cellStyle name="输入 4 5 3 2 3 2" xfId="16784"/>
    <cellStyle name="输入 4 5 3 2 4" xfId="16785"/>
    <cellStyle name="输入 4 5 3 3" xfId="16786"/>
    <cellStyle name="输入 4 5 3 3 2" xfId="16787"/>
    <cellStyle name="输入 4 5 3 4" xfId="16788"/>
    <cellStyle name="输入 4 5 3 4 2" xfId="16789"/>
    <cellStyle name="输入 4 5 3 5" xfId="16790"/>
    <cellStyle name="输入 4 5 4" xfId="16791"/>
    <cellStyle name="输入 4 5 4 2" xfId="16792"/>
    <cellStyle name="输入 4 5 4 2 2" xfId="16793"/>
    <cellStyle name="输入 4 5 4 3" xfId="16794"/>
    <cellStyle name="输入 4 5 4 3 2" xfId="16795"/>
    <cellStyle name="输入 4 5 4 4" xfId="16796"/>
    <cellStyle name="输入 4 5 5" xfId="16797"/>
    <cellStyle name="输入 4 5 5 2" xfId="16798"/>
    <cellStyle name="输入 4 5 6" xfId="16799"/>
    <cellStyle name="输入 4 5 6 2" xfId="16800"/>
    <cellStyle name="输入 4 5 7" xfId="16801"/>
    <cellStyle name="输入 4 6" xfId="16802"/>
    <cellStyle name="输入 4 7" xfId="16803"/>
    <cellStyle name="输入 4 7 2" xfId="16804"/>
    <cellStyle name="输入 4 7 2 2" xfId="16805"/>
    <cellStyle name="输入 4 7 3" xfId="16806"/>
    <cellStyle name="输入 4 7 3 2" xfId="16807"/>
    <cellStyle name="输入 4 7 4" xfId="16808"/>
    <cellStyle name="输入 4 8" xfId="16809"/>
    <cellStyle name="输入 4 8 2" xfId="16810"/>
    <cellStyle name="输入 4 8 2 2" xfId="16811"/>
    <cellStyle name="输入 4 8 3" xfId="16812"/>
    <cellStyle name="输入 4 8 3 2" xfId="16813"/>
    <cellStyle name="输入 4 8 4" xfId="16814"/>
    <cellStyle name="输入 4 9" xfId="16815"/>
    <cellStyle name="输入 4 9 2" xfId="16816"/>
    <cellStyle name="输入 5" xfId="16817"/>
    <cellStyle name="输入 5 10" xfId="16818"/>
    <cellStyle name="输入 5 10 2" xfId="16819"/>
    <cellStyle name="输入 5 11" xfId="16820"/>
    <cellStyle name="输入 5 12" xfId="16821"/>
    <cellStyle name="输入 5 2" xfId="16822"/>
    <cellStyle name="输入 5 2 10" xfId="16823"/>
    <cellStyle name="输入 5 2 10 2" xfId="16824"/>
    <cellStyle name="输入 5 2 11" xfId="16825"/>
    <cellStyle name="输入 5 2 11 2" xfId="16826"/>
    <cellStyle name="输入 5 2 12" xfId="16827"/>
    <cellStyle name="输入 5 2 13" xfId="16828"/>
    <cellStyle name="输入 5 2 2" xfId="16829"/>
    <cellStyle name="输入 5 2 2 2" xfId="16830"/>
    <cellStyle name="输入 5 2 2 2 2" xfId="16831"/>
    <cellStyle name="输入 5 2 2 2 2 2" xfId="16832"/>
    <cellStyle name="输入 5 2 2 2 2 2 2" xfId="16833"/>
    <cellStyle name="输入 5 2 2 2 2 3" xfId="16834"/>
    <cellStyle name="输入 5 2 2 2 2 3 2" xfId="16835"/>
    <cellStyle name="输入 5 2 2 2 2 4" xfId="16836"/>
    <cellStyle name="输入 5 2 2 2 3" xfId="16837"/>
    <cellStyle name="输入 5 2 2 2 3 2" xfId="16838"/>
    <cellStyle name="输入 5 2 2 2 4" xfId="16839"/>
    <cellStyle name="输入 5 2 2 2 4 2" xfId="16840"/>
    <cellStyle name="输入 5 2 2 2 5" xfId="16841"/>
    <cellStyle name="输入 5 2 2 3" xfId="16842"/>
    <cellStyle name="输入 5 2 2 3 2" xfId="16843"/>
    <cellStyle name="输入 5 2 2 3 2 2" xfId="16844"/>
    <cellStyle name="输入 5 2 2 3 3" xfId="16845"/>
    <cellStyle name="输入 5 2 2 3 3 2" xfId="16846"/>
    <cellStyle name="输入 5 2 2 3 4" xfId="16847"/>
    <cellStyle name="输入 5 2 2 4" xfId="16848"/>
    <cellStyle name="输入 5 2 2 4 2" xfId="16849"/>
    <cellStyle name="输入 5 2 2 5" xfId="16850"/>
    <cellStyle name="输入 5 2 2 5 2" xfId="16851"/>
    <cellStyle name="输入 5 2 2 6" xfId="16852"/>
    <cellStyle name="输入 5 2 3" xfId="16853"/>
    <cellStyle name="输入 5 2 3 2" xfId="16854"/>
    <cellStyle name="输入 5 2 3 2 2" xfId="16855"/>
    <cellStyle name="输入 5 2 3 2 2 2" xfId="16856"/>
    <cellStyle name="输入 5 2 3 2 2 2 2" xfId="16857"/>
    <cellStyle name="输入 5 2 3 2 2 3" xfId="16858"/>
    <cellStyle name="输入 5 2 3 2 2 3 2" xfId="16859"/>
    <cellStyle name="输入 5 2 3 2 2 4" xfId="16860"/>
    <cellStyle name="输入 5 2 3 2 3" xfId="16861"/>
    <cellStyle name="输入 5 2 3 2 3 2" xfId="16862"/>
    <cellStyle name="输入 5 2 3 2 4" xfId="16863"/>
    <cellStyle name="输入 5 2 3 2 4 2" xfId="16864"/>
    <cellStyle name="输入 5 2 3 2 5" xfId="16865"/>
    <cellStyle name="输入 5 2 3 3" xfId="16866"/>
    <cellStyle name="输入 5 2 3 3 2" xfId="16867"/>
    <cellStyle name="输入 5 2 3 3 2 2" xfId="16868"/>
    <cellStyle name="输入 5 2 3 3 2 2 2" xfId="16869"/>
    <cellStyle name="输入 5 2 3 3 2 3" xfId="16870"/>
    <cellStyle name="输入 5 2 3 3 2 3 2" xfId="16871"/>
    <cellStyle name="输入 5 2 3 3 2 4" xfId="16872"/>
    <cellStyle name="输入 5 2 3 3 3" xfId="16873"/>
    <cellStyle name="输入 5 2 3 3 3 2" xfId="16874"/>
    <cellStyle name="输入 5 2 3 3 4" xfId="16875"/>
    <cellStyle name="输入 5 2 3 3 4 2" xfId="16876"/>
    <cellStyle name="输入 5 2 3 3 5" xfId="16877"/>
    <cellStyle name="输入 5 2 3 4" xfId="16878"/>
    <cellStyle name="输入 5 2 3 4 2" xfId="16879"/>
    <cellStyle name="输入 5 2 3 4 2 2" xfId="16880"/>
    <cellStyle name="输入 5 2 3 4 3" xfId="16881"/>
    <cellStyle name="输入 5 2 3 4 3 2" xfId="16882"/>
    <cellStyle name="输入 5 2 3 4 4" xfId="16883"/>
    <cellStyle name="输入 5 2 3 5" xfId="16884"/>
    <cellStyle name="输入 5 2 3 5 2" xfId="16885"/>
    <cellStyle name="输入 5 2 3 6" xfId="16886"/>
    <cellStyle name="输入 5 2 3 6 2" xfId="16887"/>
    <cellStyle name="输入 5 2 3 7" xfId="16888"/>
    <cellStyle name="输入 5 2 4" xfId="16889"/>
    <cellStyle name="输入 5 2 4 2" xfId="16890"/>
    <cellStyle name="输入 5 2 4 2 2" xfId="16891"/>
    <cellStyle name="输入 5 2 4 2 2 2" xfId="16892"/>
    <cellStyle name="输入 5 2 4 2 2 2 2" xfId="16893"/>
    <cellStyle name="输入 5 2 4 2 2 3" xfId="16894"/>
    <cellStyle name="输入 5 2 4 2 2 3 2" xfId="16895"/>
    <cellStyle name="输入 5 2 4 2 2 4" xfId="16896"/>
    <cellStyle name="输入 5 2 4 2 3" xfId="16897"/>
    <cellStyle name="输入 5 2 4 2 3 2" xfId="16898"/>
    <cellStyle name="输入 5 2 4 2 4" xfId="16899"/>
    <cellStyle name="输入 5 2 4 2 4 2" xfId="16900"/>
    <cellStyle name="输入 5 2 4 2 5" xfId="16901"/>
    <cellStyle name="输入 5 2 4 3" xfId="16902"/>
    <cellStyle name="输入 5 2 4 3 2" xfId="16903"/>
    <cellStyle name="输入 5 2 4 3 2 2" xfId="16904"/>
    <cellStyle name="输入 5 2 4 3 2 2 2" xfId="16905"/>
    <cellStyle name="输入 5 2 4 3 2 3" xfId="16906"/>
    <cellStyle name="输入 5 2 4 3 2 3 2" xfId="16907"/>
    <cellStyle name="输入 5 2 4 3 2 4" xfId="16908"/>
    <cellStyle name="输入 5 2 4 3 3" xfId="16909"/>
    <cellStyle name="输入 5 2 4 3 3 2" xfId="16910"/>
    <cellStyle name="输入 5 2 4 3 4" xfId="16911"/>
    <cellStyle name="输入 5 2 4 3 4 2" xfId="16912"/>
    <cellStyle name="输入 5 2 4 3 5" xfId="16913"/>
    <cellStyle name="输入 5 2 4 4" xfId="16914"/>
    <cellStyle name="输入 5 2 4 4 2" xfId="16915"/>
    <cellStyle name="输入 5 2 4 4 2 2" xfId="16916"/>
    <cellStyle name="输入 5 2 4 4 3" xfId="16917"/>
    <cellStyle name="输入 5 2 4 4 3 2" xfId="16918"/>
    <cellStyle name="输入 5 2 4 4 4" xfId="16919"/>
    <cellStyle name="输入 5 2 4 5" xfId="16920"/>
    <cellStyle name="输入 5 2 4 5 2" xfId="16921"/>
    <cellStyle name="输入 5 2 4 6" xfId="16922"/>
    <cellStyle name="输入 5 2 4 6 2" xfId="16923"/>
    <cellStyle name="输入 5 2 4 7" xfId="16924"/>
    <cellStyle name="输入 5 2 5" xfId="16925"/>
    <cellStyle name="输入 5 2 5 2" xfId="16926"/>
    <cellStyle name="输入 5 2 5 2 2" xfId="16927"/>
    <cellStyle name="输入 5 2 5 2 2 2" xfId="16928"/>
    <cellStyle name="输入 5 2 5 2 3" xfId="16929"/>
    <cellStyle name="输入 5 2 5 2 3 2" xfId="16930"/>
    <cellStyle name="输入 5 2 5 2 4" xfId="16931"/>
    <cellStyle name="输入 5 2 5 3" xfId="16932"/>
    <cellStyle name="输入 5 2 5 3 2" xfId="16933"/>
    <cellStyle name="输入 5 2 5 4" xfId="16934"/>
    <cellStyle name="输入 5 2 5 4 2" xfId="16935"/>
    <cellStyle name="输入 5 2 5 5" xfId="16936"/>
    <cellStyle name="输入 5 2 6" xfId="16937"/>
    <cellStyle name="输入 5 2 7" xfId="16938"/>
    <cellStyle name="输入 5 2 7 2" xfId="16939"/>
    <cellStyle name="输入 5 2 7 2 2" xfId="16940"/>
    <cellStyle name="输入 5 2 7 3" xfId="16941"/>
    <cellStyle name="输入 5 2 7 3 2" xfId="16942"/>
    <cellStyle name="输入 5 2 7 4" xfId="16943"/>
    <cellStyle name="输入 5 2 8" xfId="16944"/>
    <cellStyle name="输入 5 2 8 2" xfId="16945"/>
    <cellStyle name="输入 5 2 8 2 2" xfId="16946"/>
    <cellStyle name="输入 5 2 8 3" xfId="16947"/>
    <cellStyle name="输入 5 2 8 3 2" xfId="16948"/>
    <cellStyle name="输入 5 2 8 4" xfId="16949"/>
    <cellStyle name="输入 5 2 9" xfId="16950"/>
    <cellStyle name="输入 5 2 9 2" xfId="16951"/>
    <cellStyle name="输入 5 3" xfId="16952"/>
    <cellStyle name="输入 5 3 2" xfId="16953"/>
    <cellStyle name="输入 5 3 2 2" xfId="16954"/>
    <cellStyle name="输入 5 3 2 2 2" xfId="16955"/>
    <cellStyle name="输入 5 3 2 2 2 2" xfId="16956"/>
    <cellStyle name="输入 5 3 2 2 2 2 2" xfId="16957"/>
    <cellStyle name="输入 5 3 2 2 2 3" xfId="16958"/>
    <cellStyle name="输入 5 3 2 2 2 3 2" xfId="16959"/>
    <cellStyle name="输入 5 3 2 2 2 4" xfId="16960"/>
    <cellStyle name="输入 5 3 2 2 3" xfId="16961"/>
    <cellStyle name="输入 5 3 2 2 3 2" xfId="16962"/>
    <cellStyle name="输入 5 3 2 2 4" xfId="16963"/>
    <cellStyle name="输入 5 3 2 2 4 2" xfId="16964"/>
    <cellStyle name="输入 5 3 2 2 5" xfId="16965"/>
    <cellStyle name="输入 5 3 2 3" xfId="16966"/>
    <cellStyle name="输入 5 3 2 3 2" xfId="16967"/>
    <cellStyle name="输入 5 3 2 3 2 2" xfId="16968"/>
    <cellStyle name="输入 5 3 2 3 3" xfId="16969"/>
    <cellStyle name="输入 5 3 2 3 3 2" xfId="16970"/>
    <cellStyle name="输入 5 3 2 3 4" xfId="16971"/>
    <cellStyle name="输入 5 3 2 4" xfId="16972"/>
    <cellStyle name="输入 5 3 2 4 2" xfId="16973"/>
    <cellStyle name="输入 5 3 2 5" xfId="16974"/>
    <cellStyle name="输入 5 3 2 5 2" xfId="16975"/>
    <cellStyle name="输入 5 3 2 6" xfId="16976"/>
    <cellStyle name="输入 5 3 3" xfId="16977"/>
    <cellStyle name="输入 5 3 3 2" xfId="16978"/>
    <cellStyle name="输入 5 3 3 2 2" xfId="16979"/>
    <cellStyle name="输入 5 3 3 2 2 2" xfId="16980"/>
    <cellStyle name="输入 5 3 3 2 3" xfId="16981"/>
    <cellStyle name="输入 5 3 3 2 3 2" xfId="16982"/>
    <cellStyle name="输入 5 3 3 2 4" xfId="16983"/>
    <cellStyle name="输入 5 3 3 3" xfId="16984"/>
    <cellStyle name="输入 5 3 3 3 2" xfId="16985"/>
    <cellStyle name="输入 5 3 3 4" xfId="16986"/>
    <cellStyle name="输入 5 3 3 4 2" xfId="16987"/>
    <cellStyle name="输入 5 3 3 5" xfId="16988"/>
    <cellStyle name="输入 5 3 4" xfId="16989"/>
    <cellStyle name="输入 5 3 4 2" xfId="16990"/>
    <cellStyle name="输入 5 3 4 2 2" xfId="16991"/>
    <cellStyle name="输入 5 3 4 3" xfId="16992"/>
    <cellStyle name="输入 5 3 4 3 2" xfId="16993"/>
    <cellStyle name="输入 5 3 4 4" xfId="16994"/>
    <cellStyle name="输入 5 3 5" xfId="16995"/>
    <cellStyle name="输入 5 3 5 2" xfId="16996"/>
    <cellStyle name="输入 5 3 6" xfId="16997"/>
    <cellStyle name="输入 5 3 6 2" xfId="16998"/>
    <cellStyle name="输入 5 3 7" xfId="16999"/>
    <cellStyle name="输入 5 4" xfId="17000"/>
    <cellStyle name="输入 5 4 2" xfId="17001"/>
    <cellStyle name="输入 5 4 2 2" xfId="17002"/>
    <cellStyle name="输入 5 4 2 2 2" xfId="17003"/>
    <cellStyle name="输入 5 4 2 2 2 2" xfId="17004"/>
    <cellStyle name="输入 5 4 2 2 3" xfId="17005"/>
    <cellStyle name="输入 5 4 2 2 3 2" xfId="17006"/>
    <cellStyle name="输入 5 4 2 2 4" xfId="17007"/>
    <cellStyle name="输入 5 4 2 3" xfId="17008"/>
    <cellStyle name="输入 5 4 2 3 2" xfId="17009"/>
    <cellStyle name="输入 5 4 2 4" xfId="17010"/>
    <cellStyle name="输入 5 4 2 4 2" xfId="17011"/>
    <cellStyle name="输入 5 4 2 5" xfId="17012"/>
    <cellStyle name="输入 5 4 3" xfId="17013"/>
    <cellStyle name="输入 5 4 3 2" xfId="17014"/>
    <cellStyle name="输入 5 4 3 2 2" xfId="17015"/>
    <cellStyle name="输入 5 4 3 3" xfId="17016"/>
    <cellStyle name="输入 5 4 3 3 2" xfId="17017"/>
    <cellStyle name="输入 5 4 3 4" xfId="17018"/>
    <cellStyle name="输入 5 4 4" xfId="17019"/>
    <cellStyle name="输入 5 4 4 2" xfId="17020"/>
    <cellStyle name="输入 5 4 5" xfId="17021"/>
    <cellStyle name="输入 5 4 5 2" xfId="17022"/>
    <cellStyle name="输入 5 4 6" xfId="17023"/>
    <cellStyle name="输入 5 5" xfId="17024"/>
    <cellStyle name="输入 5 5 2" xfId="17025"/>
    <cellStyle name="输入 5 5 2 2" xfId="17026"/>
    <cellStyle name="输入 5 5 2 2 2" xfId="17027"/>
    <cellStyle name="输入 5 5 2 2 2 2" xfId="17028"/>
    <cellStyle name="输入 5 5 2 2 3" xfId="17029"/>
    <cellStyle name="输入 5 5 2 2 3 2" xfId="17030"/>
    <cellStyle name="输入 5 5 2 2 4" xfId="17031"/>
    <cellStyle name="输入 5 5 2 3" xfId="17032"/>
    <cellStyle name="输入 5 5 2 3 2" xfId="17033"/>
    <cellStyle name="输入 5 5 2 4" xfId="17034"/>
    <cellStyle name="输入 5 5 2 4 2" xfId="17035"/>
    <cellStyle name="输入 5 5 2 5" xfId="17036"/>
    <cellStyle name="输入 5 5 3" xfId="17037"/>
    <cellStyle name="输入 5 5 3 2" xfId="17038"/>
    <cellStyle name="输入 5 5 3 2 2" xfId="17039"/>
    <cellStyle name="输入 5 5 3 2 2 2" xfId="17040"/>
    <cellStyle name="输入 5 5 3 2 3" xfId="17041"/>
    <cellStyle name="输入 5 5 3 2 3 2" xfId="17042"/>
    <cellStyle name="输入 5 5 3 2 4" xfId="17043"/>
    <cellStyle name="输入 5 5 3 3" xfId="17044"/>
    <cellStyle name="输入 5 5 3 3 2" xfId="17045"/>
    <cellStyle name="输入 5 5 3 4" xfId="17046"/>
    <cellStyle name="输入 5 5 3 4 2" xfId="17047"/>
    <cellStyle name="输入 5 5 3 5" xfId="17048"/>
    <cellStyle name="输入 5 5 4" xfId="17049"/>
    <cellStyle name="输入 5 5 4 2" xfId="17050"/>
    <cellStyle name="输入 5 5 4 2 2" xfId="17051"/>
    <cellStyle name="输入 5 5 4 3" xfId="17052"/>
    <cellStyle name="输入 5 5 4 3 2" xfId="17053"/>
    <cellStyle name="输入 5 5 4 4" xfId="17054"/>
    <cellStyle name="输入 5 5 5" xfId="17055"/>
    <cellStyle name="输入 5 5 5 2" xfId="17056"/>
    <cellStyle name="输入 5 5 6" xfId="17057"/>
    <cellStyle name="输入 5 5 6 2" xfId="17058"/>
    <cellStyle name="输入 5 5 7" xfId="17059"/>
    <cellStyle name="输入 5 6" xfId="17060"/>
    <cellStyle name="输入 5 7" xfId="17061"/>
    <cellStyle name="输入 5 7 2" xfId="17062"/>
    <cellStyle name="输入 5 7 2 2" xfId="17063"/>
    <cellStyle name="输入 5 7 3" xfId="17064"/>
    <cellStyle name="输入 5 7 3 2" xfId="17065"/>
    <cellStyle name="输入 5 7 4" xfId="17066"/>
    <cellStyle name="输入 5 8" xfId="17067"/>
    <cellStyle name="输入 5 8 2" xfId="17068"/>
    <cellStyle name="输入 5 8 2 2" xfId="17069"/>
    <cellStyle name="输入 5 8 3" xfId="17070"/>
    <cellStyle name="输入 5 8 3 2" xfId="17071"/>
    <cellStyle name="输入 5 8 4" xfId="17072"/>
    <cellStyle name="输入 5 9" xfId="17073"/>
    <cellStyle name="输入 5 9 2" xfId="17074"/>
    <cellStyle name="输入 6" xfId="17075"/>
    <cellStyle name="输入 6 10" xfId="17076"/>
    <cellStyle name="输入 6 10 2" xfId="17077"/>
    <cellStyle name="输入 6 11" xfId="17078"/>
    <cellStyle name="输入 6 12" xfId="17079"/>
    <cellStyle name="输入 6 2" xfId="17080"/>
    <cellStyle name="输入 6 2 10" xfId="17081"/>
    <cellStyle name="输入 6 2 10 2" xfId="17082"/>
    <cellStyle name="输入 6 2 11" xfId="17083"/>
    <cellStyle name="输入 6 2 11 2" xfId="17084"/>
    <cellStyle name="输入 6 2 12" xfId="17085"/>
    <cellStyle name="输入 6 2 13" xfId="17086"/>
    <cellStyle name="输入 6 2 2" xfId="17087"/>
    <cellStyle name="输入 6 2 2 2" xfId="17088"/>
    <cellStyle name="输入 6 2 2 2 2" xfId="17089"/>
    <cellStyle name="输入 6 2 2 2 2 2" xfId="17090"/>
    <cellStyle name="输入 6 2 2 2 2 2 2" xfId="17091"/>
    <cellStyle name="输入 6 2 2 2 2 3" xfId="17092"/>
    <cellStyle name="输入 6 2 2 2 2 3 2" xfId="17093"/>
    <cellStyle name="输入 6 2 2 2 2 4" xfId="17094"/>
    <cellStyle name="输入 6 2 2 2 3" xfId="17095"/>
    <cellStyle name="输入 6 2 2 2 3 2" xfId="17096"/>
    <cellStyle name="输入 6 2 2 2 4" xfId="17097"/>
    <cellStyle name="输入 6 2 2 2 4 2" xfId="17098"/>
    <cellStyle name="输入 6 2 2 2 5" xfId="17099"/>
    <cellStyle name="输入 6 2 2 3" xfId="17100"/>
    <cellStyle name="输入 6 2 2 3 2" xfId="17101"/>
    <cellStyle name="输入 6 2 2 3 2 2" xfId="17102"/>
    <cellStyle name="输入 6 2 2 3 3" xfId="17103"/>
    <cellStyle name="输入 6 2 2 3 3 2" xfId="17104"/>
    <cellStyle name="输入 6 2 2 3 4" xfId="17105"/>
    <cellStyle name="输入 6 2 2 4" xfId="17106"/>
    <cellStyle name="输入 6 2 2 4 2" xfId="17107"/>
    <cellStyle name="输入 6 2 2 5" xfId="17108"/>
    <cellStyle name="输入 6 2 2 5 2" xfId="17109"/>
    <cellStyle name="输入 6 2 2 6" xfId="17110"/>
    <cellStyle name="输入 6 2 3" xfId="17111"/>
    <cellStyle name="输入 6 2 3 2" xfId="17112"/>
    <cellStyle name="输入 6 2 3 2 2" xfId="17113"/>
    <cellStyle name="输入 6 2 3 2 2 2" xfId="17114"/>
    <cellStyle name="输入 6 2 3 2 2 2 2" xfId="17115"/>
    <cellStyle name="输入 6 2 3 2 2 3" xfId="17116"/>
    <cellStyle name="输入 6 2 3 2 2 3 2" xfId="17117"/>
    <cellStyle name="输入 6 2 3 2 2 4" xfId="17118"/>
    <cellStyle name="输入 6 2 3 2 3" xfId="17119"/>
    <cellStyle name="输入 6 2 3 2 3 2" xfId="17120"/>
    <cellStyle name="输入 6 2 3 2 4" xfId="17121"/>
    <cellStyle name="输入 6 2 3 2 4 2" xfId="17122"/>
    <cellStyle name="输入 6 2 3 2 5" xfId="17123"/>
    <cellStyle name="输入 6 2 3 3" xfId="17124"/>
    <cellStyle name="输入 6 2 3 3 2" xfId="17125"/>
    <cellStyle name="输入 6 2 3 3 2 2" xfId="17126"/>
    <cellStyle name="输入 6 2 3 3 2 2 2" xfId="17127"/>
    <cellStyle name="输入 6 2 3 3 2 3" xfId="17128"/>
    <cellStyle name="输入 6 2 3 3 2 3 2" xfId="17129"/>
    <cellStyle name="输入 6 2 3 3 2 4" xfId="17130"/>
    <cellStyle name="输入 6 2 3 3 3" xfId="17131"/>
    <cellStyle name="输入 6 2 3 3 3 2" xfId="17132"/>
    <cellStyle name="输入 6 2 3 3 4" xfId="17133"/>
    <cellStyle name="输入 6 2 3 3 4 2" xfId="17134"/>
    <cellStyle name="输入 6 2 3 3 5" xfId="17135"/>
    <cellStyle name="输入 6 2 3 4" xfId="17136"/>
    <cellStyle name="输入 6 2 3 4 2" xfId="17137"/>
    <cellStyle name="输入 6 2 3 4 2 2" xfId="17138"/>
    <cellStyle name="输入 6 2 3 4 3" xfId="17139"/>
    <cellStyle name="输入 6 2 3 4 3 2" xfId="17140"/>
    <cellStyle name="输入 6 2 3 4 4" xfId="17141"/>
    <cellStyle name="输入 6 2 3 5" xfId="17142"/>
    <cellStyle name="输入 6 2 3 5 2" xfId="17143"/>
    <cellStyle name="输入 6 2 3 6" xfId="17144"/>
    <cellStyle name="输入 6 2 3 6 2" xfId="17145"/>
    <cellStyle name="输入 6 2 3 7" xfId="17146"/>
    <cellStyle name="输入 6 2 4" xfId="17147"/>
    <cellStyle name="输入 6 2 4 2" xfId="17148"/>
    <cellStyle name="输入 6 2 4 2 2" xfId="17149"/>
    <cellStyle name="输入 6 2 4 2 2 2" xfId="17150"/>
    <cellStyle name="输入 6 2 4 2 2 2 2" xfId="17151"/>
    <cellStyle name="输入 6 2 4 2 2 3" xfId="17152"/>
    <cellStyle name="输入 6 2 4 2 2 3 2" xfId="17153"/>
    <cellStyle name="输入 6 2 4 2 2 4" xfId="17154"/>
    <cellStyle name="输入 6 2 4 2 3" xfId="17155"/>
    <cellStyle name="输入 6 2 4 2 3 2" xfId="17156"/>
    <cellStyle name="输入 6 2 4 2 4" xfId="17157"/>
    <cellStyle name="输入 6 2 4 2 4 2" xfId="17158"/>
    <cellStyle name="输入 6 2 4 2 5" xfId="17159"/>
    <cellStyle name="输入 6 2 4 3" xfId="17160"/>
    <cellStyle name="输入 6 2 4 3 2" xfId="17161"/>
    <cellStyle name="输入 6 2 4 3 2 2" xfId="17162"/>
    <cellStyle name="输入 6 2 4 3 2 2 2" xfId="17163"/>
    <cellStyle name="输入 6 2 4 3 2 3" xfId="17164"/>
    <cellStyle name="输入 6 2 4 3 2 3 2" xfId="17165"/>
    <cellStyle name="输入 6 2 4 3 2 4" xfId="17166"/>
    <cellStyle name="输入 6 2 4 3 3" xfId="17167"/>
    <cellStyle name="输入 6 2 4 3 3 2" xfId="17168"/>
    <cellStyle name="输入 6 2 4 3 4" xfId="17169"/>
    <cellStyle name="输入 6 2 4 3 4 2" xfId="17170"/>
    <cellStyle name="输入 6 2 4 3 5" xfId="17171"/>
    <cellStyle name="输入 6 2 4 4" xfId="17172"/>
    <cellStyle name="输入 6 2 4 4 2" xfId="17173"/>
    <cellStyle name="输入 6 2 4 4 2 2" xfId="17174"/>
    <cellStyle name="输入 6 2 4 4 3" xfId="17175"/>
    <cellStyle name="输入 6 2 4 4 3 2" xfId="17176"/>
    <cellStyle name="输入 6 2 4 4 4" xfId="17177"/>
    <cellStyle name="输入 6 2 4 5" xfId="17178"/>
    <cellStyle name="输入 6 2 4 5 2" xfId="17179"/>
    <cellStyle name="输入 6 2 4 6" xfId="17180"/>
    <cellStyle name="输入 6 2 4 6 2" xfId="17181"/>
    <cellStyle name="输入 6 2 4 7" xfId="17182"/>
    <cellStyle name="输入 6 2 5" xfId="17183"/>
    <cellStyle name="输入 6 2 5 2" xfId="17184"/>
    <cellStyle name="输入 6 2 5 2 2" xfId="17185"/>
    <cellStyle name="输入 6 2 5 2 2 2" xfId="17186"/>
    <cellStyle name="输入 6 2 5 2 3" xfId="17187"/>
    <cellStyle name="输入 6 2 5 2 3 2" xfId="17188"/>
    <cellStyle name="输入 6 2 5 2 4" xfId="17189"/>
    <cellStyle name="输入 6 2 5 3" xfId="17190"/>
    <cellStyle name="输入 6 2 5 3 2" xfId="17191"/>
    <cellStyle name="输入 6 2 5 4" xfId="17192"/>
    <cellStyle name="输入 6 2 5 4 2" xfId="17193"/>
    <cellStyle name="输入 6 2 5 5" xfId="17194"/>
    <cellStyle name="输入 6 2 6" xfId="17195"/>
    <cellStyle name="输入 6 2 7" xfId="17196"/>
    <cellStyle name="输入 6 2 7 2" xfId="17197"/>
    <cellStyle name="输入 6 2 7 2 2" xfId="17198"/>
    <cellStyle name="输入 6 2 7 3" xfId="17199"/>
    <cellStyle name="输入 6 2 7 3 2" xfId="17200"/>
    <cellStyle name="输入 6 2 7 4" xfId="17201"/>
    <cellStyle name="输入 6 2 8" xfId="17202"/>
    <cellStyle name="输入 6 2 8 2" xfId="17203"/>
    <cellStyle name="输入 6 2 8 2 2" xfId="17204"/>
    <cellStyle name="输入 6 2 8 3" xfId="17205"/>
    <cellStyle name="输入 6 2 8 3 2" xfId="17206"/>
    <cellStyle name="输入 6 2 8 4" xfId="17207"/>
    <cellStyle name="输入 6 2 9" xfId="17208"/>
    <cellStyle name="输入 6 2 9 2" xfId="17209"/>
    <cellStyle name="输入 6 3" xfId="17210"/>
    <cellStyle name="输入 6 3 2" xfId="17211"/>
    <cellStyle name="输入 6 3 2 2" xfId="17212"/>
    <cellStyle name="输入 6 3 2 2 2" xfId="17213"/>
    <cellStyle name="输入 6 3 2 2 2 2" xfId="17214"/>
    <cellStyle name="输入 6 3 2 2 2 2 2" xfId="17215"/>
    <cellStyle name="输入 6 3 2 2 2 3" xfId="17216"/>
    <cellStyle name="输入 6 3 2 2 2 3 2" xfId="17217"/>
    <cellStyle name="输入 6 3 2 2 2 4" xfId="17218"/>
    <cellStyle name="输入 6 3 2 2 3" xfId="17219"/>
    <cellStyle name="输入 6 3 2 2 3 2" xfId="17220"/>
    <cellStyle name="输入 6 3 2 2 4" xfId="17221"/>
    <cellStyle name="输入 6 3 2 2 4 2" xfId="17222"/>
    <cellStyle name="输入 6 3 2 2 5" xfId="17223"/>
    <cellStyle name="输入 6 3 2 3" xfId="17224"/>
    <cellStyle name="输入 6 3 2 3 2" xfId="17225"/>
    <cellStyle name="输入 6 3 2 3 2 2" xfId="17226"/>
    <cellStyle name="输入 6 3 2 3 3" xfId="17227"/>
    <cellStyle name="输入 6 3 2 3 3 2" xfId="17228"/>
    <cellStyle name="输入 6 3 2 3 4" xfId="17229"/>
    <cellStyle name="输入 6 3 2 4" xfId="17230"/>
    <cellStyle name="输入 6 3 2 4 2" xfId="17231"/>
    <cellStyle name="输入 6 3 2 5" xfId="17232"/>
    <cellStyle name="输入 6 3 2 5 2" xfId="17233"/>
    <cellStyle name="输入 6 3 2 6" xfId="17234"/>
    <cellStyle name="输入 6 3 3" xfId="17235"/>
    <cellStyle name="输入 6 3 3 2" xfId="17236"/>
    <cellStyle name="输入 6 3 3 2 2" xfId="17237"/>
    <cellStyle name="输入 6 3 3 2 2 2" xfId="17238"/>
    <cellStyle name="输入 6 3 3 2 3" xfId="17239"/>
    <cellStyle name="输入 6 3 3 2 3 2" xfId="17240"/>
    <cellStyle name="输入 6 3 3 2 4" xfId="17241"/>
    <cellStyle name="输入 6 3 3 3" xfId="17242"/>
    <cellStyle name="输入 6 3 3 3 2" xfId="17243"/>
    <cellStyle name="输入 6 3 3 4" xfId="17244"/>
    <cellStyle name="输入 6 3 3 4 2" xfId="17245"/>
    <cellStyle name="输入 6 3 3 5" xfId="17246"/>
    <cellStyle name="输入 6 3 4" xfId="17247"/>
    <cellStyle name="输入 6 3 4 2" xfId="17248"/>
    <cellStyle name="输入 6 3 4 2 2" xfId="17249"/>
    <cellStyle name="输入 6 3 4 3" xfId="17250"/>
    <cellStyle name="输入 6 3 4 3 2" xfId="17251"/>
    <cellStyle name="输入 6 3 4 4" xfId="17252"/>
    <cellStyle name="输入 6 3 5" xfId="17253"/>
    <cellStyle name="输入 6 3 5 2" xfId="17254"/>
    <cellStyle name="输入 6 3 6" xfId="17255"/>
    <cellStyle name="输入 6 3 6 2" xfId="17256"/>
    <cellStyle name="输入 6 3 7" xfId="17257"/>
    <cellStyle name="输入 6 4" xfId="17258"/>
    <cellStyle name="输入 6 4 2" xfId="17259"/>
    <cellStyle name="输入 6 4 2 2" xfId="17260"/>
    <cellStyle name="输入 6 4 2 2 2" xfId="17261"/>
    <cellStyle name="输入 6 4 2 2 2 2" xfId="17262"/>
    <cellStyle name="输入 6 4 2 2 3" xfId="17263"/>
    <cellStyle name="输入 6 4 2 2 3 2" xfId="17264"/>
    <cellStyle name="输入 6 4 2 2 4" xfId="17265"/>
    <cellStyle name="输入 6 4 2 3" xfId="17266"/>
    <cellStyle name="输入 6 4 2 3 2" xfId="17267"/>
    <cellStyle name="输入 6 4 2 4" xfId="17268"/>
    <cellStyle name="输入 6 4 2 4 2" xfId="17269"/>
    <cellStyle name="输入 6 4 2 5" xfId="17270"/>
    <cellStyle name="输入 6 4 3" xfId="17271"/>
    <cellStyle name="输入 6 4 3 2" xfId="17272"/>
    <cellStyle name="输入 6 4 3 2 2" xfId="17273"/>
    <cellStyle name="输入 6 4 3 3" xfId="17274"/>
    <cellStyle name="输入 6 4 3 3 2" xfId="17275"/>
    <cellStyle name="输入 6 4 3 4" xfId="17276"/>
    <cellStyle name="输入 6 4 4" xfId="17277"/>
    <cellStyle name="输入 6 4 4 2" xfId="17278"/>
    <cellStyle name="输入 6 4 5" xfId="17279"/>
    <cellStyle name="输入 6 4 5 2" xfId="17280"/>
    <cellStyle name="输入 6 4 6" xfId="17281"/>
    <cellStyle name="输入 6 5" xfId="17282"/>
    <cellStyle name="输入 6 5 2" xfId="17283"/>
    <cellStyle name="输入 6 5 2 2" xfId="17284"/>
    <cellStyle name="输入 6 5 2 2 2" xfId="17285"/>
    <cellStyle name="输入 6 5 2 2 2 2" xfId="17286"/>
    <cellStyle name="输入 6 5 2 2 3" xfId="17287"/>
    <cellStyle name="输入 6 5 2 2 3 2" xfId="17288"/>
    <cellStyle name="输入 6 5 2 2 4" xfId="17289"/>
    <cellStyle name="输入 6 5 2 3" xfId="17290"/>
    <cellStyle name="输入 6 5 2 3 2" xfId="17291"/>
    <cellStyle name="输入 6 5 2 4" xfId="17292"/>
    <cellStyle name="输入 6 5 2 4 2" xfId="17293"/>
    <cellStyle name="输入 6 5 2 5" xfId="17294"/>
    <cellStyle name="输入 6 5 3" xfId="17295"/>
    <cellStyle name="输入 6 5 3 2" xfId="17296"/>
    <cellStyle name="输入 6 5 3 2 2" xfId="17297"/>
    <cellStyle name="输入 6 5 3 2 2 2" xfId="17298"/>
    <cellStyle name="输入 6 5 3 2 3" xfId="17299"/>
    <cellStyle name="输入 6 5 3 2 3 2" xfId="17300"/>
    <cellStyle name="输入 6 5 3 2 4" xfId="17301"/>
    <cellStyle name="输入 6 5 3 3" xfId="17302"/>
    <cellStyle name="输入 6 5 3 3 2" xfId="17303"/>
    <cellStyle name="输入 6 5 3 4" xfId="17304"/>
    <cellStyle name="输入 6 5 3 4 2" xfId="17305"/>
    <cellStyle name="输入 6 5 3 5" xfId="17306"/>
    <cellStyle name="输入 6 5 4" xfId="17307"/>
    <cellStyle name="输入 6 5 4 2" xfId="17308"/>
    <cellStyle name="输入 6 5 4 2 2" xfId="17309"/>
    <cellStyle name="输入 6 5 4 3" xfId="17310"/>
    <cellStyle name="输入 6 5 4 3 2" xfId="17311"/>
    <cellStyle name="输入 6 5 4 4" xfId="17312"/>
    <cellStyle name="输入 6 5 5" xfId="17313"/>
    <cellStyle name="输入 6 5 5 2" xfId="17314"/>
    <cellStyle name="输入 6 5 6" xfId="17315"/>
    <cellStyle name="输入 6 5 6 2" xfId="17316"/>
    <cellStyle name="输入 6 5 7" xfId="17317"/>
    <cellStyle name="输入 6 6" xfId="17318"/>
    <cellStyle name="输入 6 7" xfId="17319"/>
    <cellStyle name="输入 6 7 2" xfId="17320"/>
    <cellStyle name="输入 6 7 2 2" xfId="17321"/>
    <cellStyle name="输入 6 7 3" xfId="17322"/>
    <cellStyle name="输入 6 7 3 2" xfId="17323"/>
    <cellStyle name="输入 6 7 4" xfId="17324"/>
    <cellStyle name="输入 6 8" xfId="17325"/>
    <cellStyle name="输入 6 8 2" xfId="17326"/>
    <cellStyle name="输入 6 8 2 2" xfId="17327"/>
    <cellStyle name="输入 6 8 3" xfId="17328"/>
    <cellStyle name="输入 6 8 3 2" xfId="17329"/>
    <cellStyle name="输入 6 8 4" xfId="17330"/>
    <cellStyle name="输入 6 9" xfId="17331"/>
    <cellStyle name="输入 6 9 2" xfId="17332"/>
    <cellStyle name="输入 7" xfId="17333"/>
    <cellStyle name="输入 7 10" xfId="17334"/>
    <cellStyle name="输入 7 10 2" xfId="17335"/>
    <cellStyle name="输入 7 11" xfId="17336"/>
    <cellStyle name="输入 7 12" xfId="17337"/>
    <cellStyle name="输入 7 2" xfId="17338"/>
    <cellStyle name="输入 7 2 10" xfId="17339"/>
    <cellStyle name="输入 7 2 10 2" xfId="17340"/>
    <cellStyle name="输入 7 2 11" xfId="17341"/>
    <cellStyle name="输入 7 2 11 2" xfId="17342"/>
    <cellStyle name="输入 7 2 12" xfId="17343"/>
    <cellStyle name="输入 7 2 13" xfId="17344"/>
    <cellStyle name="输入 7 2 2" xfId="17345"/>
    <cellStyle name="输入 7 2 2 2" xfId="17346"/>
    <cellStyle name="输入 7 2 2 2 2" xfId="17347"/>
    <cellStyle name="输入 7 2 2 2 2 2" xfId="17348"/>
    <cellStyle name="输入 7 2 2 2 2 2 2" xfId="17349"/>
    <cellStyle name="输入 7 2 2 2 2 3" xfId="17350"/>
    <cellStyle name="输入 7 2 2 2 2 3 2" xfId="17351"/>
    <cellStyle name="输入 7 2 2 2 2 4" xfId="17352"/>
    <cellStyle name="输入 7 2 2 2 3" xfId="17353"/>
    <cellStyle name="输入 7 2 2 2 3 2" xfId="17354"/>
    <cellStyle name="输入 7 2 2 2 4" xfId="17355"/>
    <cellStyle name="输入 7 2 2 2 4 2" xfId="17356"/>
    <cellStyle name="输入 7 2 2 2 5" xfId="17357"/>
    <cellStyle name="输入 7 2 2 3" xfId="17358"/>
    <cellStyle name="输入 7 2 2 3 2" xfId="17359"/>
    <cellStyle name="输入 7 2 2 3 2 2" xfId="17360"/>
    <cellStyle name="输入 7 2 2 3 3" xfId="17361"/>
    <cellStyle name="输入 7 2 2 3 3 2" xfId="17362"/>
    <cellStyle name="输入 7 2 2 3 4" xfId="17363"/>
    <cellStyle name="输入 7 2 2 4" xfId="17364"/>
    <cellStyle name="输入 7 2 2 4 2" xfId="17365"/>
    <cellStyle name="输入 7 2 2 5" xfId="17366"/>
    <cellStyle name="输入 7 2 2 5 2" xfId="17367"/>
    <cellStyle name="输入 7 2 2 6" xfId="17368"/>
    <cellStyle name="输入 7 2 3" xfId="17369"/>
    <cellStyle name="输入 7 2 3 2" xfId="17370"/>
    <cellStyle name="输入 7 2 3 2 2" xfId="17371"/>
    <cellStyle name="输入 7 2 3 2 2 2" xfId="17372"/>
    <cellStyle name="输入 7 2 3 2 2 2 2" xfId="17373"/>
    <cellStyle name="输入 7 2 3 2 2 3" xfId="17374"/>
    <cellStyle name="输入 7 2 3 2 2 3 2" xfId="17375"/>
    <cellStyle name="输入 7 2 3 2 2 4" xfId="17376"/>
    <cellStyle name="输入 7 2 3 2 3" xfId="17377"/>
    <cellStyle name="输入 7 2 3 2 3 2" xfId="17378"/>
    <cellStyle name="输入 7 2 3 2 4" xfId="17379"/>
    <cellStyle name="输入 7 2 3 2 4 2" xfId="17380"/>
    <cellStyle name="输入 7 2 3 2 5" xfId="17381"/>
    <cellStyle name="输入 7 2 3 3" xfId="17382"/>
    <cellStyle name="输入 7 2 3 3 2" xfId="17383"/>
    <cellStyle name="输入 7 2 3 3 2 2" xfId="17384"/>
    <cellStyle name="输入 7 2 3 3 2 2 2" xfId="17385"/>
    <cellStyle name="输入 7 2 3 3 2 3" xfId="17386"/>
    <cellStyle name="输入 7 2 3 3 2 3 2" xfId="17387"/>
    <cellStyle name="输入 7 2 3 3 2 4" xfId="17388"/>
    <cellStyle name="输入 7 2 3 3 3" xfId="17389"/>
    <cellStyle name="输入 7 2 3 3 3 2" xfId="17390"/>
    <cellStyle name="输入 7 2 3 3 4" xfId="17391"/>
    <cellStyle name="输入 7 2 3 3 4 2" xfId="17392"/>
    <cellStyle name="输入 7 2 3 3 5" xfId="17393"/>
    <cellStyle name="输入 7 2 3 4" xfId="17394"/>
    <cellStyle name="输入 7 2 3 4 2" xfId="17395"/>
    <cellStyle name="输入 7 2 3 4 2 2" xfId="17396"/>
    <cellStyle name="输入 7 2 3 4 3" xfId="17397"/>
    <cellStyle name="输入 7 2 3 4 3 2" xfId="17398"/>
    <cellStyle name="输入 7 2 3 4 4" xfId="17399"/>
    <cellStyle name="输入 7 2 3 5" xfId="17400"/>
    <cellStyle name="输入 7 2 3 5 2" xfId="17401"/>
    <cellStyle name="输入 7 2 3 6" xfId="17402"/>
    <cellStyle name="输入 7 2 3 6 2" xfId="17403"/>
    <cellStyle name="输入 7 2 3 7" xfId="17404"/>
    <cellStyle name="输入 7 2 4" xfId="17405"/>
    <cellStyle name="输入 7 2 4 2" xfId="17406"/>
    <cellStyle name="输入 7 2 4 2 2" xfId="17407"/>
    <cellStyle name="输入 7 2 4 2 2 2" xfId="17408"/>
    <cellStyle name="输入 7 2 4 2 2 2 2" xfId="17409"/>
    <cellStyle name="输入 7 2 4 2 2 3" xfId="17410"/>
    <cellStyle name="输入 7 2 4 2 2 3 2" xfId="17411"/>
    <cellStyle name="输入 7 2 4 2 2 4" xfId="17412"/>
    <cellStyle name="输入 7 2 4 2 3" xfId="17413"/>
    <cellStyle name="输入 7 2 4 2 3 2" xfId="17414"/>
    <cellStyle name="输入 7 2 4 2 4" xfId="17415"/>
    <cellStyle name="输入 7 2 4 2 4 2" xfId="17416"/>
    <cellStyle name="输入 7 2 4 2 5" xfId="17417"/>
    <cellStyle name="输入 7 2 4 3" xfId="17418"/>
    <cellStyle name="输入 7 2 4 3 2" xfId="17419"/>
    <cellStyle name="输入 7 2 4 3 2 2" xfId="17420"/>
    <cellStyle name="输入 7 2 4 3 2 2 2" xfId="17421"/>
    <cellStyle name="输入 7 2 4 3 2 3" xfId="17422"/>
    <cellStyle name="输入 7 2 4 3 2 3 2" xfId="17423"/>
    <cellStyle name="输入 7 2 4 3 2 4" xfId="17424"/>
    <cellStyle name="输入 7 2 4 3 3" xfId="17425"/>
    <cellStyle name="输入 7 2 4 3 3 2" xfId="17426"/>
    <cellStyle name="输入 7 2 4 3 4" xfId="17427"/>
    <cellStyle name="输入 7 2 4 3 4 2" xfId="17428"/>
    <cellStyle name="输入 7 2 4 3 5" xfId="17429"/>
    <cellStyle name="输入 7 2 4 4" xfId="17430"/>
    <cellStyle name="输入 7 2 4 4 2" xfId="17431"/>
    <cellStyle name="输入 7 2 4 4 2 2" xfId="17432"/>
    <cellStyle name="输入 7 2 4 4 3" xfId="17433"/>
    <cellStyle name="输入 7 2 4 4 3 2" xfId="17434"/>
    <cellStyle name="输入 7 2 4 4 4" xfId="17435"/>
    <cellStyle name="输入 7 2 4 5" xfId="17436"/>
    <cellStyle name="输入 7 2 4 5 2" xfId="17437"/>
    <cellStyle name="输入 7 2 4 6" xfId="17438"/>
    <cellStyle name="输入 7 2 4 6 2" xfId="17439"/>
    <cellStyle name="输入 7 2 4 7" xfId="17440"/>
    <cellStyle name="输入 7 2 5" xfId="17441"/>
    <cellStyle name="输入 7 2 5 2" xfId="17442"/>
    <cellStyle name="输入 7 2 5 2 2" xfId="17443"/>
    <cellStyle name="输入 7 2 5 2 2 2" xfId="17444"/>
    <cellStyle name="输入 7 2 5 2 3" xfId="17445"/>
    <cellStyle name="输入 7 2 5 2 3 2" xfId="17446"/>
    <cellStyle name="输入 7 2 5 2 4" xfId="17447"/>
    <cellStyle name="输入 7 2 5 3" xfId="17448"/>
    <cellStyle name="输入 7 2 5 3 2" xfId="17449"/>
    <cellStyle name="输入 7 2 5 4" xfId="17450"/>
    <cellStyle name="输入 7 2 5 4 2" xfId="17451"/>
    <cellStyle name="输入 7 2 5 5" xfId="17452"/>
    <cellStyle name="输入 7 2 6" xfId="17453"/>
    <cellStyle name="输入 7 2 7" xfId="17454"/>
    <cellStyle name="输入 7 2 7 2" xfId="17455"/>
    <cellStyle name="输入 7 2 7 2 2" xfId="17456"/>
    <cellStyle name="输入 7 2 7 3" xfId="17457"/>
    <cellStyle name="输入 7 2 7 3 2" xfId="17458"/>
    <cellStyle name="输入 7 2 7 4" xfId="17459"/>
    <cellStyle name="输入 7 2 8" xfId="17460"/>
    <cellStyle name="输入 7 2 8 2" xfId="17461"/>
    <cellStyle name="输入 7 2 8 2 2" xfId="17462"/>
    <cellStyle name="输入 7 2 8 3" xfId="17463"/>
    <cellStyle name="输入 7 2 8 3 2" xfId="17464"/>
    <cellStyle name="输入 7 2 8 4" xfId="17465"/>
    <cellStyle name="输入 7 2 9" xfId="17466"/>
    <cellStyle name="输入 7 2 9 2" xfId="17467"/>
    <cellStyle name="输入 7 3" xfId="17468"/>
    <cellStyle name="输入 7 3 2" xfId="17469"/>
    <cellStyle name="输入 7 3 2 2" xfId="17470"/>
    <cellStyle name="输入 7 3 2 2 2" xfId="17471"/>
    <cellStyle name="输入 7 3 2 2 2 2" xfId="17472"/>
    <cellStyle name="输入 7 3 2 2 2 2 2" xfId="17473"/>
    <cellStyle name="输入 7 3 2 2 2 3" xfId="17474"/>
    <cellStyle name="输入 7 3 2 2 2 3 2" xfId="17475"/>
    <cellStyle name="输入 7 3 2 2 2 4" xfId="17476"/>
    <cellStyle name="输入 7 3 2 2 3" xfId="17477"/>
    <cellStyle name="输入 7 3 2 2 3 2" xfId="17478"/>
    <cellStyle name="输入 7 3 2 2 4" xfId="17479"/>
    <cellStyle name="输入 7 3 2 2 4 2" xfId="17480"/>
    <cellStyle name="输入 7 3 2 2 5" xfId="17481"/>
    <cellStyle name="输入 7 3 2 3" xfId="17482"/>
    <cellStyle name="输入 7 3 2 3 2" xfId="17483"/>
    <cellStyle name="输入 7 3 2 3 2 2" xfId="17484"/>
    <cellStyle name="输入 7 3 2 3 3" xfId="17485"/>
    <cellStyle name="输入 7 3 2 3 3 2" xfId="17486"/>
    <cellStyle name="输入 7 3 2 3 4" xfId="17487"/>
    <cellStyle name="输入 7 3 2 4" xfId="17488"/>
    <cellStyle name="输入 7 3 2 4 2" xfId="17489"/>
    <cellStyle name="输入 7 3 2 5" xfId="17490"/>
    <cellStyle name="输入 7 3 2 5 2" xfId="17491"/>
    <cellStyle name="输入 7 3 2 6" xfId="17492"/>
    <cellStyle name="输入 7 3 3" xfId="17493"/>
    <cellStyle name="输入 7 3 3 2" xfId="17494"/>
    <cellStyle name="输入 7 3 3 2 2" xfId="17495"/>
    <cellStyle name="输入 7 3 3 2 2 2" xfId="17496"/>
    <cellStyle name="输入 7 3 3 2 3" xfId="17497"/>
    <cellStyle name="输入 7 3 3 2 3 2" xfId="17498"/>
    <cellStyle name="输入 7 3 3 2 4" xfId="17499"/>
    <cellStyle name="输入 7 3 3 3" xfId="17500"/>
    <cellStyle name="输入 7 3 3 3 2" xfId="17501"/>
    <cellStyle name="输入 7 3 3 4" xfId="17502"/>
    <cellStyle name="输入 7 3 3 4 2" xfId="17503"/>
    <cellStyle name="输入 7 3 3 5" xfId="17504"/>
    <cellStyle name="输入 7 3 4" xfId="17505"/>
    <cellStyle name="输入 7 3 4 2" xfId="17506"/>
    <cellStyle name="输入 7 3 4 2 2" xfId="17507"/>
    <cellStyle name="输入 7 3 4 3" xfId="17508"/>
    <cellStyle name="输入 7 3 4 3 2" xfId="17509"/>
    <cellStyle name="输入 7 3 4 4" xfId="17510"/>
    <cellStyle name="输入 7 3 5" xfId="17511"/>
    <cellStyle name="输入 7 3 5 2" xfId="17512"/>
    <cellStyle name="输入 7 3 6" xfId="17513"/>
    <cellStyle name="输入 7 3 6 2" xfId="17514"/>
    <cellStyle name="输入 7 3 7" xfId="17515"/>
    <cellStyle name="输入 7 4" xfId="17516"/>
    <cellStyle name="输入 7 4 2" xfId="17517"/>
    <cellStyle name="输入 7 4 2 2" xfId="17518"/>
    <cellStyle name="输入 7 4 2 2 2" xfId="17519"/>
    <cellStyle name="输入 7 4 2 2 2 2" xfId="17520"/>
    <cellStyle name="输入 7 4 2 2 3" xfId="17521"/>
    <cellStyle name="输入 7 4 2 2 3 2" xfId="17522"/>
    <cellStyle name="输入 7 4 2 2 4" xfId="17523"/>
    <cellStyle name="输入 7 4 2 3" xfId="17524"/>
    <cellStyle name="输入 7 4 2 3 2" xfId="17525"/>
    <cellStyle name="输入 7 4 2 4" xfId="17526"/>
    <cellStyle name="输入 7 4 2 4 2" xfId="17527"/>
    <cellStyle name="输入 7 4 2 5" xfId="17528"/>
    <cellStyle name="输入 7 4 3" xfId="17529"/>
    <cellStyle name="输入 7 4 3 2" xfId="17530"/>
    <cellStyle name="输入 7 4 3 2 2" xfId="17531"/>
    <cellStyle name="输入 7 4 3 3" xfId="17532"/>
    <cellStyle name="输入 7 4 3 3 2" xfId="17533"/>
    <cellStyle name="输入 7 4 3 4" xfId="17534"/>
    <cellStyle name="输入 7 4 4" xfId="17535"/>
    <cellStyle name="输入 7 4 4 2" xfId="17536"/>
    <cellStyle name="输入 7 4 5" xfId="17537"/>
    <cellStyle name="输入 7 4 5 2" xfId="17538"/>
    <cellStyle name="输入 7 4 6" xfId="17539"/>
    <cellStyle name="输入 7 5" xfId="17540"/>
    <cellStyle name="输入 7 5 2" xfId="17541"/>
    <cellStyle name="输入 7 5 2 2" xfId="17542"/>
    <cellStyle name="输入 7 5 2 2 2" xfId="17543"/>
    <cellStyle name="输入 7 5 2 2 2 2" xfId="17544"/>
    <cellStyle name="输入 7 5 2 2 3" xfId="17545"/>
    <cellStyle name="输入 7 5 2 2 3 2" xfId="17546"/>
    <cellStyle name="输入 7 5 2 2 4" xfId="17547"/>
    <cellStyle name="输入 7 5 2 3" xfId="17548"/>
    <cellStyle name="输入 7 5 2 3 2" xfId="17549"/>
    <cellStyle name="输入 7 5 2 4" xfId="17550"/>
    <cellStyle name="输入 7 5 2 4 2" xfId="17551"/>
    <cellStyle name="输入 7 5 2 5" xfId="17552"/>
    <cellStyle name="输入 7 5 3" xfId="17553"/>
    <cellStyle name="输入 7 5 3 2" xfId="17554"/>
    <cellStyle name="输入 7 5 3 2 2" xfId="17555"/>
    <cellStyle name="输入 7 5 3 2 2 2" xfId="17556"/>
    <cellStyle name="输入 7 5 3 2 3" xfId="17557"/>
    <cellStyle name="输入 7 5 3 2 3 2" xfId="17558"/>
    <cellStyle name="输入 7 5 3 2 4" xfId="17559"/>
    <cellStyle name="输入 7 5 3 3" xfId="17560"/>
    <cellStyle name="输入 7 5 3 3 2" xfId="17561"/>
    <cellStyle name="输入 7 5 3 4" xfId="17562"/>
    <cellStyle name="输入 7 5 3 4 2" xfId="17563"/>
    <cellStyle name="输入 7 5 3 5" xfId="17564"/>
    <cellStyle name="输入 7 5 4" xfId="17565"/>
    <cellStyle name="输入 7 5 4 2" xfId="17566"/>
    <cellStyle name="输入 7 5 4 2 2" xfId="17567"/>
    <cellStyle name="输入 7 5 4 3" xfId="17568"/>
    <cellStyle name="输入 7 5 4 3 2" xfId="17569"/>
    <cellStyle name="输入 7 5 4 4" xfId="17570"/>
    <cellStyle name="输入 7 5 5" xfId="17571"/>
    <cellStyle name="输入 7 5 5 2" xfId="17572"/>
    <cellStyle name="输入 7 5 6" xfId="17573"/>
    <cellStyle name="输入 7 5 6 2" xfId="17574"/>
    <cellStyle name="输入 7 5 7" xfId="17575"/>
    <cellStyle name="输入 7 6" xfId="17576"/>
    <cellStyle name="输入 7 7" xfId="17577"/>
    <cellStyle name="输入 7 7 2" xfId="17578"/>
    <cellStyle name="输入 7 7 2 2" xfId="17579"/>
    <cellStyle name="输入 7 7 3" xfId="17580"/>
    <cellStyle name="输入 7 7 3 2" xfId="17581"/>
    <cellStyle name="输入 7 7 4" xfId="17582"/>
    <cellStyle name="输入 7 8" xfId="17583"/>
    <cellStyle name="输入 7 8 2" xfId="17584"/>
    <cellStyle name="输入 7 8 2 2" xfId="17585"/>
    <cellStyle name="输入 7 8 3" xfId="17586"/>
    <cellStyle name="输入 7 8 3 2" xfId="17587"/>
    <cellStyle name="输入 7 8 4" xfId="17588"/>
    <cellStyle name="输入 7 9" xfId="17589"/>
    <cellStyle name="输入 7 9 2" xfId="17590"/>
    <cellStyle name="注释 10" xfId="17591"/>
    <cellStyle name="注释 10 10" xfId="17592"/>
    <cellStyle name="注释 10 11" xfId="17593"/>
    <cellStyle name="注释 10 2" xfId="17594"/>
    <cellStyle name="注释 10 2 10" xfId="17595"/>
    <cellStyle name="注释 10 2 10 2" xfId="17596"/>
    <cellStyle name="注释 10 2 11" xfId="17597"/>
    <cellStyle name="注释 10 2 11 2" xfId="17598"/>
    <cellStyle name="注释 10 2 12" xfId="17599"/>
    <cellStyle name="注释 10 2 13" xfId="17600"/>
    <cellStyle name="注释 10 2 2" xfId="17601"/>
    <cellStyle name="注释 10 2 2 2" xfId="17602"/>
    <cellStyle name="注释 10 2 2 2 2" xfId="17603"/>
    <cellStyle name="注释 10 2 2 2 2 2" xfId="17604"/>
    <cellStyle name="注释 10 2 2 2 2 2 2" xfId="17605"/>
    <cellStyle name="注释 10 2 2 2 2 3" xfId="17606"/>
    <cellStyle name="注释 10 2 2 2 2 3 2" xfId="17607"/>
    <cellStyle name="注释 10 2 2 2 2 4" xfId="17608"/>
    <cellStyle name="注释 10 2 2 2 3" xfId="17609"/>
    <cellStyle name="注释 10 2 2 2 3 2" xfId="17610"/>
    <cellStyle name="注释 10 2 2 2 4" xfId="17611"/>
    <cellStyle name="注释 10 2 2 2 4 2" xfId="17612"/>
    <cellStyle name="注释 10 2 2 2 5" xfId="17613"/>
    <cellStyle name="注释 10 2 2 3" xfId="17614"/>
    <cellStyle name="注释 10 2 2 3 2" xfId="17615"/>
    <cellStyle name="注释 10 2 2 3 2 2" xfId="17616"/>
    <cellStyle name="注释 10 2 2 3 3" xfId="17617"/>
    <cellStyle name="注释 10 2 2 3 3 2" xfId="17618"/>
    <cellStyle name="注释 10 2 2 3 4" xfId="17619"/>
    <cellStyle name="注释 10 2 2 4" xfId="17620"/>
    <cellStyle name="注释 10 2 2 4 2" xfId="17621"/>
    <cellStyle name="注释 10 2 2 5" xfId="17622"/>
    <cellStyle name="注释 10 2 2 5 2" xfId="17623"/>
    <cellStyle name="注释 10 2 2 6" xfId="17624"/>
    <cellStyle name="注释 10 2 3" xfId="17625"/>
    <cellStyle name="注释 10 2 3 2" xfId="17626"/>
    <cellStyle name="注释 10 2 3 2 2" xfId="17627"/>
    <cellStyle name="注释 10 2 3 2 2 2" xfId="17628"/>
    <cellStyle name="注释 10 2 3 2 2 2 2" xfId="17629"/>
    <cellStyle name="注释 10 2 3 2 2 3" xfId="17630"/>
    <cellStyle name="注释 10 2 3 2 2 3 2" xfId="17631"/>
    <cellStyle name="注释 10 2 3 2 2 4" xfId="17632"/>
    <cellStyle name="注释 10 2 3 2 3" xfId="17633"/>
    <cellStyle name="注释 10 2 3 2 3 2" xfId="17634"/>
    <cellStyle name="注释 10 2 3 2 4" xfId="17635"/>
    <cellStyle name="注释 10 2 3 2 4 2" xfId="17636"/>
    <cellStyle name="注释 10 2 3 2 5" xfId="17637"/>
    <cellStyle name="注释 10 2 3 3" xfId="17638"/>
    <cellStyle name="注释 10 2 3 3 2" xfId="17639"/>
    <cellStyle name="注释 10 2 3 3 2 2" xfId="17640"/>
    <cellStyle name="注释 10 2 3 3 2 2 2" xfId="17641"/>
    <cellStyle name="注释 10 2 3 3 2 3" xfId="17642"/>
    <cellStyle name="注释 10 2 3 3 2 3 2" xfId="17643"/>
    <cellStyle name="注释 10 2 3 3 2 4" xfId="17644"/>
    <cellStyle name="注释 10 2 3 3 3" xfId="17645"/>
    <cellStyle name="注释 10 2 3 3 3 2" xfId="17646"/>
    <cellStyle name="注释 10 2 3 3 4" xfId="17647"/>
    <cellStyle name="注释 10 2 3 3 4 2" xfId="17648"/>
    <cellStyle name="注释 10 2 3 3 5" xfId="17649"/>
    <cellStyle name="注释 10 2 3 4" xfId="17650"/>
    <cellStyle name="注释 10 2 3 4 2" xfId="17651"/>
    <cellStyle name="注释 10 2 3 4 2 2" xfId="17652"/>
    <cellStyle name="注释 10 2 3 4 3" xfId="17653"/>
    <cellStyle name="注释 10 2 3 4 3 2" xfId="17654"/>
    <cellStyle name="注释 10 2 3 4 4" xfId="17655"/>
    <cellStyle name="注释 10 2 3 5" xfId="17656"/>
    <cellStyle name="注释 10 2 3 5 2" xfId="17657"/>
    <cellStyle name="注释 10 2 3 6" xfId="17658"/>
    <cellStyle name="注释 10 2 3 6 2" xfId="17659"/>
    <cellStyle name="注释 10 2 3 7" xfId="17660"/>
    <cellStyle name="注释 10 2 4" xfId="17661"/>
    <cellStyle name="注释 10 2 4 2" xfId="17662"/>
    <cellStyle name="注释 10 2 4 2 2" xfId="17663"/>
    <cellStyle name="注释 10 2 4 2 2 2" xfId="17664"/>
    <cellStyle name="注释 10 2 4 2 2 2 2" xfId="17665"/>
    <cellStyle name="注释 10 2 4 2 2 3" xfId="17666"/>
    <cellStyle name="注释 10 2 4 2 2 3 2" xfId="17667"/>
    <cellStyle name="注释 10 2 4 2 2 4" xfId="17668"/>
    <cellStyle name="注释 10 2 4 2 3" xfId="17669"/>
    <cellStyle name="注释 10 2 4 2 3 2" xfId="17670"/>
    <cellStyle name="注释 10 2 4 2 4" xfId="17671"/>
    <cellStyle name="注释 10 2 4 2 4 2" xfId="17672"/>
    <cellStyle name="注释 10 2 4 2 5" xfId="17673"/>
    <cellStyle name="注释 10 2 4 3" xfId="17674"/>
    <cellStyle name="注释 10 2 4 3 2" xfId="17675"/>
    <cellStyle name="注释 10 2 4 3 2 2" xfId="17676"/>
    <cellStyle name="注释 10 2 4 3 2 2 2" xfId="17677"/>
    <cellStyle name="注释 10 2 4 3 2 3" xfId="17678"/>
    <cellStyle name="注释 10 2 4 3 2 3 2" xfId="17679"/>
    <cellStyle name="注释 10 2 4 3 2 4" xfId="17680"/>
    <cellStyle name="注释 10 2 4 3 3" xfId="17681"/>
    <cellStyle name="注释 10 2 4 3 3 2" xfId="17682"/>
    <cellStyle name="注释 10 2 4 3 4" xfId="17683"/>
    <cellStyle name="注释 10 2 4 3 4 2" xfId="17684"/>
    <cellStyle name="注释 10 2 4 3 5" xfId="17685"/>
    <cellStyle name="注释 10 2 4 4" xfId="17686"/>
    <cellStyle name="注释 10 2 4 4 2" xfId="17687"/>
    <cellStyle name="注释 10 2 4 4 2 2" xfId="17688"/>
    <cellStyle name="注释 10 2 4 4 3" xfId="17689"/>
    <cellStyle name="注释 10 2 4 4 3 2" xfId="17690"/>
    <cellStyle name="注释 10 2 4 4 4" xfId="17691"/>
    <cellStyle name="注释 10 2 4 5" xfId="17692"/>
    <cellStyle name="注释 10 2 4 5 2" xfId="17693"/>
    <cellStyle name="注释 10 2 4 6" xfId="17694"/>
    <cellStyle name="注释 10 2 4 6 2" xfId="17695"/>
    <cellStyle name="注释 10 2 4 7" xfId="17696"/>
    <cellStyle name="注释 10 2 5" xfId="17697"/>
    <cellStyle name="注释 10 2 5 2" xfId="17698"/>
    <cellStyle name="注释 10 2 5 2 2" xfId="17699"/>
    <cellStyle name="注释 10 2 5 2 2 2" xfId="17700"/>
    <cellStyle name="注释 10 2 5 2 3" xfId="17701"/>
    <cellStyle name="注释 10 2 5 2 3 2" xfId="17702"/>
    <cellStyle name="注释 10 2 5 2 4" xfId="17703"/>
    <cellStyle name="注释 10 2 5 3" xfId="17704"/>
    <cellStyle name="注释 10 2 5 3 2" xfId="17705"/>
    <cellStyle name="注释 10 2 5 4" xfId="17706"/>
    <cellStyle name="注释 10 2 5 4 2" xfId="17707"/>
    <cellStyle name="注释 10 2 5 5" xfId="17708"/>
    <cellStyle name="注释 10 2 6" xfId="17709"/>
    <cellStyle name="注释 10 2 7" xfId="17710"/>
    <cellStyle name="注释 10 2 7 2" xfId="17711"/>
    <cellStyle name="注释 10 2 7 2 2" xfId="17712"/>
    <cellStyle name="注释 10 2 7 3" xfId="17713"/>
    <cellStyle name="注释 10 2 7 3 2" xfId="17714"/>
    <cellStyle name="注释 10 2 7 4" xfId="17715"/>
    <cellStyle name="注释 10 2 8" xfId="17716"/>
    <cellStyle name="注释 10 2 8 2" xfId="17717"/>
    <cellStyle name="注释 10 2 8 2 2" xfId="17718"/>
    <cellStyle name="注释 10 2 8 3" xfId="17719"/>
    <cellStyle name="注释 10 2 8 3 2" xfId="17720"/>
    <cellStyle name="注释 10 2 8 4" xfId="17721"/>
    <cellStyle name="注释 10 2 9" xfId="17722"/>
    <cellStyle name="注释 10 2 9 2" xfId="17723"/>
    <cellStyle name="注释 10 3" xfId="17724"/>
    <cellStyle name="注释 10 3 2" xfId="17725"/>
    <cellStyle name="注释 10 3 2 2" xfId="17726"/>
    <cellStyle name="注释 10 3 2 2 2" xfId="17727"/>
    <cellStyle name="注释 10 3 2 2 2 2" xfId="17728"/>
    <cellStyle name="注释 10 3 2 2 3" xfId="17729"/>
    <cellStyle name="注释 10 3 2 2 3 2" xfId="17730"/>
    <cellStyle name="注释 10 3 2 2 4" xfId="17731"/>
    <cellStyle name="注释 10 3 2 3" xfId="17732"/>
    <cellStyle name="注释 10 3 2 3 2" xfId="17733"/>
    <cellStyle name="注释 10 3 2 4" xfId="17734"/>
    <cellStyle name="注释 10 3 2 4 2" xfId="17735"/>
    <cellStyle name="注释 10 3 2 5" xfId="17736"/>
    <cellStyle name="注释 10 3 3" xfId="17737"/>
    <cellStyle name="注释 10 3 3 2" xfId="17738"/>
    <cellStyle name="注释 10 3 3 2 2" xfId="17739"/>
    <cellStyle name="注释 10 3 3 3" xfId="17740"/>
    <cellStyle name="注释 10 3 3 3 2" xfId="17741"/>
    <cellStyle name="注释 10 3 3 4" xfId="17742"/>
    <cellStyle name="注释 10 3 4" xfId="17743"/>
    <cellStyle name="注释 10 3 4 2" xfId="17744"/>
    <cellStyle name="注释 10 3 5" xfId="17745"/>
    <cellStyle name="注释 10 3 5 2" xfId="17746"/>
    <cellStyle name="注释 10 3 6" xfId="17747"/>
    <cellStyle name="注释 10 4" xfId="17748"/>
    <cellStyle name="注释 10 4 2" xfId="17749"/>
    <cellStyle name="注释 10 4 2 2" xfId="17750"/>
    <cellStyle name="注释 10 4 2 2 2" xfId="17751"/>
    <cellStyle name="注释 10 4 2 2 2 2" xfId="17752"/>
    <cellStyle name="注释 10 4 2 2 3" xfId="17753"/>
    <cellStyle name="注释 10 4 2 2 3 2" xfId="17754"/>
    <cellStyle name="注释 10 4 2 2 4" xfId="17755"/>
    <cellStyle name="注释 10 4 2 3" xfId="17756"/>
    <cellStyle name="注释 10 4 2 3 2" xfId="17757"/>
    <cellStyle name="注释 10 4 2 4" xfId="17758"/>
    <cellStyle name="注释 10 4 2 4 2" xfId="17759"/>
    <cellStyle name="注释 10 4 2 5" xfId="17760"/>
    <cellStyle name="注释 10 4 3" xfId="17761"/>
    <cellStyle name="注释 10 4 3 2" xfId="17762"/>
    <cellStyle name="注释 10 4 3 2 2" xfId="17763"/>
    <cellStyle name="注释 10 4 3 2 2 2" xfId="17764"/>
    <cellStyle name="注释 10 4 3 2 3" xfId="17765"/>
    <cellStyle name="注释 10 4 3 2 3 2" xfId="17766"/>
    <cellStyle name="注释 10 4 3 2 4" xfId="17767"/>
    <cellStyle name="注释 10 4 3 3" xfId="17768"/>
    <cellStyle name="注释 10 4 3 3 2" xfId="17769"/>
    <cellStyle name="注释 10 4 3 4" xfId="17770"/>
    <cellStyle name="注释 10 4 3 4 2" xfId="17771"/>
    <cellStyle name="注释 10 4 3 5" xfId="17772"/>
    <cellStyle name="注释 10 4 4" xfId="17773"/>
    <cellStyle name="注释 10 4 4 2" xfId="17774"/>
    <cellStyle name="注释 10 4 4 2 2" xfId="17775"/>
    <cellStyle name="注释 10 4 4 3" xfId="17776"/>
    <cellStyle name="注释 10 4 4 3 2" xfId="17777"/>
    <cellStyle name="注释 10 4 4 4" xfId="17778"/>
    <cellStyle name="注释 10 4 5" xfId="17779"/>
    <cellStyle name="注释 10 4 5 2" xfId="17780"/>
    <cellStyle name="注释 10 4 6" xfId="17781"/>
    <cellStyle name="注释 10 4 6 2" xfId="17782"/>
    <cellStyle name="注释 10 4 7" xfId="17783"/>
    <cellStyle name="注释 10 5" xfId="17784"/>
    <cellStyle name="注释 10 6" xfId="17785"/>
    <cellStyle name="注释 10 6 2" xfId="17786"/>
    <cellStyle name="注释 10 6 2 2" xfId="17787"/>
    <cellStyle name="注释 10 6 3" xfId="17788"/>
    <cellStyle name="注释 10 6 3 2" xfId="17789"/>
    <cellStyle name="注释 10 6 4" xfId="17790"/>
    <cellStyle name="注释 10 7" xfId="17791"/>
    <cellStyle name="注释 10 7 2" xfId="17792"/>
    <cellStyle name="注释 10 7 2 2" xfId="17793"/>
    <cellStyle name="注释 10 7 3" xfId="17794"/>
    <cellStyle name="注释 10 7 3 2" xfId="17795"/>
    <cellStyle name="注释 10 7 4" xfId="17796"/>
    <cellStyle name="注释 10 8" xfId="17797"/>
    <cellStyle name="注释 10 8 2" xfId="17798"/>
    <cellStyle name="注释 10 9" xfId="17799"/>
    <cellStyle name="注释 10 9 2" xfId="17800"/>
    <cellStyle name="注释 11" xfId="17801"/>
    <cellStyle name="注释 11 10" xfId="17802"/>
    <cellStyle name="注释 11 11" xfId="17803"/>
    <cellStyle name="注释 11 2" xfId="17804"/>
    <cellStyle name="注释 11 2 10" xfId="17805"/>
    <cellStyle name="注释 11 2 10 2" xfId="17806"/>
    <cellStyle name="注释 11 2 11" xfId="17807"/>
    <cellStyle name="注释 11 2 11 2" xfId="17808"/>
    <cellStyle name="注释 11 2 12" xfId="17809"/>
    <cellStyle name="注释 11 2 13" xfId="17810"/>
    <cellStyle name="注释 11 2 2" xfId="17811"/>
    <cellStyle name="注释 11 2 2 2" xfId="17812"/>
    <cellStyle name="注释 11 2 2 2 2" xfId="17813"/>
    <cellStyle name="注释 11 2 2 2 2 2" xfId="17814"/>
    <cellStyle name="注释 11 2 2 2 2 2 2" xfId="17815"/>
    <cellStyle name="注释 11 2 2 2 2 3" xfId="17816"/>
    <cellStyle name="注释 11 2 2 2 2 3 2" xfId="17817"/>
    <cellStyle name="注释 11 2 2 2 2 4" xfId="17818"/>
    <cellStyle name="注释 11 2 2 2 3" xfId="17819"/>
    <cellStyle name="注释 11 2 2 2 3 2" xfId="17820"/>
    <cellStyle name="注释 11 2 2 2 4" xfId="17821"/>
    <cellStyle name="注释 11 2 2 2 4 2" xfId="17822"/>
    <cellStyle name="注释 11 2 2 2 5" xfId="17823"/>
    <cellStyle name="注释 11 2 2 3" xfId="17824"/>
    <cellStyle name="注释 11 2 2 3 2" xfId="17825"/>
    <cellStyle name="注释 11 2 2 3 2 2" xfId="17826"/>
    <cellStyle name="注释 11 2 2 3 3" xfId="17827"/>
    <cellStyle name="注释 11 2 2 3 3 2" xfId="17828"/>
    <cellStyle name="注释 11 2 2 3 4" xfId="17829"/>
    <cellStyle name="注释 11 2 2 4" xfId="17830"/>
    <cellStyle name="注释 11 2 2 4 2" xfId="17831"/>
    <cellStyle name="注释 11 2 2 5" xfId="17832"/>
    <cellStyle name="注释 11 2 2 5 2" xfId="17833"/>
    <cellStyle name="注释 11 2 2 6" xfId="17834"/>
    <cellStyle name="注释 11 2 3" xfId="17835"/>
    <cellStyle name="注释 11 2 3 2" xfId="17836"/>
    <cellStyle name="注释 11 2 3 2 2" xfId="17837"/>
    <cellStyle name="注释 11 2 3 2 2 2" xfId="17838"/>
    <cellStyle name="注释 11 2 3 2 2 2 2" xfId="17839"/>
    <cellStyle name="注释 11 2 3 2 2 3" xfId="17840"/>
    <cellStyle name="注释 11 2 3 2 2 3 2" xfId="17841"/>
    <cellStyle name="注释 11 2 3 2 2 4" xfId="17842"/>
    <cellStyle name="注释 11 2 3 2 3" xfId="17843"/>
    <cellStyle name="注释 11 2 3 2 3 2" xfId="17844"/>
    <cellStyle name="注释 11 2 3 2 4" xfId="17845"/>
    <cellStyle name="注释 11 2 3 2 4 2" xfId="17846"/>
    <cellStyle name="注释 11 2 3 2 5" xfId="17847"/>
    <cellStyle name="注释 11 2 3 3" xfId="17848"/>
    <cellStyle name="注释 11 2 3 3 2" xfId="17849"/>
    <cellStyle name="注释 11 2 3 3 2 2" xfId="17850"/>
    <cellStyle name="注释 11 2 3 3 2 2 2" xfId="17851"/>
    <cellStyle name="注释 11 2 3 3 2 3" xfId="17852"/>
    <cellStyle name="注释 11 2 3 3 2 3 2" xfId="17853"/>
    <cellStyle name="注释 11 2 3 3 2 4" xfId="17854"/>
    <cellStyle name="注释 11 2 3 3 3" xfId="17855"/>
    <cellStyle name="注释 11 2 3 3 3 2" xfId="17856"/>
    <cellStyle name="注释 11 2 3 3 4" xfId="17857"/>
    <cellStyle name="注释 11 2 3 3 4 2" xfId="17858"/>
    <cellStyle name="注释 11 2 3 3 5" xfId="17859"/>
    <cellStyle name="注释 11 2 3 4" xfId="17860"/>
    <cellStyle name="注释 11 2 3 4 2" xfId="17861"/>
    <cellStyle name="注释 11 2 3 4 2 2" xfId="17862"/>
    <cellStyle name="注释 11 2 3 4 3" xfId="17863"/>
    <cellStyle name="注释 11 2 3 4 3 2" xfId="17864"/>
    <cellStyle name="注释 11 2 3 4 4" xfId="17865"/>
    <cellStyle name="注释 11 2 3 5" xfId="17866"/>
    <cellStyle name="注释 11 2 3 5 2" xfId="17867"/>
    <cellStyle name="注释 11 2 3 6" xfId="17868"/>
    <cellStyle name="注释 11 2 3 6 2" xfId="17869"/>
    <cellStyle name="注释 11 2 3 7" xfId="17870"/>
    <cellStyle name="注释 11 2 4" xfId="17871"/>
    <cellStyle name="注释 11 2 4 2" xfId="17872"/>
    <cellStyle name="注释 11 2 4 2 2" xfId="17873"/>
    <cellStyle name="注释 11 2 4 2 2 2" xfId="17874"/>
    <cellStyle name="注释 11 2 4 2 2 2 2" xfId="17875"/>
    <cellStyle name="注释 11 2 4 2 2 3" xfId="17876"/>
    <cellStyle name="注释 11 2 4 2 2 3 2" xfId="17877"/>
    <cellStyle name="注释 11 2 4 2 2 4" xfId="17878"/>
    <cellStyle name="注释 11 2 4 2 3" xfId="17879"/>
    <cellStyle name="注释 11 2 4 2 3 2" xfId="17880"/>
    <cellStyle name="注释 11 2 4 2 4" xfId="17881"/>
    <cellStyle name="注释 11 2 4 2 4 2" xfId="17882"/>
    <cellStyle name="注释 11 2 4 2 5" xfId="17883"/>
    <cellStyle name="注释 11 2 4 3" xfId="17884"/>
    <cellStyle name="注释 11 2 4 3 2" xfId="17885"/>
    <cellStyle name="注释 11 2 4 3 2 2" xfId="17886"/>
    <cellStyle name="注释 11 2 4 3 2 2 2" xfId="17887"/>
    <cellStyle name="注释 11 2 4 3 2 3" xfId="17888"/>
    <cellStyle name="注释 11 2 4 3 2 3 2" xfId="17889"/>
    <cellStyle name="注释 11 2 4 3 2 4" xfId="17890"/>
    <cellStyle name="注释 11 2 4 3 3" xfId="17891"/>
    <cellStyle name="注释 11 2 4 3 3 2" xfId="17892"/>
    <cellStyle name="注释 11 2 4 3 4" xfId="17893"/>
    <cellStyle name="注释 11 2 4 3 4 2" xfId="17894"/>
    <cellStyle name="注释 11 2 4 3 5" xfId="17895"/>
    <cellStyle name="注释 11 2 4 4" xfId="17896"/>
    <cellStyle name="注释 11 2 4 4 2" xfId="17897"/>
    <cellStyle name="注释 11 2 4 4 2 2" xfId="17898"/>
    <cellStyle name="注释 11 2 4 4 3" xfId="17899"/>
    <cellStyle name="注释 11 2 4 4 3 2" xfId="17900"/>
    <cellStyle name="注释 11 2 4 4 4" xfId="17901"/>
    <cellStyle name="注释 11 2 4 5" xfId="17902"/>
    <cellStyle name="注释 11 2 4 5 2" xfId="17903"/>
    <cellStyle name="注释 11 2 4 6" xfId="17904"/>
    <cellStyle name="注释 11 2 4 6 2" xfId="17905"/>
    <cellStyle name="注释 11 2 4 7" xfId="17906"/>
    <cellStyle name="注释 11 2 5" xfId="17907"/>
    <cellStyle name="注释 11 2 5 2" xfId="17908"/>
    <cellStyle name="注释 11 2 5 2 2" xfId="17909"/>
    <cellStyle name="注释 11 2 5 2 2 2" xfId="17910"/>
    <cellStyle name="注释 11 2 5 2 3" xfId="17911"/>
    <cellStyle name="注释 11 2 5 2 3 2" xfId="17912"/>
    <cellStyle name="注释 11 2 5 2 4" xfId="17913"/>
    <cellStyle name="注释 11 2 5 3" xfId="17914"/>
    <cellStyle name="注释 11 2 5 3 2" xfId="17915"/>
    <cellStyle name="注释 11 2 5 4" xfId="17916"/>
    <cellStyle name="注释 11 2 5 4 2" xfId="17917"/>
    <cellStyle name="注释 11 2 5 5" xfId="17918"/>
    <cellStyle name="注释 11 2 6" xfId="17919"/>
    <cellStyle name="注释 11 2 7" xfId="17920"/>
    <cellStyle name="注释 11 2 7 2" xfId="17921"/>
    <cellStyle name="注释 11 2 7 2 2" xfId="17922"/>
    <cellStyle name="注释 11 2 7 3" xfId="17923"/>
    <cellStyle name="注释 11 2 7 3 2" xfId="17924"/>
    <cellStyle name="注释 11 2 7 4" xfId="17925"/>
    <cellStyle name="注释 11 2 8" xfId="17926"/>
    <cellStyle name="注释 11 2 8 2" xfId="17927"/>
    <cellStyle name="注释 11 2 8 2 2" xfId="17928"/>
    <cellStyle name="注释 11 2 8 3" xfId="17929"/>
    <cellStyle name="注释 11 2 8 3 2" xfId="17930"/>
    <cellStyle name="注释 11 2 8 4" xfId="17931"/>
    <cellStyle name="注释 11 2 9" xfId="17932"/>
    <cellStyle name="注释 11 2 9 2" xfId="17933"/>
    <cellStyle name="注释 11 3" xfId="17934"/>
    <cellStyle name="注释 11 3 2" xfId="17935"/>
    <cellStyle name="注释 11 3 2 2" xfId="17936"/>
    <cellStyle name="注释 11 3 2 2 2" xfId="17937"/>
    <cellStyle name="注释 11 3 2 2 2 2" xfId="17938"/>
    <cellStyle name="注释 11 3 2 2 3" xfId="17939"/>
    <cellStyle name="注释 11 3 2 2 3 2" xfId="17940"/>
    <cellStyle name="注释 11 3 2 2 4" xfId="17941"/>
    <cellStyle name="注释 11 3 2 3" xfId="17942"/>
    <cellStyle name="注释 11 3 2 3 2" xfId="17943"/>
    <cellStyle name="注释 11 3 2 4" xfId="17944"/>
    <cellStyle name="注释 11 3 2 4 2" xfId="17945"/>
    <cellStyle name="注释 11 3 2 5" xfId="17946"/>
    <cellStyle name="注释 11 3 3" xfId="17947"/>
    <cellStyle name="注释 11 3 3 2" xfId="17948"/>
    <cellStyle name="注释 11 3 3 2 2" xfId="17949"/>
    <cellStyle name="注释 11 3 3 3" xfId="17950"/>
    <cellStyle name="注释 11 3 3 3 2" xfId="17951"/>
    <cellStyle name="注释 11 3 3 4" xfId="17952"/>
    <cellStyle name="注释 11 3 4" xfId="17953"/>
    <cellStyle name="注释 11 3 4 2" xfId="17954"/>
    <cellStyle name="注释 11 3 5" xfId="17955"/>
    <cellStyle name="注释 11 3 5 2" xfId="17956"/>
    <cellStyle name="注释 11 3 6" xfId="17957"/>
    <cellStyle name="注释 11 4" xfId="17958"/>
    <cellStyle name="注释 11 4 2" xfId="17959"/>
    <cellStyle name="注释 11 4 2 2" xfId="17960"/>
    <cellStyle name="注释 11 4 2 2 2" xfId="17961"/>
    <cellStyle name="注释 11 4 2 2 2 2" xfId="17962"/>
    <cellStyle name="注释 11 4 2 2 3" xfId="17963"/>
    <cellStyle name="注释 11 4 2 2 3 2" xfId="17964"/>
    <cellStyle name="注释 11 4 2 2 4" xfId="17965"/>
    <cellStyle name="注释 11 4 2 3" xfId="17966"/>
    <cellStyle name="注释 11 4 2 3 2" xfId="17967"/>
    <cellStyle name="注释 11 4 2 4" xfId="17968"/>
    <cellStyle name="注释 11 4 2 4 2" xfId="17969"/>
    <cellStyle name="注释 11 4 2 5" xfId="17970"/>
    <cellStyle name="注释 11 4 3" xfId="17971"/>
    <cellStyle name="注释 11 4 3 2" xfId="17972"/>
    <cellStyle name="注释 11 4 3 2 2" xfId="17973"/>
    <cellStyle name="注释 11 4 3 2 2 2" xfId="17974"/>
    <cellStyle name="注释 11 4 3 2 3" xfId="17975"/>
    <cellStyle name="注释 11 4 3 2 3 2" xfId="17976"/>
    <cellStyle name="注释 11 4 3 2 4" xfId="17977"/>
    <cellStyle name="注释 11 4 3 3" xfId="17978"/>
    <cellStyle name="注释 11 4 3 3 2" xfId="17979"/>
    <cellStyle name="注释 11 4 3 4" xfId="17980"/>
    <cellStyle name="注释 11 4 3 4 2" xfId="17981"/>
    <cellStyle name="注释 11 4 3 5" xfId="17982"/>
    <cellStyle name="注释 11 4 4" xfId="17983"/>
    <cellStyle name="注释 11 4 4 2" xfId="17984"/>
    <cellStyle name="注释 11 4 4 2 2" xfId="17985"/>
    <cellStyle name="注释 11 4 4 3" xfId="17986"/>
    <cellStyle name="注释 11 4 4 3 2" xfId="17987"/>
    <cellStyle name="注释 11 4 4 4" xfId="17988"/>
    <cellStyle name="注释 11 4 5" xfId="17989"/>
    <cellStyle name="注释 11 4 5 2" xfId="17990"/>
    <cellStyle name="注释 11 4 6" xfId="17991"/>
    <cellStyle name="注释 11 4 6 2" xfId="17992"/>
    <cellStyle name="注释 11 4 7" xfId="17993"/>
    <cellStyle name="注释 11 5" xfId="17994"/>
    <cellStyle name="注释 11 6" xfId="17995"/>
    <cellStyle name="注释 11 6 2" xfId="17996"/>
    <cellStyle name="注释 11 6 2 2" xfId="17997"/>
    <cellStyle name="注释 11 6 3" xfId="17998"/>
    <cellStyle name="注释 11 6 3 2" xfId="17999"/>
    <cellStyle name="注释 11 6 4" xfId="18000"/>
    <cellStyle name="注释 11 7" xfId="18001"/>
    <cellStyle name="注释 11 7 2" xfId="18002"/>
    <cellStyle name="注释 11 7 2 2" xfId="18003"/>
    <cellStyle name="注释 11 7 3" xfId="18004"/>
    <cellStyle name="注释 11 7 3 2" xfId="18005"/>
    <cellStyle name="注释 11 7 4" xfId="18006"/>
    <cellStyle name="注释 11 8" xfId="18007"/>
    <cellStyle name="注释 11 8 2" xfId="18008"/>
    <cellStyle name="注释 11 9" xfId="18009"/>
    <cellStyle name="注释 11 9 2" xfId="18010"/>
    <cellStyle name="注释 12" xfId="18011"/>
    <cellStyle name="注释 12 10" xfId="18012"/>
    <cellStyle name="注释 12 11" xfId="18013"/>
    <cellStyle name="注释 12 2" xfId="18014"/>
    <cellStyle name="注释 12 2 10" xfId="18015"/>
    <cellStyle name="注释 12 2 10 2" xfId="18016"/>
    <cellStyle name="注释 12 2 11" xfId="18017"/>
    <cellStyle name="注释 12 2 11 2" xfId="18018"/>
    <cellStyle name="注释 12 2 12" xfId="18019"/>
    <cellStyle name="注释 12 2 13" xfId="18020"/>
    <cellStyle name="注释 12 2 2" xfId="18021"/>
    <cellStyle name="注释 12 2 2 2" xfId="18022"/>
    <cellStyle name="注释 12 2 2 2 2" xfId="18023"/>
    <cellStyle name="注释 12 2 2 2 2 2" xfId="18024"/>
    <cellStyle name="注释 12 2 2 2 2 2 2" xfId="18025"/>
    <cellStyle name="注释 12 2 2 2 2 3" xfId="18026"/>
    <cellStyle name="注释 12 2 2 2 2 3 2" xfId="18027"/>
    <cellStyle name="注释 12 2 2 2 2 4" xfId="18028"/>
    <cellStyle name="注释 12 2 2 2 3" xfId="18029"/>
    <cellStyle name="注释 12 2 2 2 3 2" xfId="18030"/>
    <cellStyle name="注释 12 2 2 2 4" xfId="18031"/>
    <cellStyle name="注释 12 2 2 2 4 2" xfId="18032"/>
    <cellStyle name="注释 12 2 2 2 5" xfId="18033"/>
    <cellStyle name="注释 12 2 2 3" xfId="18034"/>
    <cellStyle name="注释 12 2 2 3 2" xfId="18035"/>
    <cellStyle name="注释 12 2 2 3 2 2" xfId="18036"/>
    <cellStyle name="注释 12 2 2 3 3" xfId="18037"/>
    <cellStyle name="注释 12 2 2 3 3 2" xfId="18038"/>
    <cellStyle name="注释 12 2 2 3 4" xfId="18039"/>
    <cellStyle name="注释 12 2 2 4" xfId="18040"/>
    <cellStyle name="注释 12 2 2 4 2" xfId="18041"/>
    <cellStyle name="注释 12 2 2 5" xfId="18042"/>
    <cellStyle name="注释 12 2 2 5 2" xfId="18043"/>
    <cellStyle name="注释 12 2 2 6" xfId="18044"/>
    <cellStyle name="注释 12 2 3" xfId="18045"/>
    <cellStyle name="注释 12 2 3 2" xfId="18046"/>
    <cellStyle name="注释 12 2 3 2 2" xfId="18047"/>
    <cellStyle name="注释 12 2 3 2 2 2" xfId="18048"/>
    <cellStyle name="注释 12 2 3 2 2 2 2" xfId="18049"/>
    <cellStyle name="注释 12 2 3 2 2 3" xfId="18050"/>
    <cellStyle name="注释 12 2 3 2 2 3 2" xfId="18051"/>
    <cellStyle name="注释 12 2 3 2 2 4" xfId="18052"/>
    <cellStyle name="注释 12 2 3 2 3" xfId="18053"/>
    <cellStyle name="注释 12 2 3 2 3 2" xfId="18054"/>
    <cellStyle name="注释 12 2 3 2 4" xfId="18055"/>
    <cellStyle name="注释 12 2 3 2 4 2" xfId="18056"/>
    <cellStyle name="注释 12 2 3 2 5" xfId="18057"/>
    <cellStyle name="注释 12 2 3 3" xfId="18058"/>
    <cellStyle name="注释 12 2 3 3 2" xfId="18059"/>
    <cellStyle name="注释 12 2 3 3 2 2" xfId="18060"/>
    <cellStyle name="注释 12 2 3 3 2 2 2" xfId="18061"/>
    <cellStyle name="注释 12 2 3 3 2 3" xfId="18062"/>
    <cellStyle name="注释 12 2 3 3 2 3 2" xfId="18063"/>
    <cellStyle name="注释 12 2 3 3 2 4" xfId="18064"/>
    <cellStyle name="注释 12 2 3 3 3" xfId="18065"/>
    <cellStyle name="注释 12 2 3 3 3 2" xfId="18066"/>
    <cellStyle name="注释 12 2 3 3 4" xfId="18067"/>
    <cellStyle name="注释 12 2 3 3 4 2" xfId="18068"/>
    <cellStyle name="注释 12 2 3 3 5" xfId="18069"/>
    <cellStyle name="注释 12 2 3 4" xfId="18070"/>
    <cellStyle name="注释 12 2 3 4 2" xfId="18071"/>
    <cellStyle name="注释 12 2 3 4 2 2" xfId="18072"/>
    <cellStyle name="注释 12 2 3 4 3" xfId="18073"/>
    <cellStyle name="注释 12 2 3 4 3 2" xfId="18074"/>
    <cellStyle name="注释 12 2 3 4 4" xfId="18075"/>
    <cellStyle name="注释 12 2 3 5" xfId="18076"/>
    <cellStyle name="注释 12 2 3 5 2" xfId="18077"/>
    <cellStyle name="注释 12 2 3 6" xfId="18078"/>
    <cellStyle name="注释 12 2 3 6 2" xfId="18079"/>
    <cellStyle name="注释 12 2 3 7" xfId="18080"/>
    <cellStyle name="注释 12 2 4" xfId="18081"/>
    <cellStyle name="注释 12 2 4 2" xfId="18082"/>
    <cellStyle name="注释 12 2 4 2 2" xfId="18083"/>
    <cellStyle name="注释 12 2 4 2 2 2" xfId="18084"/>
    <cellStyle name="注释 12 2 4 2 2 2 2" xfId="18085"/>
    <cellStyle name="注释 12 2 4 2 2 3" xfId="18086"/>
    <cellStyle name="注释 12 2 4 2 2 3 2" xfId="18087"/>
    <cellStyle name="注释 12 2 4 2 2 4" xfId="18088"/>
    <cellStyle name="注释 12 2 4 2 3" xfId="18089"/>
    <cellStyle name="注释 12 2 4 2 3 2" xfId="18090"/>
    <cellStyle name="注释 12 2 4 2 4" xfId="18091"/>
    <cellStyle name="注释 12 2 4 2 4 2" xfId="18092"/>
    <cellStyle name="注释 12 2 4 2 5" xfId="18093"/>
    <cellStyle name="注释 12 2 4 3" xfId="18094"/>
    <cellStyle name="注释 12 2 4 3 2" xfId="18095"/>
    <cellStyle name="注释 12 2 4 3 2 2" xfId="18096"/>
    <cellStyle name="注释 12 2 4 3 2 2 2" xfId="18097"/>
    <cellStyle name="注释 12 2 4 3 2 3" xfId="18098"/>
    <cellStyle name="注释 12 2 4 3 2 3 2" xfId="18099"/>
    <cellStyle name="注释 12 2 4 3 2 4" xfId="18100"/>
    <cellStyle name="注释 12 2 4 3 3" xfId="18101"/>
    <cellStyle name="注释 12 2 4 3 3 2" xfId="18102"/>
    <cellStyle name="注释 12 2 4 3 4" xfId="18103"/>
    <cellStyle name="注释 12 2 4 3 4 2" xfId="18104"/>
    <cellStyle name="注释 12 2 4 3 5" xfId="18105"/>
    <cellStyle name="注释 12 2 4 4" xfId="18106"/>
    <cellStyle name="注释 12 2 4 4 2" xfId="18107"/>
    <cellStyle name="注释 12 2 4 4 2 2" xfId="18108"/>
    <cellStyle name="注释 12 2 4 4 3" xfId="18109"/>
    <cellStyle name="注释 12 2 4 4 3 2" xfId="18110"/>
    <cellStyle name="注释 12 2 4 4 4" xfId="18111"/>
    <cellStyle name="注释 12 2 4 5" xfId="18112"/>
    <cellStyle name="注释 12 2 4 5 2" xfId="18113"/>
    <cellStyle name="注释 12 2 4 6" xfId="18114"/>
    <cellStyle name="注释 12 2 4 6 2" xfId="18115"/>
    <cellStyle name="注释 12 2 4 7" xfId="18116"/>
    <cellStyle name="注释 12 2 5" xfId="18117"/>
    <cellStyle name="注释 12 2 5 2" xfId="18118"/>
    <cellStyle name="注释 12 2 5 2 2" xfId="18119"/>
    <cellStyle name="注释 12 2 5 2 2 2" xfId="18120"/>
    <cellStyle name="注释 12 2 5 2 3" xfId="18121"/>
    <cellStyle name="注释 12 2 5 2 3 2" xfId="18122"/>
    <cellStyle name="注释 12 2 5 2 4" xfId="18123"/>
    <cellStyle name="注释 12 2 5 3" xfId="18124"/>
    <cellStyle name="注释 12 2 5 3 2" xfId="18125"/>
    <cellStyle name="注释 12 2 5 4" xfId="18126"/>
    <cellStyle name="注释 12 2 5 4 2" xfId="18127"/>
    <cellStyle name="注释 12 2 5 5" xfId="18128"/>
    <cellStyle name="注释 12 2 6" xfId="18129"/>
    <cellStyle name="注释 12 2 7" xfId="18130"/>
    <cellStyle name="注释 12 2 7 2" xfId="18131"/>
    <cellStyle name="注释 12 2 7 2 2" xfId="18132"/>
    <cellStyle name="注释 12 2 7 3" xfId="18133"/>
    <cellStyle name="注释 12 2 7 3 2" xfId="18134"/>
    <cellStyle name="注释 12 2 7 4" xfId="18135"/>
    <cellStyle name="注释 12 2 8" xfId="18136"/>
    <cellStyle name="注释 12 2 8 2" xfId="18137"/>
    <cellStyle name="注释 12 2 8 2 2" xfId="18138"/>
    <cellStyle name="注释 12 2 8 3" xfId="18139"/>
    <cellStyle name="注释 12 2 8 3 2" xfId="18140"/>
    <cellStyle name="注释 12 2 8 4" xfId="18141"/>
    <cellStyle name="注释 12 2 9" xfId="18142"/>
    <cellStyle name="注释 12 2 9 2" xfId="18143"/>
    <cellStyle name="注释 12 3" xfId="18144"/>
    <cellStyle name="注释 12 3 2" xfId="18145"/>
    <cellStyle name="注释 12 3 2 2" xfId="18146"/>
    <cellStyle name="注释 12 3 2 2 2" xfId="18147"/>
    <cellStyle name="注释 12 3 2 2 2 2" xfId="18148"/>
    <cellStyle name="注释 12 3 2 2 3" xfId="18149"/>
    <cellStyle name="注释 12 3 2 2 3 2" xfId="18150"/>
    <cellStyle name="注释 12 3 2 2 4" xfId="18151"/>
    <cellStyle name="注释 12 3 2 3" xfId="18152"/>
    <cellStyle name="注释 12 3 2 3 2" xfId="18153"/>
    <cellStyle name="注释 12 3 2 4" xfId="18154"/>
    <cellStyle name="注释 12 3 2 4 2" xfId="18155"/>
    <cellStyle name="注释 12 3 2 5" xfId="18156"/>
    <cellStyle name="注释 12 3 3" xfId="18157"/>
    <cellStyle name="注释 12 3 3 2" xfId="18158"/>
    <cellStyle name="注释 12 3 3 2 2" xfId="18159"/>
    <cellStyle name="注释 12 3 3 3" xfId="18160"/>
    <cellStyle name="注释 12 3 3 3 2" xfId="18161"/>
    <cellStyle name="注释 12 3 3 4" xfId="18162"/>
    <cellStyle name="注释 12 3 4" xfId="18163"/>
    <cellStyle name="注释 12 3 4 2" xfId="18164"/>
    <cellStyle name="注释 12 3 5" xfId="18165"/>
    <cellStyle name="注释 12 3 5 2" xfId="18166"/>
    <cellStyle name="注释 12 3 6" xfId="18167"/>
    <cellStyle name="注释 12 4" xfId="18168"/>
    <cellStyle name="注释 12 4 2" xfId="18169"/>
    <cellStyle name="注释 12 4 2 2" xfId="18170"/>
    <cellStyle name="注释 12 4 2 2 2" xfId="18171"/>
    <cellStyle name="注释 12 4 2 2 2 2" xfId="18172"/>
    <cellStyle name="注释 12 4 2 2 3" xfId="18173"/>
    <cellStyle name="注释 12 4 2 2 3 2" xfId="18174"/>
    <cellStyle name="注释 12 4 2 2 4" xfId="18175"/>
    <cellStyle name="注释 12 4 2 3" xfId="18176"/>
    <cellStyle name="注释 12 4 2 3 2" xfId="18177"/>
    <cellStyle name="注释 12 4 2 4" xfId="18178"/>
    <cellStyle name="注释 12 4 2 4 2" xfId="18179"/>
    <cellStyle name="注释 12 4 2 5" xfId="18180"/>
    <cellStyle name="注释 12 4 3" xfId="18181"/>
    <cellStyle name="注释 12 4 3 2" xfId="18182"/>
    <cellStyle name="注释 12 4 3 2 2" xfId="18183"/>
    <cellStyle name="注释 12 4 3 2 2 2" xfId="18184"/>
    <cellStyle name="注释 12 4 3 2 3" xfId="18185"/>
    <cellStyle name="注释 12 4 3 2 3 2" xfId="18186"/>
    <cellStyle name="注释 12 4 3 2 4" xfId="18187"/>
    <cellStyle name="注释 12 4 3 3" xfId="18188"/>
    <cellStyle name="注释 12 4 3 3 2" xfId="18189"/>
    <cellStyle name="注释 12 4 3 4" xfId="18190"/>
    <cellStyle name="注释 12 4 3 4 2" xfId="18191"/>
    <cellStyle name="注释 12 4 3 5" xfId="18192"/>
    <cellStyle name="注释 12 4 4" xfId="18193"/>
    <cellStyle name="注释 12 4 4 2" xfId="18194"/>
    <cellStyle name="注释 12 4 4 2 2" xfId="18195"/>
    <cellStyle name="注释 12 4 4 3" xfId="18196"/>
    <cellStyle name="注释 12 4 4 3 2" xfId="18197"/>
    <cellStyle name="注释 12 4 4 4" xfId="18198"/>
    <cellStyle name="注释 12 4 5" xfId="18199"/>
    <cellStyle name="注释 12 4 5 2" xfId="18200"/>
    <cellStyle name="注释 12 4 6" xfId="18201"/>
    <cellStyle name="注释 12 4 6 2" xfId="18202"/>
    <cellStyle name="注释 12 4 7" xfId="18203"/>
    <cellStyle name="注释 12 5" xfId="18204"/>
    <cellStyle name="注释 12 6" xfId="18205"/>
    <cellStyle name="注释 12 6 2" xfId="18206"/>
    <cellStyle name="注释 12 6 2 2" xfId="18207"/>
    <cellStyle name="注释 12 6 3" xfId="18208"/>
    <cellStyle name="注释 12 6 3 2" xfId="18209"/>
    <cellStyle name="注释 12 6 4" xfId="18210"/>
    <cellStyle name="注释 12 7" xfId="18211"/>
    <cellStyle name="注释 12 7 2" xfId="18212"/>
    <cellStyle name="注释 12 7 2 2" xfId="18213"/>
    <cellStyle name="注释 12 7 3" xfId="18214"/>
    <cellStyle name="注释 12 7 3 2" xfId="18215"/>
    <cellStyle name="注释 12 7 4" xfId="18216"/>
    <cellStyle name="注释 12 8" xfId="18217"/>
    <cellStyle name="注释 12 8 2" xfId="18218"/>
    <cellStyle name="注释 12 9" xfId="18219"/>
    <cellStyle name="注释 12 9 2" xfId="18220"/>
    <cellStyle name="注释 2" xfId="18221"/>
    <cellStyle name="注释 2 10" xfId="18222"/>
    <cellStyle name="注释 2 10 2" xfId="18223"/>
    <cellStyle name="注释 2 11" xfId="18224"/>
    <cellStyle name="注释 2 12" xfId="18225"/>
    <cellStyle name="注释 2 2" xfId="18226"/>
    <cellStyle name="注释 2 2 10" xfId="18227"/>
    <cellStyle name="注释 2 2 11" xfId="18228"/>
    <cellStyle name="注释 2 2 2" xfId="18229"/>
    <cellStyle name="注释 2 2 2 10" xfId="18230"/>
    <cellStyle name="注释 2 2 2 10 2" xfId="18231"/>
    <cellStyle name="注释 2 2 2 11" xfId="18232"/>
    <cellStyle name="注释 2 2 2 11 2" xfId="18233"/>
    <cellStyle name="注释 2 2 2 12" xfId="18234"/>
    <cellStyle name="注释 2 2 2 13" xfId="18235"/>
    <cellStyle name="注释 2 2 2 2" xfId="18236"/>
    <cellStyle name="注释 2 2 2 2 2" xfId="18237"/>
    <cellStyle name="注释 2 2 2 2 2 2" xfId="18238"/>
    <cellStyle name="注释 2 2 2 2 2 2 2" xfId="18239"/>
    <cellStyle name="注释 2 2 2 2 2 2 2 2" xfId="18240"/>
    <cellStyle name="注释 2 2 2 2 2 2 3" xfId="18241"/>
    <cellStyle name="注释 2 2 2 2 2 2 3 2" xfId="18242"/>
    <cellStyle name="注释 2 2 2 2 2 2 4" xfId="18243"/>
    <cellStyle name="注释 2 2 2 2 2 3" xfId="18244"/>
    <cellStyle name="注释 2 2 2 2 2 3 2" xfId="18245"/>
    <cellStyle name="注释 2 2 2 2 2 4" xfId="18246"/>
    <cellStyle name="注释 2 2 2 2 2 4 2" xfId="18247"/>
    <cellStyle name="注释 2 2 2 2 2 5" xfId="18248"/>
    <cellStyle name="注释 2 2 2 2 3" xfId="18249"/>
    <cellStyle name="注释 2 2 2 2 3 2" xfId="18250"/>
    <cellStyle name="注释 2 2 2 2 3 2 2" xfId="18251"/>
    <cellStyle name="注释 2 2 2 2 3 3" xfId="18252"/>
    <cellStyle name="注释 2 2 2 2 3 3 2" xfId="18253"/>
    <cellStyle name="注释 2 2 2 2 3 4" xfId="18254"/>
    <cellStyle name="注释 2 2 2 2 4" xfId="18255"/>
    <cellStyle name="注释 2 2 2 2 4 2" xfId="18256"/>
    <cellStyle name="注释 2 2 2 2 5" xfId="18257"/>
    <cellStyle name="注释 2 2 2 2 5 2" xfId="18258"/>
    <cellStyle name="注释 2 2 2 2 6" xfId="18259"/>
    <cellStyle name="注释 2 2 2 3" xfId="18260"/>
    <cellStyle name="注释 2 2 2 3 2" xfId="18261"/>
    <cellStyle name="注释 2 2 2 3 2 2" xfId="18262"/>
    <cellStyle name="注释 2 2 2 3 2 2 2" xfId="18263"/>
    <cellStyle name="注释 2 2 2 3 2 2 2 2" xfId="18264"/>
    <cellStyle name="注释 2 2 2 3 2 2 3" xfId="18265"/>
    <cellStyle name="注释 2 2 2 3 2 2 3 2" xfId="18266"/>
    <cellStyle name="注释 2 2 2 3 2 2 4" xfId="18267"/>
    <cellStyle name="注释 2 2 2 3 2 3" xfId="18268"/>
    <cellStyle name="注释 2 2 2 3 2 3 2" xfId="18269"/>
    <cellStyle name="注释 2 2 2 3 2 4" xfId="18270"/>
    <cellStyle name="注释 2 2 2 3 2 4 2" xfId="18271"/>
    <cellStyle name="注释 2 2 2 3 2 5" xfId="18272"/>
    <cellStyle name="注释 2 2 2 3 3" xfId="18273"/>
    <cellStyle name="注释 2 2 2 3 3 2" xfId="18274"/>
    <cellStyle name="注释 2 2 2 3 3 2 2" xfId="18275"/>
    <cellStyle name="注释 2 2 2 3 3 2 2 2" xfId="18276"/>
    <cellStyle name="注释 2 2 2 3 3 2 3" xfId="18277"/>
    <cellStyle name="注释 2 2 2 3 3 2 3 2" xfId="18278"/>
    <cellStyle name="注释 2 2 2 3 3 2 4" xfId="18279"/>
    <cellStyle name="注释 2 2 2 3 3 3" xfId="18280"/>
    <cellStyle name="注释 2 2 2 3 3 3 2" xfId="18281"/>
    <cellStyle name="注释 2 2 2 3 3 4" xfId="18282"/>
    <cellStyle name="注释 2 2 2 3 3 4 2" xfId="18283"/>
    <cellStyle name="注释 2 2 2 3 3 5" xfId="18284"/>
    <cellStyle name="注释 2 2 2 3 4" xfId="18285"/>
    <cellStyle name="注释 2 2 2 3 4 2" xfId="18286"/>
    <cellStyle name="注释 2 2 2 3 4 2 2" xfId="18287"/>
    <cellStyle name="注释 2 2 2 3 4 3" xfId="18288"/>
    <cellStyle name="注释 2 2 2 3 4 3 2" xfId="18289"/>
    <cellStyle name="注释 2 2 2 3 4 4" xfId="18290"/>
    <cellStyle name="注释 2 2 2 3 5" xfId="18291"/>
    <cellStyle name="注释 2 2 2 3 5 2" xfId="18292"/>
    <cellStyle name="注释 2 2 2 3 6" xfId="18293"/>
    <cellStyle name="注释 2 2 2 3 6 2" xfId="18294"/>
    <cellStyle name="注释 2 2 2 3 7" xfId="18295"/>
    <cellStyle name="注释 2 2 2 4" xfId="18296"/>
    <cellStyle name="注释 2 2 2 4 2" xfId="18297"/>
    <cellStyle name="注释 2 2 2 4 2 2" xfId="18298"/>
    <cellStyle name="注释 2 2 2 4 2 2 2" xfId="18299"/>
    <cellStyle name="注释 2 2 2 4 2 2 2 2" xfId="18300"/>
    <cellStyle name="注释 2 2 2 4 2 2 3" xfId="18301"/>
    <cellStyle name="注释 2 2 2 4 2 2 3 2" xfId="18302"/>
    <cellStyle name="注释 2 2 2 4 2 2 4" xfId="18303"/>
    <cellStyle name="注释 2 2 2 4 2 3" xfId="18304"/>
    <cellStyle name="注释 2 2 2 4 2 3 2" xfId="18305"/>
    <cellStyle name="注释 2 2 2 4 2 4" xfId="18306"/>
    <cellStyle name="注释 2 2 2 4 2 4 2" xfId="18307"/>
    <cellStyle name="注释 2 2 2 4 2 5" xfId="18308"/>
    <cellStyle name="注释 2 2 2 4 3" xfId="18309"/>
    <cellStyle name="注释 2 2 2 4 3 2" xfId="18310"/>
    <cellStyle name="注释 2 2 2 4 3 2 2" xfId="18311"/>
    <cellStyle name="注释 2 2 2 4 3 2 2 2" xfId="18312"/>
    <cellStyle name="注释 2 2 2 4 3 2 3" xfId="18313"/>
    <cellStyle name="注释 2 2 2 4 3 2 3 2" xfId="18314"/>
    <cellStyle name="注释 2 2 2 4 3 2 4" xfId="18315"/>
    <cellStyle name="注释 2 2 2 4 3 3" xfId="18316"/>
    <cellStyle name="注释 2 2 2 4 3 3 2" xfId="18317"/>
    <cellStyle name="注释 2 2 2 4 3 4" xfId="18318"/>
    <cellStyle name="注释 2 2 2 4 3 4 2" xfId="18319"/>
    <cellStyle name="注释 2 2 2 4 3 5" xfId="18320"/>
    <cellStyle name="注释 2 2 2 4 4" xfId="18321"/>
    <cellStyle name="注释 2 2 2 4 4 2" xfId="18322"/>
    <cellStyle name="注释 2 2 2 4 4 2 2" xfId="18323"/>
    <cellStyle name="注释 2 2 2 4 4 3" xfId="18324"/>
    <cellStyle name="注释 2 2 2 4 4 3 2" xfId="18325"/>
    <cellStyle name="注释 2 2 2 4 4 4" xfId="18326"/>
    <cellStyle name="注释 2 2 2 4 5" xfId="18327"/>
    <cellStyle name="注释 2 2 2 4 5 2" xfId="18328"/>
    <cellStyle name="注释 2 2 2 4 6" xfId="18329"/>
    <cellStyle name="注释 2 2 2 4 6 2" xfId="18330"/>
    <cellStyle name="注释 2 2 2 4 7" xfId="18331"/>
    <cellStyle name="注释 2 2 2 5" xfId="18332"/>
    <cellStyle name="注释 2 2 2 5 2" xfId="18333"/>
    <cellStyle name="注释 2 2 2 5 2 2" xfId="18334"/>
    <cellStyle name="注释 2 2 2 5 2 2 2" xfId="18335"/>
    <cellStyle name="注释 2 2 2 5 2 3" xfId="18336"/>
    <cellStyle name="注释 2 2 2 5 2 3 2" xfId="18337"/>
    <cellStyle name="注释 2 2 2 5 2 4" xfId="18338"/>
    <cellStyle name="注释 2 2 2 5 3" xfId="18339"/>
    <cellStyle name="注释 2 2 2 5 3 2" xfId="18340"/>
    <cellStyle name="注释 2 2 2 5 4" xfId="18341"/>
    <cellStyle name="注释 2 2 2 5 4 2" xfId="18342"/>
    <cellStyle name="注释 2 2 2 5 5" xfId="18343"/>
    <cellStyle name="注释 2 2 2 6" xfId="18344"/>
    <cellStyle name="注释 2 2 2 7" xfId="18345"/>
    <cellStyle name="注释 2 2 2 7 2" xfId="18346"/>
    <cellStyle name="注释 2 2 2 7 2 2" xfId="18347"/>
    <cellStyle name="注释 2 2 2 7 3" xfId="18348"/>
    <cellStyle name="注释 2 2 2 7 3 2" xfId="18349"/>
    <cellStyle name="注释 2 2 2 7 4" xfId="18350"/>
    <cellStyle name="注释 2 2 2 8" xfId="18351"/>
    <cellStyle name="注释 2 2 2 8 2" xfId="18352"/>
    <cellStyle name="注释 2 2 2 8 2 2" xfId="18353"/>
    <cellStyle name="注释 2 2 2 8 3" xfId="18354"/>
    <cellStyle name="注释 2 2 2 8 3 2" xfId="18355"/>
    <cellStyle name="注释 2 2 2 8 4" xfId="18356"/>
    <cellStyle name="注释 2 2 2 9" xfId="18357"/>
    <cellStyle name="注释 2 2 2 9 2" xfId="18358"/>
    <cellStyle name="注释 2 2 3" xfId="18359"/>
    <cellStyle name="注释 2 2 3 2" xfId="18360"/>
    <cellStyle name="注释 2 2 3 2 2" xfId="18361"/>
    <cellStyle name="注释 2 2 3 2 2 2" xfId="18362"/>
    <cellStyle name="注释 2 2 3 2 2 2 2" xfId="18363"/>
    <cellStyle name="注释 2 2 3 2 2 3" xfId="18364"/>
    <cellStyle name="注释 2 2 3 2 2 3 2" xfId="18365"/>
    <cellStyle name="注释 2 2 3 2 2 4" xfId="18366"/>
    <cellStyle name="注释 2 2 3 2 3" xfId="18367"/>
    <cellStyle name="注释 2 2 3 2 3 2" xfId="18368"/>
    <cellStyle name="注释 2 2 3 2 4" xfId="18369"/>
    <cellStyle name="注释 2 2 3 2 4 2" xfId="18370"/>
    <cellStyle name="注释 2 2 3 2 5" xfId="18371"/>
    <cellStyle name="注释 2 2 3 3" xfId="18372"/>
    <cellStyle name="注释 2 2 3 3 2" xfId="18373"/>
    <cellStyle name="注释 2 2 3 3 2 2" xfId="18374"/>
    <cellStyle name="注释 2 2 3 3 3" xfId="18375"/>
    <cellStyle name="注释 2 2 3 3 3 2" xfId="18376"/>
    <cellStyle name="注释 2 2 3 3 4" xfId="18377"/>
    <cellStyle name="注释 2 2 3 4" xfId="18378"/>
    <cellStyle name="注释 2 2 3 4 2" xfId="18379"/>
    <cellStyle name="注释 2 2 3 5" xfId="18380"/>
    <cellStyle name="注释 2 2 3 5 2" xfId="18381"/>
    <cellStyle name="注释 2 2 3 6" xfId="18382"/>
    <cellStyle name="注释 2 2 4" xfId="18383"/>
    <cellStyle name="注释 2 2 4 2" xfId="18384"/>
    <cellStyle name="注释 2 2 4 2 2" xfId="18385"/>
    <cellStyle name="注释 2 2 4 2 2 2" xfId="18386"/>
    <cellStyle name="注释 2 2 4 2 2 2 2" xfId="18387"/>
    <cellStyle name="注释 2 2 4 2 2 3" xfId="18388"/>
    <cellStyle name="注释 2 2 4 2 2 3 2" xfId="18389"/>
    <cellStyle name="注释 2 2 4 2 2 4" xfId="18390"/>
    <cellStyle name="注释 2 2 4 2 3" xfId="18391"/>
    <cellStyle name="注释 2 2 4 2 3 2" xfId="18392"/>
    <cellStyle name="注释 2 2 4 2 4" xfId="18393"/>
    <cellStyle name="注释 2 2 4 2 4 2" xfId="18394"/>
    <cellStyle name="注释 2 2 4 2 5" xfId="18395"/>
    <cellStyle name="注释 2 2 4 3" xfId="18396"/>
    <cellStyle name="注释 2 2 4 3 2" xfId="18397"/>
    <cellStyle name="注释 2 2 4 3 2 2" xfId="18398"/>
    <cellStyle name="注释 2 2 4 3 2 2 2" xfId="18399"/>
    <cellStyle name="注释 2 2 4 3 2 3" xfId="18400"/>
    <cellStyle name="注释 2 2 4 3 2 3 2" xfId="18401"/>
    <cellStyle name="注释 2 2 4 3 2 4" xfId="18402"/>
    <cellStyle name="注释 2 2 4 3 3" xfId="18403"/>
    <cellStyle name="注释 2 2 4 3 3 2" xfId="18404"/>
    <cellStyle name="注释 2 2 4 3 4" xfId="18405"/>
    <cellStyle name="注释 2 2 4 3 4 2" xfId="18406"/>
    <cellStyle name="注释 2 2 4 3 5" xfId="18407"/>
    <cellStyle name="注释 2 2 4 4" xfId="18408"/>
    <cellStyle name="注释 2 2 4 4 2" xfId="18409"/>
    <cellStyle name="注释 2 2 4 4 2 2" xfId="18410"/>
    <cellStyle name="注释 2 2 4 4 3" xfId="18411"/>
    <cellStyle name="注释 2 2 4 4 3 2" xfId="18412"/>
    <cellStyle name="注释 2 2 4 4 4" xfId="18413"/>
    <cellStyle name="注释 2 2 4 5" xfId="18414"/>
    <cellStyle name="注释 2 2 4 5 2" xfId="18415"/>
    <cellStyle name="注释 2 2 4 6" xfId="18416"/>
    <cellStyle name="注释 2 2 4 6 2" xfId="18417"/>
    <cellStyle name="注释 2 2 4 7" xfId="18418"/>
    <cellStyle name="注释 2 2 5" xfId="18419"/>
    <cellStyle name="注释 2 2 6" xfId="18420"/>
    <cellStyle name="注释 2 2 6 2" xfId="18421"/>
    <cellStyle name="注释 2 2 6 2 2" xfId="18422"/>
    <cellStyle name="注释 2 2 6 3" xfId="18423"/>
    <cellStyle name="注释 2 2 6 3 2" xfId="18424"/>
    <cellStyle name="注释 2 2 6 4" xfId="18425"/>
    <cellStyle name="注释 2 2 7" xfId="18426"/>
    <cellStyle name="注释 2 2 7 2" xfId="18427"/>
    <cellStyle name="注释 2 2 7 2 2" xfId="18428"/>
    <cellStyle name="注释 2 2 7 3" xfId="18429"/>
    <cellStyle name="注释 2 2 7 3 2" xfId="18430"/>
    <cellStyle name="注释 2 2 7 4" xfId="18431"/>
    <cellStyle name="注释 2 2 8" xfId="18432"/>
    <cellStyle name="注释 2 2 8 2" xfId="18433"/>
    <cellStyle name="注释 2 2 9" xfId="18434"/>
    <cellStyle name="注释 2 2 9 2" xfId="18435"/>
    <cellStyle name="注释 2 3" xfId="18436"/>
    <cellStyle name="注释 2 3 10" xfId="18437"/>
    <cellStyle name="注释 2 3 10 2" xfId="18438"/>
    <cellStyle name="注释 2 3 11" xfId="18439"/>
    <cellStyle name="注释 2 3 11 2" xfId="18440"/>
    <cellStyle name="注释 2 3 12" xfId="18441"/>
    <cellStyle name="注释 2 3 13" xfId="18442"/>
    <cellStyle name="注释 2 3 2" xfId="18443"/>
    <cellStyle name="注释 2 3 2 2" xfId="18444"/>
    <cellStyle name="注释 2 3 2 2 2" xfId="18445"/>
    <cellStyle name="注释 2 3 2 2 2 2" xfId="18446"/>
    <cellStyle name="注释 2 3 2 2 2 2 2" xfId="18447"/>
    <cellStyle name="注释 2 3 2 2 2 3" xfId="18448"/>
    <cellStyle name="注释 2 3 2 2 2 3 2" xfId="18449"/>
    <cellStyle name="注释 2 3 2 2 2 4" xfId="18450"/>
    <cellStyle name="注释 2 3 2 2 3" xfId="18451"/>
    <cellStyle name="注释 2 3 2 2 3 2" xfId="18452"/>
    <cellStyle name="注释 2 3 2 2 4" xfId="18453"/>
    <cellStyle name="注释 2 3 2 2 4 2" xfId="18454"/>
    <cellStyle name="注释 2 3 2 2 5" xfId="18455"/>
    <cellStyle name="注释 2 3 2 3" xfId="18456"/>
    <cellStyle name="注释 2 3 2 3 2" xfId="18457"/>
    <cellStyle name="注释 2 3 2 3 2 2" xfId="18458"/>
    <cellStyle name="注释 2 3 2 3 3" xfId="18459"/>
    <cellStyle name="注释 2 3 2 3 3 2" xfId="18460"/>
    <cellStyle name="注释 2 3 2 3 4" xfId="18461"/>
    <cellStyle name="注释 2 3 2 4" xfId="18462"/>
    <cellStyle name="注释 2 3 2 4 2" xfId="18463"/>
    <cellStyle name="注释 2 3 2 5" xfId="18464"/>
    <cellStyle name="注释 2 3 2 5 2" xfId="18465"/>
    <cellStyle name="注释 2 3 2 6" xfId="18466"/>
    <cellStyle name="注释 2 3 3" xfId="18467"/>
    <cellStyle name="注释 2 3 3 2" xfId="18468"/>
    <cellStyle name="注释 2 3 3 2 2" xfId="18469"/>
    <cellStyle name="注释 2 3 3 2 2 2" xfId="18470"/>
    <cellStyle name="注释 2 3 3 2 2 2 2" xfId="18471"/>
    <cellStyle name="注释 2 3 3 2 2 3" xfId="18472"/>
    <cellStyle name="注释 2 3 3 2 2 3 2" xfId="18473"/>
    <cellStyle name="注释 2 3 3 2 2 4" xfId="18474"/>
    <cellStyle name="注释 2 3 3 2 3" xfId="18475"/>
    <cellStyle name="注释 2 3 3 2 3 2" xfId="18476"/>
    <cellStyle name="注释 2 3 3 2 4" xfId="18477"/>
    <cellStyle name="注释 2 3 3 2 4 2" xfId="18478"/>
    <cellStyle name="注释 2 3 3 2 5" xfId="18479"/>
    <cellStyle name="注释 2 3 3 3" xfId="18480"/>
    <cellStyle name="注释 2 3 3 3 2" xfId="18481"/>
    <cellStyle name="注释 2 3 3 3 2 2" xfId="18482"/>
    <cellStyle name="注释 2 3 3 3 2 2 2" xfId="18483"/>
    <cellStyle name="注释 2 3 3 3 2 3" xfId="18484"/>
    <cellStyle name="注释 2 3 3 3 2 3 2" xfId="18485"/>
    <cellStyle name="注释 2 3 3 3 2 4" xfId="18486"/>
    <cellStyle name="注释 2 3 3 3 3" xfId="18487"/>
    <cellStyle name="注释 2 3 3 3 3 2" xfId="18488"/>
    <cellStyle name="注释 2 3 3 3 4" xfId="18489"/>
    <cellStyle name="注释 2 3 3 3 4 2" xfId="18490"/>
    <cellStyle name="注释 2 3 3 3 5" xfId="18491"/>
    <cellStyle name="注释 2 3 3 4" xfId="18492"/>
    <cellStyle name="注释 2 3 3 4 2" xfId="18493"/>
    <cellStyle name="注释 2 3 3 4 2 2" xfId="18494"/>
    <cellStyle name="注释 2 3 3 4 3" xfId="18495"/>
    <cellStyle name="注释 2 3 3 4 3 2" xfId="18496"/>
    <cellStyle name="注释 2 3 3 4 4" xfId="18497"/>
    <cellStyle name="注释 2 3 3 5" xfId="18498"/>
    <cellStyle name="注释 2 3 3 5 2" xfId="18499"/>
    <cellStyle name="注释 2 3 3 6" xfId="18500"/>
    <cellStyle name="注释 2 3 3 6 2" xfId="18501"/>
    <cellStyle name="注释 2 3 3 7" xfId="18502"/>
    <cellStyle name="注释 2 3 4" xfId="18503"/>
    <cellStyle name="注释 2 3 4 2" xfId="18504"/>
    <cellStyle name="注释 2 3 4 2 2" xfId="18505"/>
    <cellStyle name="注释 2 3 4 2 2 2" xfId="18506"/>
    <cellStyle name="注释 2 3 4 2 2 2 2" xfId="18507"/>
    <cellStyle name="注释 2 3 4 2 2 3" xfId="18508"/>
    <cellStyle name="注释 2 3 4 2 2 3 2" xfId="18509"/>
    <cellStyle name="注释 2 3 4 2 2 4" xfId="18510"/>
    <cellStyle name="注释 2 3 4 2 3" xfId="18511"/>
    <cellStyle name="注释 2 3 4 2 3 2" xfId="18512"/>
    <cellStyle name="注释 2 3 4 2 4" xfId="18513"/>
    <cellStyle name="注释 2 3 4 2 4 2" xfId="18514"/>
    <cellStyle name="注释 2 3 4 2 5" xfId="18515"/>
    <cellStyle name="注释 2 3 4 3" xfId="18516"/>
    <cellStyle name="注释 2 3 4 3 2" xfId="18517"/>
    <cellStyle name="注释 2 3 4 3 2 2" xfId="18518"/>
    <cellStyle name="注释 2 3 4 3 2 2 2" xfId="18519"/>
    <cellStyle name="注释 2 3 4 3 2 3" xfId="18520"/>
    <cellStyle name="注释 2 3 4 3 2 3 2" xfId="18521"/>
    <cellStyle name="注释 2 3 4 3 2 4" xfId="18522"/>
    <cellStyle name="注释 2 3 4 3 3" xfId="18523"/>
    <cellStyle name="注释 2 3 4 3 3 2" xfId="18524"/>
    <cellStyle name="注释 2 3 4 3 4" xfId="18525"/>
    <cellStyle name="注释 2 3 4 3 4 2" xfId="18526"/>
    <cellStyle name="注释 2 3 4 3 5" xfId="18527"/>
    <cellStyle name="注释 2 3 4 4" xfId="18528"/>
    <cellStyle name="注释 2 3 4 4 2" xfId="18529"/>
    <cellStyle name="注释 2 3 4 4 2 2" xfId="18530"/>
    <cellStyle name="注释 2 3 4 4 3" xfId="18531"/>
    <cellStyle name="注释 2 3 4 4 3 2" xfId="18532"/>
    <cellStyle name="注释 2 3 4 4 4" xfId="18533"/>
    <cellStyle name="注释 2 3 4 5" xfId="18534"/>
    <cellStyle name="注释 2 3 4 5 2" xfId="18535"/>
    <cellStyle name="注释 2 3 4 6" xfId="18536"/>
    <cellStyle name="注释 2 3 4 6 2" xfId="18537"/>
    <cellStyle name="注释 2 3 4 7" xfId="18538"/>
    <cellStyle name="注释 2 3 5" xfId="18539"/>
    <cellStyle name="注释 2 3 5 2" xfId="18540"/>
    <cellStyle name="注释 2 3 5 2 2" xfId="18541"/>
    <cellStyle name="注释 2 3 5 2 2 2" xfId="18542"/>
    <cellStyle name="注释 2 3 5 2 3" xfId="18543"/>
    <cellStyle name="注释 2 3 5 2 3 2" xfId="18544"/>
    <cellStyle name="注释 2 3 5 2 4" xfId="18545"/>
    <cellStyle name="注释 2 3 5 3" xfId="18546"/>
    <cellStyle name="注释 2 3 5 3 2" xfId="18547"/>
    <cellStyle name="注释 2 3 5 4" xfId="18548"/>
    <cellStyle name="注释 2 3 5 4 2" xfId="18549"/>
    <cellStyle name="注释 2 3 5 5" xfId="18550"/>
    <cellStyle name="注释 2 3 6" xfId="18551"/>
    <cellStyle name="注释 2 3 7" xfId="18552"/>
    <cellStyle name="注释 2 3 7 2" xfId="18553"/>
    <cellStyle name="注释 2 3 7 2 2" xfId="18554"/>
    <cellStyle name="注释 2 3 7 3" xfId="18555"/>
    <cellStyle name="注释 2 3 7 3 2" xfId="18556"/>
    <cellStyle name="注释 2 3 7 4" xfId="18557"/>
    <cellStyle name="注释 2 3 8" xfId="18558"/>
    <cellStyle name="注释 2 3 8 2" xfId="18559"/>
    <cellStyle name="注释 2 3 8 2 2" xfId="18560"/>
    <cellStyle name="注释 2 3 8 3" xfId="18561"/>
    <cellStyle name="注释 2 3 8 3 2" xfId="18562"/>
    <cellStyle name="注释 2 3 8 4" xfId="18563"/>
    <cellStyle name="注释 2 3 9" xfId="18564"/>
    <cellStyle name="注释 2 3 9 2" xfId="18565"/>
    <cellStyle name="注释 2 4" xfId="18566"/>
    <cellStyle name="注释 2 4 2" xfId="18567"/>
    <cellStyle name="注释 2 4 2 2" xfId="18568"/>
    <cellStyle name="注释 2 4 2 2 2" xfId="18569"/>
    <cellStyle name="注释 2 4 2 2 2 2" xfId="18570"/>
    <cellStyle name="注释 2 4 2 2 3" xfId="18571"/>
    <cellStyle name="注释 2 4 2 2 3 2" xfId="18572"/>
    <cellStyle name="注释 2 4 2 2 4" xfId="18573"/>
    <cellStyle name="注释 2 4 2 3" xfId="18574"/>
    <cellStyle name="注释 2 4 2 3 2" xfId="18575"/>
    <cellStyle name="注释 2 4 2 4" xfId="18576"/>
    <cellStyle name="注释 2 4 2 4 2" xfId="18577"/>
    <cellStyle name="注释 2 4 2 5" xfId="18578"/>
    <cellStyle name="注释 2 4 3" xfId="18579"/>
    <cellStyle name="注释 2 4 3 2" xfId="18580"/>
    <cellStyle name="注释 2 4 3 2 2" xfId="18581"/>
    <cellStyle name="注释 2 4 3 3" xfId="18582"/>
    <cellStyle name="注释 2 4 3 3 2" xfId="18583"/>
    <cellStyle name="注释 2 4 3 4" xfId="18584"/>
    <cellStyle name="注释 2 4 4" xfId="18585"/>
    <cellStyle name="注释 2 4 4 2" xfId="18586"/>
    <cellStyle name="注释 2 4 5" xfId="18587"/>
    <cellStyle name="注释 2 4 5 2" xfId="18588"/>
    <cellStyle name="注释 2 4 6" xfId="18589"/>
    <cellStyle name="注释 2 5" xfId="18590"/>
    <cellStyle name="注释 2 5 2" xfId="18591"/>
    <cellStyle name="注释 2 5 2 2" xfId="18592"/>
    <cellStyle name="注释 2 5 2 2 2" xfId="18593"/>
    <cellStyle name="注释 2 5 2 2 2 2" xfId="18594"/>
    <cellStyle name="注释 2 5 2 2 3" xfId="18595"/>
    <cellStyle name="注释 2 5 2 2 3 2" xfId="18596"/>
    <cellStyle name="注释 2 5 2 2 4" xfId="18597"/>
    <cellStyle name="注释 2 5 2 3" xfId="18598"/>
    <cellStyle name="注释 2 5 2 3 2" xfId="18599"/>
    <cellStyle name="注释 2 5 2 4" xfId="18600"/>
    <cellStyle name="注释 2 5 2 4 2" xfId="18601"/>
    <cellStyle name="注释 2 5 2 5" xfId="18602"/>
    <cellStyle name="注释 2 5 3" xfId="18603"/>
    <cellStyle name="注释 2 5 3 2" xfId="18604"/>
    <cellStyle name="注释 2 5 3 2 2" xfId="18605"/>
    <cellStyle name="注释 2 5 3 2 2 2" xfId="18606"/>
    <cellStyle name="注释 2 5 3 2 3" xfId="18607"/>
    <cellStyle name="注释 2 5 3 2 3 2" xfId="18608"/>
    <cellStyle name="注释 2 5 3 2 4" xfId="18609"/>
    <cellStyle name="注释 2 5 3 3" xfId="18610"/>
    <cellStyle name="注释 2 5 3 3 2" xfId="18611"/>
    <cellStyle name="注释 2 5 3 4" xfId="18612"/>
    <cellStyle name="注释 2 5 3 4 2" xfId="18613"/>
    <cellStyle name="注释 2 5 3 5" xfId="18614"/>
    <cellStyle name="注释 2 5 4" xfId="18615"/>
    <cellStyle name="注释 2 5 4 2" xfId="18616"/>
    <cellStyle name="注释 2 5 4 2 2" xfId="18617"/>
    <cellStyle name="注释 2 5 4 3" xfId="18618"/>
    <cellStyle name="注释 2 5 4 3 2" xfId="18619"/>
    <cellStyle name="注释 2 5 4 4" xfId="18620"/>
    <cellStyle name="注释 2 5 5" xfId="18621"/>
    <cellStyle name="注释 2 5 5 2" xfId="18622"/>
    <cellStyle name="注释 2 5 6" xfId="18623"/>
    <cellStyle name="注释 2 5 6 2" xfId="18624"/>
    <cellStyle name="注释 2 5 7" xfId="18625"/>
    <cellStyle name="注释 2 6" xfId="18626"/>
    <cellStyle name="注释 2 7" xfId="18627"/>
    <cellStyle name="注释 2 7 2" xfId="18628"/>
    <cellStyle name="注释 2 7 2 2" xfId="18629"/>
    <cellStyle name="注释 2 7 3" xfId="18630"/>
    <cellStyle name="注释 2 7 3 2" xfId="18631"/>
    <cellStyle name="注释 2 7 4" xfId="18632"/>
    <cellStyle name="注释 2 8" xfId="18633"/>
    <cellStyle name="注释 2 8 2" xfId="18634"/>
    <cellStyle name="注释 2 8 2 2" xfId="18635"/>
    <cellStyle name="注释 2 8 3" xfId="18636"/>
    <cellStyle name="注释 2 8 3 2" xfId="18637"/>
    <cellStyle name="注释 2 8 4" xfId="18638"/>
    <cellStyle name="注释 2 9" xfId="18639"/>
    <cellStyle name="注释 2 9 2" xfId="18640"/>
    <cellStyle name="注释 3" xfId="18641"/>
    <cellStyle name="注释 3 10" xfId="18642"/>
    <cellStyle name="注释 3 11" xfId="18643"/>
    <cellStyle name="注释 3 2" xfId="18644"/>
    <cellStyle name="注释 3 2 10" xfId="18645"/>
    <cellStyle name="注释 3 2 10 2" xfId="18646"/>
    <cellStyle name="注释 3 2 11" xfId="18647"/>
    <cellStyle name="注释 3 2 11 2" xfId="18648"/>
    <cellStyle name="注释 3 2 12" xfId="18649"/>
    <cellStyle name="注释 3 2 13" xfId="18650"/>
    <cellStyle name="注释 3 2 2" xfId="18651"/>
    <cellStyle name="注释 3 2 2 2" xfId="18652"/>
    <cellStyle name="注释 3 2 2 2 2" xfId="18653"/>
    <cellStyle name="注释 3 2 2 2 2 2" xfId="18654"/>
    <cellStyle name="注释 3 2 2 2 2 2 2" xfId="18655"/>
    <cellStyle name="注释 3 2 2 2 2 3" xfId="18656"/>
    <cellStyle name="注释 3 2 2 2 2 3 2" xfId="18657"/>
    <cellStyle name="注释 3 2 2 2 2 4" xfId="18658"/>
    <cellStyle name="注释 3 2 2 2 3" xfId="18659"/>
    <cellStyle name="注释 3 2 2 2 3 2" xfId="18660"/>
    <cellStyle name="注释 3 2 2 2 4" xfId="18661"/>
    <cellStyle name="注释 3 2 2 2 4 2" xfId="18662"/>
    <cellStyle name="注释 3 2 2 2 5" xfId="18663"/>
    <cellStyle name="注释 3 2 2 3" xfId="18664"/>
    <cellStyle name="注释 3 2 2 3 2" xfId="18665"/>
    <cellStyle name="注释 3 2 2 3 2 2" xfId="18666"/>
    <cellStyle name="注释 3 2 2 3 3" xfId="18667"/>
    <cellStyle name="注释 3 2 2 3 3 2" xfId="18668"/>
    <cellStyle name="注释 3 2 2 3 4" xfId="18669"/>
    <cellStyle name="注释 3 2 2 4" xfId="18670"/>
    <cellStyle name="注释 3 2 2 4 2" xfId="18671"/>
    <cellStyle name="注释 3 2 2 5" xfId="18672"/>
    <cellStyle name="注释 3 2 2 5 2" xfId="18673"/>
    <cellStyle name="注释 3 2 2 6" xfId="18674"/>
    <cellStyle name="注释 3 2 3" xfId="18675"/>
    <cellStyle name="注释 3 2 3 2" xfId="18676"/>
    <cellStyle name="注释 3 2 3 2 2" xfId="18677"/>
    <cellStyle name="注释 3 2 3 2 2 2" xfId="18678"/>
    <cellStyle name="注释 3 2 3 2 2 2 2" xfId="18679"/>
    <cellStyle name="注释 3 2 3 2 2 3" xfId="18680"/>
    <cellStyle name="注释 3 2 3 2 2 3 2" xfId="18681"/>
    <cellStyle name="注释 3 2 3 2 2 4" xfId="18682"/>
    <cellStyle name="注释 3 2 3 2 3" xfId="18683"/>
    <cellStyle name="注释 3 2 3 2 3 2" xfId="18684"/>
    <cellStyle name="注释 3 2 3 2 4" xfId="18685"/>
    <cellStyle name="注释 3 2 3 2 4 2" xfId="18686"/>
    <cellStyle name="注释 3 2 3 2 5" xfId="18687"/>
    <cellStyle name="注释 3 2 3 3" xfId="18688"/>
    <cellStyle name="注释 3 2 3 3 2" xfId="18689"/>
    <cellStyle name="注释 3 2 3 3 2 2" xfId="18690"/>
    <cellStyle name="注释 3 2 3 3 2 2 2" xfId="18691"/>
    <cellStyle name="注释 3 2 3 3 2 3" xfId="18692"/>
    <cellStyle name="注释 3 2 3 3 2 3 2" xfId="18693"/>
    <cellStyle name="注释 3 2 3 3 2 4" xfId="18694"/>
    <cellStyle name="注释 3 2 3 3 3" xfId="18695"/>
    <cellStyle name="注释 3 2 3 3 3 2" xfId="18696"/>
    <cellStyle name="注释 3 2 3 3 4" xfId="18697"/>
    <cellStyle name="注释 3 2 3 3 4 2" xfId="18698"/>
    <cellStyle name="注释 3 2 3 3 5" xfId="18699"/>
    <cellStyle name="注释 3 2 3 4" xfId="18700"/>
    <cellStyle name="注释 3 2 3 4 2" xfId="18701"/>
    <cellStyle name="注释 3 2 3 4 2 2" xfId="18702"/>
    <cellStyle name="注释 3 2 3 4 3" xfId="18703"/>
    <cellStyle name="注释 3 2 3 4 3 2" xfId="18704"/>
    <cellStyle name="注释 3 2 3 4 4" xfId="18705"/>
    <cellStyle name="注释 3 2 3 5" xfId="18706"/>
    <cellStyle name="注释 3 2 3 5 2" xfId="18707"/>
    <cellStyle name="注释 3 2 3 6" xfId="18708"/>
    <cellStyle name="注释 3 2 3 6 2" xfId="18709"/>
    <cellStyle name="注释 3 2 3 7" xfId="18710"/>
    <cellStyle name="注释 3 2 4" xfId="18711"/>
    <cellStyle name="注释 3 2 4 2" xfId="18712"/>
    <cellStyle name="注释 3 2 4 2 2" xfId="18713"/>
    <cellStyle name="注释 3 2 4 2 2 2" xfId="18714"/>
    <cellStyle name="注释 3 2 4 2 2 2 2" xfId="18715"/>
    <cellStyle name="注释 3 2 4 2 2 3" xfId="18716"/>
    <cellStyle name="注释 3 2 4 2 2 3 2" xfId="18717"/>
    <cellStyle name="注释 3 2 4 2 2 4" xfId="18718"/>
    <cellStyle name="注释 3 2 4 2 3" xfId="18719"/>
    <cellStyle name="注释 3 2 4 2 3 2" xfId="18720"/>
    <cellStyle name="注释 3 2 4 2 4" xfId="18721"/>
    <cellStyle name="注释 3 2 4 2 4 2" xfId="18722"/>
    <cellStyle name="注释 3 2 4 2 5" xfId="18723"/>
    <cellStyle name="注释 3 2 4 3" xfId="18724"/>
    <cellStyle name="注释 3 2 4 3 2" xfId="18725"/>
    <cellStyle name="注释 3 2 4 3 2 2" xfId="18726"/>
    <cellStyle name="注释 3 2 4 3 2 2 2" xfId="18727"/>
    <cellStyle name="注释 3 2 4 3 2 3" xfId="18728"/>
    <cellStyle name="注释 3 2 4 3 2 3 2" xfId="18729"/>
    <cellStyle name="注释 3 2 4 3 2 4" xfId="18730"/>
    <cellStyle name="注释 3 2 4 3 3" xfId="18731"/>
    <cellStyle name="注释 3 2 4 3 3 2" xfId="18732"/>
    <cellStyle name="注释 3 2 4 3 4" xfId="18733"/>
    <cellStyle name="注释 3 2 4 3 4 2" xfId="18734"/>
    <cellStyle name="注释 3 2 4 3 5" xfId="18735"/>
    <cellStyle name="注释 3 2 4 4" xfId="18736"/>
    <cellStyle name="注释 3 2 4 4 2" xfId="18737"/>
    <cellStyle name="注释 3 2 4 4 2 2" xfId="18738"/>
    <cellStyle name="注释 3 2 4 4 3" xfId="18739"/>
    <cellStyle name="注释 3 2 4 4 3 2" xfId="18740"/>
    <cellStyle name="注释 3 2 4 4 4" xfId="18741"/>
    <cellStyle name="注释 3 2 4 5" xfId="18742"/>
    <cellStyle name="注释 3 2 4 5 2" xfId="18743"/>
    <cellStyle name="注释 3 2 4 6" xfId="18744"/>
    <cellStyle name="注释 3 2 4 6 2" xfId="18745"/>
    <cellStyle name="注释 3 2 4 7" xfId="18746"/>
    <cellStyle name="注释 3 2 5" xfId="18747"/>
    <cellStyle name="注释 3 2 5 2" xfId="18748"/>
    <cellStyle name="注释 3 2 5 2 2" xfId="18749"/>
    <cellStyle name="注释 3 2 5 2 2 2" xfId="18750"/>
    <cellStyle name="注释 3 2 5 2 3" xfId="18751"/>
    <cellStyle name="注释 3 2 5 2 3 2" xfId="18752"/>
    <cellStyle name="注释 3 2 5 2 4" xfId="18753"/>
    <cellStyle name="注释 3 2 5 3" xfId="18754"/>
    <cellStyle name="注释 3 2 5 3 2" xfId="18755"/>
    <cellStyle name="注释 3 2 5 4" xfId="18756"/>
    <cellStyle name="注释 3 2 5 4 2" xfId="18757"/>
    <cellStyle name="注释 3 2 5 5" xfId="18758"/>
    <cellStyle name="注释 3 2 6" xfId="18759"/>
    <cellStyle name="注释 3 2 7" xfId="18760"/>
    <cellStyle name="注释 3 2 7 2" xfId="18761"/>
    <cellStyle name="注释 3 2 7 2 2" xfId="18762"/>
    <cellStyle name="注释 3 2 7 3" xfId="18763"/>
    <cellStyle name="注释 3 2 7 3 2" xfId="18764"/>
    <cellStyle name="注释 3 2 7 4" xfId="18765"/>
    <cellStyle name="注释 3 2 8" xfId="18766"/>
    <cellStyle name="注释 3 2 8 2" xfId="18767"/>
    <cellStyle name="注释 3 2 8 2 2" xfId="18768"/>
    <cellStyle name="注释 3 2 8 3" xfId="18769"/>
    <cellStyle name="注释 3 2 8 3 2" xfId="18770"/>
    <cellStyle name="注释 3 2 8 4" xfId="18771"/>
    <cellStyle name="注释 3 2 9" xfId="18772"/>
    <cellStyle name="注释 3 2 9 2" xfId="18773"/>
    <cellStyle name="注释 3 3" xfId="18774"/>
    <cellStyle name="注释 3 3 2" xfId="18775"/>
    <cellStyle name="注释 3 3 2 2" xfId="18776"/>
    <cellStyle name="注释 3 3 2 2 2" xfId="18777"/>
    <cellStyle name="注释 3 3 2 2 2 2" xfId="18778"/>
    <cellStyle name="注释 3 3 2 2 3" xfId="18779"/>
    <cellStyle name="注释 3 3 2 2 3 2" xfId="18780"/>
    <cellStyle name="注释 3 3 2 2 4" xfId="18781"/>
    <cellStyle name="注释 3 3 2 3" xfId="18782"/>
    <cellStyle name="注释 3 3 2 3 2" xfId="18783"/>
    <cellStyle name="注释 3 3 2 4" xfId="18784"/>
    <cellStyle name="注释 3 3 2 4 2" xfId="18785"/>
    <cellStyle name="注释 3 3 2 5" xfId="18786"/>
    <cellStyle name="注释 3 3 3" xfId="18787"/>
    <cellStyle name="注释 3 3 3 2" xfId="18788"/>
    <cellStyle name="注释 3 3 3 2 2" xfId="18789"/>
    <cellStyle name="注释 3 3 3 3" xfId="18790"/>
    <cellStyle name="注释 3 3 3 3 2" xfId="18791"/>
    <cellStyle name="注释 3 3 3 4" xfId="18792"/>
    <cellStyle name="注释 3 3 4" xfId="18793"/>
    <cellStyle name="注释 3 3 4 2" xfId="18794"/>
    <cellStyle name="注释 3 3 5" xfId="18795"/>
    <cellStyle name="注释 3 3 5 2" xfId="18796"/>
    <cellStyle name="注释 3 3 6" xfId="18797"/>
    <cellStyle name="注释 3 4" xfId="18798"/>
    <cellStyle name="注释 3 4 2" xfId="18799"/>
    <cellStyle name="注释 3 4 2 2" xfId="18800"/>
    <cellStyle name="注释 3 4 2 2 2" xfId="18801"/>
    <cellStyle name="注释 3 4 2 2 2 2" xfId="18802"/>
    <cellStyle name="注释 3 4 2 2 3" xfId="18803"/>
    <cellStyle name="注释 3 4 2 2 3 2" xfId="18804"/>
    <cellStyle name="注释 3 4 2 2 4" xfId="18805"/>
    <cellStyle name="注释 3 4 2 3" xfId="18806"/>
    <cellStyle name="注释 3 4 2 3 2" xfId="18807"/>
    <cellStyle name="注释 3 4 2 4" xfId="18808"/>
    <cellStyle name="注释 3 4 2 4 2" xfId="18809"/>
    <cellStyle name="注释 3 4 2 5" xfId="18810"/>
    <cellStyle name="注释 3 4 3" xfId="18811"/>
    <cellStyle name="注释 3 4 3 2" xfId="18812"/>
    <cellStyle name="注释 3 4 3 2 2" xfId="18813"/>
    <cellStyle name="注释 3 4 3 2 2 2" xfId="18814"/>
    <cellStyle name="注释 3 4 3 2 3" xfId="18815"/>
    <cellStyle name="注释 3 4 3 2 3 2" xfId="18816"/>
    <cellStyle name="注释 3 4 3 2 4" xfId="18817"/>
    <cellStyle name="注释 3 4 3 3" xfId="18818"/>
    <cellStyle name="注释 3 4 3 3 2" xfId="18819"/>
    <cellStyle name="注释 3 4 3 4" xfId="18820"/>
    <cellStyle name="注释 3 4 3 4 2" xfId="18821"/>
    <cellStyle name="注释 3 4 3 5" xfId="18822"/>
    <cellStyle name="注释 3 4 4" xfId="18823"/>
    <cellStyle name="注释 3 4 4 2" xfId="18824"/>
    <cellStyle name="注释 3 4 4 2 2" xfId="18825"/>
    <cellStyle name="注释 3 4 4 3" xfId="18826"/>
    <cellStyle name="注释 3 4 4 3 2" xfId="18827"/>
    <cellStyle name="注释 3 4 4 4" xfId="18828"/>
    <cellStyle name="注释 3 4 5" xfId="18829"/>
    <cellStyle name="注释 3 4 5 2" xfId="18830"/>
    <cellStyle name="注释 3 4 6" xfId="18831"/>
    <cellStyle name="注释 3 4 6 2" xfId="18832"/>
    <cellStyle name="注释 3 4 7" xfId="18833"/>
    <cellStyle name="注释 3 5" xfId="18834"/>
    <cellStyle name="注释 3 6" xfId="18835"/>
    <cellStyle name="注释 3 6 2" xfId="18836"/>
    <cellStyle name="注释 3 6 2 2" xfId="18837"/>
    <cellStyle name="注释 3 6 3" xfId="18838"/>
    <cellStyle name="注释 3 6 3 2" xfId="18839"/>
    <cellStyle name="注释 3 6 4" xfId="18840"/>
    <cellStyle name="注释 3 7" xfId="18841"/>
    <cellStyle name="注释 3 7 2" xfId="18842"/>
    <cellStyle name="注释 3 7 2 2" xfId="18843"/>
    <cellStyle name="注释 3 7 3" xfId="18844"/>
    <cellStyle name="注释 3 7 3 2" xfId="18845"/>
    <cellStyle name="注释 3 7 4" xfId="18846"/>
    <cellStyle name="注释 3 8" xfId="18847"/>
    <cellStyle name="注释 3 8 2" xfId="18848"/>
    <cellStyle name="注释 3 9" xfId="18849"/>
    <cellStyle name="注释 3 9 2" xfId="18850"/>
    <cellStyle name="注释 4" xfId="18851"/>
    <cellStyle name="注释 4 10" xfId="18852"/>
    <cellStyle name="注释 4 11" xfId="18853"/>
    <cellStyle name="注释 4 2" xfId="18854"/>
    <cellStyle name="注释 4 2 10" xfId="18855"/>
    <cellStyle name="注释 4 2 10 2" xfId="18856"/>
    <cellStyle name="注释 4 2 11" xfId="18857"/>
    <cellStyle name="注释 4 2 11 2" xfId="18858"/>
    <cellStyle name="注释 4 2 12" xfId="18859"/>
    <cellStyle name="注释 4 2 13" xfId="18860"/>
    <cellStyle name="注释 4 2 2" xfId="18861"/>
    <cellStyle name="注释 4 2 2 2" xfId="18862"/>
    <cellStyle name="注释 4 2 2 2 2" xfId="18863"/>
    <cellStyle name="注释 4 2 2 2 2 2" xfId="18864"/>
    <cellStyle name="注释 4 2 2 2 2 2 2" xfId="18865"/>
    <cellStyle name="注释 4 2 2 2 2 3" xfId="18866"/>
    <cellStyle name="注释 4 2 2 2 2 3 2" xfId="18867"/>
    <cellStyle name="注释 4 2 2 2 2 4" xfId="18868"/>
    <cellStyle name="注释 4 2 2 2 3" xfId="18869"/>
    <cellStyle name="注释 4 2 2 2 3 2" xfId="18870"/>
    <cellStyle name="注释 4 2 2 2 4" xfId="18871"/>
    <cellStyle name="注释 4 2 2 2 4 2" xfId="18872"/>
    <cellStyle name="注释 4 2 2 2 5" xfId="18873"/>
    <cellStyle name="注释 4 2 2 3" xfId="18874"/>
    <cellStyle name="注释 4 2 2 3 2" xfId="18875"/>
    <cellStyle name="注释 4 2 2 3 2 2" xfId="18876"/>
    <cellStyle name="注释 4 2 2 3 3" xfId="18877"/>
    <cellStyle name="注释 4 2 2 3 3 2" xfId="18878"/>
    <cellStyle name="注释 4 2 2 3 4" xfId="18879"/>
    <cellStyle name="注释 4 2 2 4" xfId="18880"/>
    <cellStyle name="注释 4 2 2 4 2" xfId="18881"/>
    <cellStyle name="注释 4 2 2 5" xfId="18882"/>
    <cellStyle name="注释 4 2 2 5 2" xfId="18883"/>
    <cellStyle name="注释 4 2 2 6" xfId="18884"/>
    <cellStyle name="注释 4 2 3" xfId="18885"/>
    <cellStyle name="注释 4 2 3 2" xfId="18886"/>
    <cellStyle name="注释 4 2 3 2 2" xfId="18887"/>
    <cellStyle name="注释 4 2 3 2 2 2" xfId="18888"/>
    <cellStyle name="注释 4 2 3 2 2 2 2" xfId="18889"/>
    <cellStyle name="注释 4 2 3 2 2 3" xfId="18890"/>
    <cellStyle name="注释 4 2 3 2 2 3 2" xfId="18891"/>
    <cellStyle name="注释 4 2 3 2 2 4" xfId="18892"/>
    <cellStyle name="注释 4 2 3 2 3" xfId="18893"/>
    <cellStyle name="注释 4 2 3 2 3 2" xfId="18894"/>
    <cellStyle name="注释 4 2 3 2 4" xfId="18895"/>
    <cellStyle name="注释 4 2 3 2 4 2" xfId="18896"/>
    <cellStyle name="注释 4 2 3 2 5" xfId="18897"/>
    <cellStyle name="注释 4 2 3 3" xfId="18898"/>
    <cellStyle name="注释 4 2 3 3 2" xfId="18899"/>
    <cellStyle name="注释 4 2 3 3 2 2" xfId="18900"/>
    <cellStyle name="注释 4 2 3 3 2 2 2" xfId="18901"/>
    <cellStyle name="注释 4 2 3 3 2 3" xfId="18902"/>
    <cellStyle name="注释 4 2 3 3 2 3 2" xfId="18903"/>
    <cellStyle name="注释 4 2 3 3 2 4" xfId="18904"/>
    <cellStyle name="注释 4 2 3 3 3" xfId="18905"/>
    <cellStyle name="注释 4 2 3 3 3 2" xfId="18906"/>
    <cellStyle name="注释 4 2 3 3 4" xfId="18907"/>
    <cellStyle name="注释 4 2 3 3 4 2" xfId="18908"/>
    <cellStyle name="注释 4 2 3 3 5" xfId="18909"/>
    <cellStyle name="注释 4 2 3 4" xfId="18910"/>
    <cellStyle name="注释 4 2 3 4 2" xfId="18911"/>
    <cellStyle name="注释 4 2 3 4 2 2" xfId="18912"/>
    <cellStyle name="注释 4 2 3 4 3" xfId="18913"/>
    <cellStyle name="注释 4 2 3 4 3 2" xfId="18914"/>
    <cellStyle name="注释 4 2 3 4 4" xfId="18915"/>
    <cellStyle name="注释 4 2 3 5" xfId="18916"/>
    <cellStyle name="注释 4 2 3 5 2" xfId="18917"/>
    <cellStyle name="注释 4 2 3 6" xfId="18918"/>
    <cellStyle name="注释 4 2 3 6 2" xfId="18919"/>
    <cellStyle name="注释 4 2 3 7" xfId="18920"/>
    <cellStyle name="注释 4 2 4" xfId="18921"/>
    <cellStyle name="注释 4 2 4 2" xfId="18922"/>
    <cellStyle name="注释 4 2 4 2 2" xfId="18923"/>
    <cellStyle name="注释 4 2 4 2 2 2" xfId="18924"/>
    <cellStyle name="注释 4 2 4 2 2 2 2" xfId="18925"/>
    <cellStyle name="注释 4 2 4 2 2 3" xfId="18926"/>
    <cellStyle name="注释 4 2 4 2 2 3 2" xfId="18927"/>
    <cellStyle name="注释 4 2 4 2 2 4" xfId="18928"/>
    <cellStyle name="注释 4 2 4 2 3" xfId="18929"/>
    <cellStyle name="注释 4 2 4 2 3 2" xfId="18930"/>
    <cellStyle name="注释 4 2 4 2 4" xfId="18931"/>
    <cellStyle name="注释 4 2 4 2 4 2" xfId="18932"/>
    <cellStyle name="注释 4 2 4 2 5" xfId="18933"/>
    <cellStyle name="注释 4 2 4 3" xfId="18934"/>
    <cellStyle name="注释 4 2 4 3 2" xfId="18935"/>
    <cellStyle name="注释 4 2 4 3 2 2" xfId="18936"/>
    <cellStyle name="注释 4 2 4 3 2 2 2" xfId="18937"/>
    <cellStyle name="注释 4 2 4 3 2 3" xfId="18938"/>
    <cellStyle name="注释 4 2 4 3 2 3 2" xfId="18939"/>
    <cellStyle name="注释 4 2 4 3 2 4" xfId="18940"/>
    <cellStyle name="注释 4 2 4 3 3" xfId="18941"/>
    <cellStyle name="注释 4 2 4 3 3 2" xfId="18942"/>
    <cellStyle name="注释 4 2 4 3 4" xfId="18943"/>
    <cellStyle name="注释 4 2 4 3 4 2" xfId="18944"/>
    <cellStyle name="注释 4 2 4 3 5" xfId="18945"/>
    <cellStyle name="注释 4 2 4 4" xfId="18946"/>
    <cellStyle name="注释 4 2 4 4 2" xfId="18947"/>
    <cellStyle name="注释 4 2 4 4 2 2" xfId="18948"/>
    <cellStyle name="注释 4 2 4 4 3" xfId="18949"/>
    <cellStyle name="注释 4 2 4 4 3 2" xfId="18950"/>
    <cellStyle name="注释 4 2 4 4 4" xfId="18951"/>
    <cellStyle name="注释 4 2 4 5" xfId="18952"/>
    <cellStyle name="注释 4 2 4 5 2" xfId="18953"/>
    <cellStyle name="注释 4 2 4 6" xfId="18954"/>
    <cellStyle name="注释 4 2 4 6 2" xfId="18955"/>
    <cellStyle name="注释 4 2 4 7" xfId="18956"/>
    <cellStyle name="注释 4 2 5" xfId="18957"/>
    <cellStyle name="注释 4 2 5 2" xfId="18958"/>
    <cellStyle name="注释 4 2 5 2 2" xfId="18959"/>
    <cellStyle name="注释 4 2 5 2 2 2" xfId="18960"/>
    <cellStyle name="注释 4 2 5 2 3" xfId="18961"/>
    <cellStyle name="注释 4 2 5 2 3 2" xfId="18962"/>
    <cellStyle name="注释 4 2 5 2 4" xfId="18963"/>
    <cellStyle name="注释 4 2 5 3" xfId="18964"/>
    <cellStyle name="注释 4 2 5 3 2" xfId="18965"/>
    <cellStyle name="注释 4 2 5 4" xfId="18966"/>
    <cellStyle name="注释 4 2 5 4 2" xfId="18967"/>
    <cellStyle name="注释 4 2 5 5" xfId="18968"/>
    <cellStyle name="注释 4 2 6" xfId="18969"/>
    <cellStyle name="注释 4 2 7" xfId="18970"/>
    <cellStyle name="注释 4 2 7 2" xfId="18971"/>
    <cellStyle name="注释 4 2 7 2 2" xfId="18972"/>
    <cellStyle name="注释 4 2 7 3" xfId="18973"/>
    <cellStyle name="注释 4 2 7 3 2" xfId="18974"/>
    <cellStyle name="注释 4 2 7 4" xfId="18975"/>
    <cellStyle name="注释 4 2 8" xfId="18976"/>
    <cellStyle name="注释 4 2 8 2" xfId="18977"/>
    <cellStyle name="注释 4 2 8 2 2" xfId="18978"/>
    <cellStyle name="注释 4 2 8 3" xfId="18979"/>
    <cellStyle name="注释 4 2 8 3 2" xfId="18980"/>
    <cellStyle name="注释 4 2 8 4" xfId="18981"/>
    <cellStyle name="注释 4 2 9" xfId="18982"/>
    <cellStyle name="注释 4 2 9 2" xfId="18983"/>
    <cellStyle name="注释 4 3" xfId="18984"/>
    <cellStyle name="注释 4 3 2" xfId="18985"/>
    <cellStyle name="注释 4 3 2 2" xfId="18986"/>
    <cellStyle name="注释 4 3 2 2 2" xfId="18987"/>
    <cellStyle name="注释 4 3 2 2 2 2" xfId="18988"/>
    <cellStyle name="注释 4 3 2 2 3" xfId="18989"/>
    <cellStyle name="注释 4 3 2 2 3 2" xfId="18990"/>
    <cellStyle name="注释 4 3 2 2 4" xfId="18991"/>
    <cellStyle name="注释 4 3 2 3" xfId="18992"/>
    <cellStyle name="注释 4 3 2 3 2" xfId="18993"/>
    <cellStyle name="注释 4 3 2 4" xfId="18994"/>
    <cellStyle name="注释 4 3 2 4 2" xfId="18995"/>
    <cellStyle name="注释 4 3 2 5" xfId="18996"/>
    <cellStyle name="注释 4 3 3" xfId="18997"/>
    <cellStyle name="注释 4 3 3 2" xfId="18998"/>
    <cellStyle name="注释 4 3 3 2 2" xfId="18999"/>
    <cellStyle name="注释 4 3 3 3" xfId="19000"/>
    <cellStyle name="注释 4 3 3 3 2" xfId="19001"/>
    <cellStyle name="注释 4 3 3 4" xfId="19002"/>
    <cellStyle name="注释 4 3 4" xfId="19003"/>
    <cellStyle name="注释 4 3 4 2" xfId="19004"/>
    <cellStyle name="注释 4 3 5" xfId="19005"/>
    <cellStyle name="注释 4 3 5 2" xfId="19006"/>
    <cellStyle name="注释 4 3 6" xfId="19007"/>
    <cellStyle name="注释 4 4" xfId="19008"/>
    <cellStyle name="注释 4 4 2" xfId="19009"/>
    <cellStyle name="注释 4 4 2 2" xfId="19010"/>
    <cellStyle name="注释 4 4 2 2 2" xfId="19011"/>
    <cellStyle name="注释 4 4 2 2 2 2" xfId="19012"/>
    <cellStyle name="注释 4 4 2 2 3" xfId="19013"/>
    <cellStyle name="注释 4 4 2 2 3 2" xfId="19014"/>
    <cellStyle name="注释 4 4 2 2 4" xfId="19015"/>
    <cellStyle name="注释 4 4 2 3" xfId="19016"/>
    <cellStyle name="注释 4 4 2 3 2" xfId="19017"/>
    <cellStyle name="注释 4 4 2 4" xfId="19018"/>
    <cellStyle name="注释 4 4 2 4 2" xfId="19019"/>
    <cellStyle name="注释 4 4 2 5" xfId="19020"/>
    <cellStyle name="注释 4 4 3" xfId="19021"/>
    <cellStyle name="注释 4 4 3 2" xfId="19022"/>
    <cellStyle name="注释 4 4 3 2 2" xfId="19023"/>
    <cellStyle name="注释 4 4 3 2 2 2" xfId="19024"/>
    <cellStyle name="注释 4 4 3 2 3" xfId="19025"/>
    <cellStyle name="注释 4 4 3 2 3 2" xfId="19026"/>
    <cellStyle name="注释 4 4 3 2 4" xfId="19027"/>
    <cellStyle name="注释 4 4 3 3" xfId="19028"/>
    <cellStyle name="注释 4 4 3 3 2" xfId="19029"/>
    <cellStyle name="注释 4 4 3 4" xfId="19030"/>
    <cellStyle name="注释 4 4 3 4 2" xfId="19031"/>
    <cellStyle name="注释 4 4 3 5" xfId="19032"/>
    <cellStyle name="注释 4 4 4" xfId="19033"/>
    <cellStyle name="注释 4 4 4 2" xfId="19034"/>
    <cellStyle name="注释 4 4 4 2 2" xfId="19035"/>
    <cellStyle name="注释 4 4 4 3" xfId="19036"/>
    <cellStyle name="注释 4 4 4 3 2" xfId="19037"/>
    <cellStyle name="注释 4 4 4 4" xfId="19038"/>
    <cellStyle name="注释 4 4 5" xfId="19039"/>
    <cellStyle name="注释 4 4 5 2" xfId="19040"/>
    <cellStyle name="注释 4 4 6" xfId="19041"/>
    <cellStyle name="注释 4 4 6 2" xfId="19042"/>
    <cellStyle name="注释 4 4 7" xfId="19043"/>
    <cellStyle name="注释 4 5" xfId="19044"/>
    <cellStyle name="注释 4 6" xfId="19045"/>
    <cellStyle name="注释 4 6 2" xfId="19046"/>
    <cellStyle name="注释 4 6 2 2" xfId="19047"/>
    <cellStyle name="注释 4 6 3" xfId="19048"/>
    <cellStyle name="注释 4 6 3 2" xfId="19049"/>
    <cellStyle name="注释 4 6 4" xfId="19050"/>
    <cellStyle name="注释 4 7" xfId="19051"/>
    <cellStyle name="注释 4 7 2" xfId="19052"/>
    <cellStyle name="注释 4 7 2 2" xfId="19053"/>
    <cellStyle name="注释 4 7 3" xfId="19054"/>
    <cellStyle name="注释 4 7 3 2" xfId="19055"/>
    <cellStyle name="注释 4 7 4" xfId="19056"/>
    <cellStyle name="注释 4 8" xfId="19057"/>
    <cellStyle name="注释 4 8 2" xfId="19058"/>
    <cellStyle name="注释 4 9" xfId="19059"/>
    <cellStyle name="注释 4 9 2" xfId="19060"/>
    <cellStyle name="注释 5" xfId="19061"/>
    <cellStyle name="注释 5 10" xfId="19062"/>
    <cellStyle name="注释 5 11" xfId="19063"/>
    <cellStyle name="注释 5 2" xfId="19064"/>
    <cellStyle name="注释 5 2 10" xfId="19065"/>
    <cellStyle name="注释 5 2 10 2" xfId="19066"/>
    <cellStyle name="注释 5 2 11" xfId="19067"/>
    <cellStyle name="注释 5 2 11 2" xfId="19068"/>
    <cellStyle name="注释 5 2 12" xfId="19069"/>
    <cellStyle name="注释 5 2 13" xfId="19070"/>
    <cellStyle name="注释 5 2 2" xfId="19071"/>
    <cellStyle name="注释 5 2 2 2" xfId="19072"/>
    <cellStyle name="注释 5 2 2 2 2" xfId="19073"/>
    <cellStyle name="注释 5 2 2 2 2 2" xfId="19074"/>
    <cellStyle name="注释 5 2 2 2 2 2 2" xfId="19075"/>
    <cellStyle name="注释 5 2 2 2 2 3" xfId="19076"/>
    <cellStyle name="注释 5 2 2 2 2 3 2" xfId="19077"/>
    <cellStyle name="注释 5 2 2 2 2 4" xfId="19078"/>
    <cellStyle name="注释 5 2 2 2 3" xfId="19079"/>
    <cellStyle name="注释 5 2 2 2 3 2" xfId="19080"/>
    <cellStyle name="注释 5 2 2 2 4" xfId="19081"/>
    <cellStyle name="注释 5 2 2 2 4 2" xfId="19082"/>
    <cellStyle name="注释 5 2 2 2 5" xfId="19083"/>
    <cellStyle name="注释 5 2 2 3" xfId="19084"/>
    <cellStyle name="注释 5 2 2 3 2" xfId="19085"/>
    <cellStyle name="注释 5 2 2 3 2 2" xfId="19086"/>
    <cellStyle name="注释 5 2 2 3 3" xfId="19087"/>
    <cellStyle name="注释 5 2 2 3 3 2" xfId="19088"/>
    <cellStyle name="注释 5 2 2 3 4" xfId="19089"/>
    <cellStyle name="注释 5 2 2 4" xfId="19090"/>
    <cellStyle name="注释 5 2 2 4 2" xfId="19091"/>
    <cellStyle name="注释 5 2 2 5" xfId="19092"/>
    <cellStyle name="注释 5 2 2 5 2" xfId="19093"/>
    <cellStyle name="注释 5 2 2 6" xfId="19094"/>
    <cellStyle name="注释 5 2 3" xfId="19095"/>
    <cellStyle name="注释 5 2 3 2" xfId="19096"/>
    <cellStyle name="注释 5 2 3 2 2" xfId="19097"/>
    <cellStyle name="注释 5 2 3 2 2 2" xfId="19098"/>
    <cellStyle name="注释 5 2 3 2 2 2 2" xfId="19099"/>
    <cellStyle name="注释 5 2 3 2 2 3" xfId="19100"/>
    <cellStyle name="注释 5 2 3 2 2 3 2" xfId="19101"/>
    <cellStyle name="注释 5 2 3 2 2 4" xfId="19102"/>
    <cellStyle name="注释 5 2 3 2 3" xfId="19103"/>
    <cellStyle name="注释 5 2 3 2 3 2" xfId="19104"/>
    <cellStyle name="注释 5 2 3 2 4" xfId="19105"/>
    <cellStyle name="注释 5 2 3 2 4 2" xfId="19106"/>
    <cellStyle name="注释 5 2 3 2 5" xfId="19107"/>
    <cellStyle name="注释 5 2 3 3" xfId="19108"/>
    <cellStyle name="注释 5 2 3 3 2" xfId="19109"/>
    <cellStyle name="注释 5 2 3 3 2 2" xfId="19110"/>
    <cellStyle name="注释 5 2 3 3 2 2 2" xfId="19111"/>
    <cellStyle name="注释 5 2 3 3 2 3" xfId="19112"/>
    <cellStyle name="注释 5 2 3 3 2 3 2" xfId="19113"/>
    <cellStyle name="注释 5 2 3 3 2 4" xfId="19114"/>
    <cellStyle name="注释 5 2 3 3 3" xfId="19115"/>
    <cellStyle name="注释 5 2 3 3 3 2" xfId="19116"/>
    <cellStyle name="注释 5 2 3 3 4" xfId="19117"/>
    <cellStyle name="注释 5 2 3 3 4 2" xfId="19118"/>
    <cellStyle name="注释 5 2 3 3 5" xfId="19119"/>
    <cellStyle name="注释 5 2 3 4" xfId="19120"/>
    <cellStyle name="注释 5 2 3 4 2" xfId="19121"/>
    <cellStyle name="注释 5 2 3 4 2 2" xfId="19122"/>
    <cellStyle name="注释 5 2 3 4 3" xfId="19123"/>
    <cellStyle name="注释 5 2 3 4 3 2" xfId="19124"/>
    <cellStyle name="注释 5 2 3 4 4" xfId="19125"/>
    <cellStyle name="注释 5 2 3 5" xfId="19126"/>
    <cellStyle name="注释 5 2 3 5 2" xfId="19127"/>
    <cellStyle name="注释 5 2 3 6" xfId="19128"/>
    <cellStyle name="注释 5 2 3 6 2" xfId="19129"/>
    <cellStyle name="注释 5 2 3 7" xfId="19130"/>
    <cellStyle name="注释 5 2 4" xfId="19131"/>
    <cellStyle name="注释 5 2 4 2" xfId="19132"/>
    <cellStyle name="注释 5 2 4 2 2" xfId="19133"/>
    <cellStyle name="注释 5 2 4 2 2 2" xfId="19134"/>
    <cellStyle name="注释 5 2 4 2 2 2 2" xfId="19135"/>
    <cellStyle name="注释 5 2 4 2 2 3" xfId="19136"/>
    <cellStyle name="注释 5 2 4 2 2 3 2" xfId="19137"/>
    <cellStyle name="注释 5 2 4 2 2 4" xfId="19138"/>
    <cellStyle name="注释 5 2 4 2 3" xfId="19139"/>
    <cellStyle name="注释 5 2 4 2 3 2" xfId="19140"/>
    <cellStyle name="注释 5 2 4 2 4" xfId="19141"/>
    <cellStyle name="注释 5 2 4 2 4 2" xfId="19142"/>
    <cellStyle name="注释 5 2 4 2 5" xfId="19143"/>
    <cellStyle name="注释 5 2 4 3" xfId="19144"/>
    <cellStyle name="注释 5 2 4 3 2" xfId="19145"/>
    <cellStyle name="注释 5 2 4 3 2 2" xfId="19146"/>
    <cellStyle name="注释 5 2 4 3 2 2 2" xfId="19147"/>
    <cellStyle name="注释 5 2 4 3 2 3" xfId="19148"/>
    <cellStyle name="注释 5 2 4 3 2 3 2" xfId="19149"/>
    <cellStyle name="注释 5 2 4 3 2 4" xfId="19150"/>
    <cellStyle name="注释 5 2 4 3 3" xfId="19151"/>
    <cellStyle name="注释 5 2 4 3 3 2" xfId="19152"/>
    <cellStyle name="注释 5 2 4 3 4" xfId="19153"/>
    <cellStyle name="注释 5 2 4 3 4 2" xfId="19154"/>
    <cellStyle name="注释 5 2 4 3 5" xfId="19155"/>
    <cellStyle name="注释 5 2 4 4" xfId="19156"/>
    <cellStyle name="注释 5 2 4 4 2" xfId="19157"/>
    <cellStyle name="注释 5 2 4 4 2 2" xfId="19158"/>
    <cellStyle name="注释 5 2 4 4 3" xfId="19159"/>
    <cellStyle name="注释 5 2 4 4 3 2" xfId="19160"/>
    <cellStyle name="注释 5 2 4 4 4" xfId="19161"/>
    <cellStyle name="注释 5 2 4 5" xfId="19162"/>
    <cellStyle name="注释 5 2 4 5 2" xfId="19163"/>
    <cellStyle name="注释 5 2 4 6" xfId="19164"/>
    <cellStyle name="注释 5 2 4 6 2" xfId="19165"/>
    <cellStyle name="注释 5 2 4 7" xfId="19166"/>
    <cellStyle name="注释 5 2 5" xfId="19167"/>
    <cellStyle name="注释 5 2 5 2" xfId="19168"/>
    <cellStyle name="注释 5 2 5 2 2" xfId="19169"/>
    <cellStyle name="注释 5 2 5 2 2 2" xfId="19170"/>
    <cellStyle name="注释 5 2 5 2 3" xfId="19171"/>
    <cellStyle name="注释 5 2 5 2 3 2" xfId="19172"/>
    <cellStyle name="注释 5 2 5 2 4" xfId="19173"/>
    <cellStyle name="注释 5 2 5 3" xfId="19174"/>
    <cellStyle name="注释 5 2 5 3 2" xfId="19175"/>
    <cellStyle name="注释 5 2 5 4" xfId="19176"/>
    <cellStyle name="注释 5 2 5 4 2" xfId="19177"/>
    <cellStyle name="注释 5 2 5 5" xfId="19178"/>
    <cellStyle name="注释 5 2 6" xfId="19179"/>
    <cellStyle name="注释 5 2 7" xfId="19180"/>
    <cellStyle name="注释 5 2 7 2" xfId="19181"/>
    <cellStyle name="注释 5 2 7 2 2" xfId="19182"/>
    <cellStyle name="注释 5 2 7 3" xfId="19183"/>
    <cellStyle name="注释 5 2 7 3 2" xfId="19184"/>
    <cellStyle name="注释 5 2 7 4" xfId="19185"/>
    <cellStyle name="注释 5 2 8" xfId="19186"/>
    <cellStyle name="注释 5 2 8 2" xfId="19187"/>
    <cellStyle name="注释 5 2 8 2 2" xfId="19188"/>
    <cellStyle name="注释 5 2 8 3" xfId="19189"/>
    <cellStyle name="注释 5 2 8 3 2" xfId="19190"/>
    <cellStyle name="注释 5 2 8 4" xfId="19191"/>
    <cellStyle name="注释 5 2 9" xfId="19192"/>
    <cellStyle name="注释 5 2 9 2" xfId="19193"/>
    <cellStyle name="注释 5 3" xfId="19194"/>
    <cellStyle name="注释 5 3 2" xfId="19195"/>
    <cellStyle name="注释 5 3 2 2" xfId="19196"/>
    <cellStyle name="注释 5 3 2 2 2" xfId="19197"/>
    <cellStyle name="注释 5 3 2 2 2 2" xfId="19198"/>
    <cellStyle name="注释 5 3 2 2 3" xfId="19199"/>
    <cellStyle name="注释 5 3 2 2 3 2" xfId="19200"/>
    <cellStyle name="注释 5 3 2 2 4" xfId="19201"/>
    <cellStyle name="注释 5 3 2 3" xfId="19202"/>
    <cellStyle name="注释 5 3 2 3 2" xfId="19203"/>
    <cellStyle name="注释 5 3 2 4" xfId="19204"/>
    <cellStyle name="注释 5 3 2 4 2" xfId="19205"/>
    <cellStyle name="注释 5 3 2 5" xfId="19206"/>
    <cellStyle name="注释 5 3 3" xfId="19207"/>
    <cellStyle name="注释 5 3 3 2" xfId="19208"/>
    <cellStyle name="注释 5 3 3 2 2" xfId="19209"/>
    <cellStyle name="注释 5 3 3 3" xfId="19210"/>
    <cellStyle name="注释 5 3 3 3 2" xfId="19211"/>
    <cellStyle name="注释 5 3 3 4" xfId="19212"/>
    <cellStyle name="注释 5 3 4" xfId="19213"/>
    <cellStyle name="注释 5 3 4 2" xfId="19214"/>
    <cellStyle name="注释 5 3 5" xfId="19215"/>
    <cellStyle name="注释 5 3 5 2" xfId="19216"/>
    <cellStyle name="注释 5 3 6" xfId="19217"/>
    <cellStyle name="注释 5 4" xfId="19218"/>
    <cellStyle name="注释 5 4 2" xfId="19219"/>
    <cellStyle name="注释 5 4 2 2" xfId="19220"/>
    <cellStyle name="注释 5 4 2 2 2" xfId="19221"/>
    <cellStyle name="注释 5 4 2 2 2 2" xfId="19222"/>
    <cellStyle name="注释 5 4 2 2 3" xfId="19223"/>
    <cellStyle name="注释 5 4 2 2 3 2" xfId="19224"/>
    <cellStyle name="注释 5 4 2 2 4" xfId="19225"/>
    <cellStyle name="注释 5 4 2 3" xfId="19226"/>
    <cellStyle name="注释 5 4 2 3 2" xfId="19227"/>
    <cellStyle name="注释 5 4 2 4" xfId="19228"/>
    <cellStyle name="注释 5 4 2 4 2" xfId="19229"/>
    <cellStyle name="注释 5 4 2 5" xfId="19230"/>
    <cellStyle name="注释 5 4 3" xfId="19231"/>
    <cellStyle name="注释 5 4 3 2" xfId="19232"/>
    <cellStyle name="注释 5 4 3 2 2" xfId="19233"/>
    <cellStyle name="注释 5 4 3 2 2 2" xfId="19234"/>
    <cellStyle name="注释 5 4 3 2 3" xfId="19235"/>
    <cellStyle name="注释 5 4 3 2 3 2" xfId="19236"/>
    <cellStyle name="注释 5 4 3 2 4" xfId="19237"/>
    <cellStyle name="注释 5 4 3 3" xfId="19238"/>
    <cellStyle name="注释 5 4 3 3 2" xfId="19239"/>
    <cellStyle name="注释 5 4 3 4" xfId="19240"/>
    <cellStyle name="注释 5 4 3 4 2" xfId="19241"/>
    <cellStyle name="注释 5 4 3 5" xfId="19242"/>
    <cellStyle name="注释 5 4 4" xfId="19243"/>
    <cellStyle name="注释 5 4 4 2" xfId="19244"/>
    <cellStyle name="注释 5 4 4 2 2" xfId="19245"/>
    <cellStyle name="注释 5 4 4 3" xfId="19246"/>
    <cellStyle name="注释 5 4 4 3 2" xfId="19247"/>
    <cellStyle name="注释 5 4 4 4" xfId="19248"/>
    <cellStyle name="注释 5 4 5" xfId="19249"/>
    <cellStyle name="注释 5 4 5 2" xfId="19250"/>
    <cellStyle name="注释 5 4 6" xfId="19251"/>
    <cellStyle name="注释 5 4 6 2" xfId="19252"/>
    <cellStyle name="注释 5 4 7" xfId="19253"/>
    <cellStyle name="注释 5 5" xfId="19254"/>
    <cellStyle name="注释 5 6" xfId="19255"/>
    <cellStyle name="注释 5 6 2" xfId="19256"/>
    <cellStyle name="注释 5 6 2 2" xfId="19257"/>
    <cellStyle name="注释 5 6 3" xfId="19258"/>
    <cellStyle name="注释 5 6 3 2" xfId="19259"/>
    <cellStyle name="注释 5 6 4" xfId="19260"/>
    <cellStyle name="注释 5 7" xfId="19261"/>
    <cellStyle name="注释 5 7 2" xfId="19262"/>
    <cellStyle name="注释 5 7 2 2" xfId="19263"/>
    <cellStyle name="注释 5 7 3" xfId="19264"/>
    <cellStyle name="注释 5 7 3 2" xfId="19265"/>
    <cellStyle name="注释 5 7 4" xfId="19266"/>
    <cellStyle name="注释 5 8" xfId="19267"/>
    <cellStyle name="注释 5 8 2" xfId="19268"/>
    <cellStyle name="注释 5 9" xfId="19269"/>
    <cellStyle name="注释 5 9 2" xfId="19270"/>
    <cellStyle name="注释 6" xfId="19271"/>
    <cellStyle name="注释 6 10" xfId="19272"/>
    <cellStyle name="注释 6 11" xfId="19273"/>
    <cellStyle name="注释 6 2" xfId="19274"/>
    <cellStyle name="注释 6 2 10" xfId="19275"/>
    <cellStyle name="注释 6 2 10 2" xfId="19276"/>
    <cellStyle name="注释 6 2 11" xfId="19277"/>
    <cellStyle name="注释 6 2 11 2" xfId="19278"/>
    <cellStyle name="注释 6 2 12" xfId="19279"/>
    <cellStyle name="注释 6 2 13" xfId="19280"/>
    <cellStyle name="注释 6 2 2" xfId="19281"/>
    <cellStyle name="注释 6 2 2 2" xfId="19282"/>
    <cellStyle name="注释 6 2 2 2 2" xfId="19283"/>
    <cellStyle name="注释 6 2 2 2 2 2" xfId="19284"/>
    <cellStyle name="注释 6 2 2 2 2 2 2" xfId="19285"/>
    <cellStyle name="注释 6 2 2 2 2 3" xfId="19286"/>
    <cellStyle name="注释 6 2 2 2 2 3 2" xfId="19287"/>
    <cellStyle name="注释 6 2 2 2 2 4" xfId="19288"/>
    <cellStyle name="注释 6 2 2 2 3" xfId="19289"/>
    <cellStyle name="注释 6 2 2 2 3 2" xfId="19290"/>
    <cellStyle name="注释 6 2 2 2 4" xfId="19291"/>
    <cellStyle name="注释 6 2 2 2 4 2" xfId="19292"/>
    <cellStyle name="注释 6 2 2 2 5" xfId="19293"/>
    <cellStyle name="注释 6 2 2 3" xfId="19294"/>
    <cellStyle name="注释 6 2 2 3 2" xfId="19295"/>
    <cellStyle name="注释 6 2 2 3 2 2" xfId="19296"/>
    <cellStyle name="注释 6 2 2 3 3" xfId="19297"/>
    <cellStyle name="注释 6 2 2 3 3 2" xfId="19298"/>
    <cellStyle name="注释 6 2 2 3 4" xfId="19299"/>
    <cellStyle name="注释 6 2 2 4" xfId="19300"/>
    <cellStyle name="注释 6 2 2 4 2" xfId="19301"/>
    <cellStyle name="注释 6 2 2 5" xfId="19302"/>
    <cellStyle name="注释 6 2 2 5 2" xfId="19303"/>
    <cellStyle name="注释 6 2 2 6" xfId="19304"/>
    <cellStyle name="注释 6 2 3" xfId="19305"/>
    <cellStyle name="注释 6 2 3 2" xfId="19306"/>
    <cellStyle name="注释 6 2 3 2 2" xfId="19307"/>
    <cellStyle name="注释 6 2 3 2 2 2" xfId="19308"/>
    <cellStyle name="注释 6 2 3 2 2 2 2" xfId="19309"/>
    <cellStyle name="注释 6 2 3 2 2 3" xfId="19310"/>
    <cellStyle name="注释 6 2 3 2 2 3 2" xfId="19311"/>
    <cellStyle name="注释 6 2 3 2 2 4" xfId="19312"/>
    <cellStyle name="注释 6 2 3 2 3" xfId="19313"/>
    <cellStyle name="注释 6 2 3 2 3 2" xfId="19314"/>
    <cellStyle name="注释 6 2 3 2 4" xfId="19315"/>
    <cellStyle name="注释 6 2 3 2 4 2" xfId="19316"/>
    <cellStyle name="注释 6 2 3 2 5" xfId="19317"/>
    <cellStyle name="注释 6 2 3 3" xfId="19318"/>
    <cellStyle name="注释 6 2 3 3 2" xfId="19319"/>
    <cellStyle name="注释 6 2 3 3 2 2" xfId="19320"/>
    <cellStyle name="注释 6 2 3 3 2 2 2" xfId="19321"/>
    <cellStyle name="注释 6 2 3 3 2 3" xfId="19322"/>
    <cellStyle name="注释 6 2 3 3 2 3 2" xfId="19323"/>
    <cellStyle name="注释 6 2 3 3 2 4" xfId="19324"/>
    <cellStyle name="注释 6 2 3 3 3" xfId="19325"/>
    <cellStyle name="注释 6 2 3 3 3 2" xfId="19326"/>
    <cellStyle name="注释 6 2 3 3 4" xfId="19327"/>
    <cellStyle name="注释 6 2 3 3 4 2" xfId="19328"/>
    <cellStyle name="注释 6 2 3 3 5" xfId="19329"/>
    <cellStyle name="注释 6 2 3 4" xfId="19330"/>
    <cellStyle name="注释 6 2 3 4 2" xfId="19331"/>
    <cellStyle name="注释 6 2 3 4 2 2" xfId="19332"/>
    <cellStyle name="注释 6 2 3 4 3" xfId="19333"/>
    <cellStyle name="注释 6 2 3 4 3 2" xfId="19334"/>
    <cellStyle name="注释 6 2 3 4 4" xfId="19335"/>
    <cellStyle name="注释 6 2 3 5" xfId="19336"/>
    <cellStyle name="注释 6 2 3 5 2" xfId="19337"/>
    <cellStyle name="注释 6 2 3 6" xfId="19338"/>
    <cellStyle name="注释 6 2 3 6 2" xfId="19339"/>
    <cellStyle name="注释 6 2 3 7" xfId="19340"/>
    <cellStyle name="注释 6 2 4" xfId="19341"/>
    <cellStyle name="注释 6 2 4 2" xfId="19342"/>
    <cellStyle name="注释 6 2 4 2 2" xfId="19343"/>
    <cellStyle name="注释 6 2 4 2 2 2" xfId="19344"/>
    <cellStyle name="注释 6 2 4 2 2 2 2" xfId="19345"/>
    <cellStyle name="注释 6 2 4 2 2 3" xfId="19346"/>
    <cellStyle name="注释 6 2 4 2 2 3 2" xfId="19347"/>
    <cellStyle name="注释 6 2 4 2 2 4" xfId="19348"/>
    <cellStyle name="注释 6 2 4 2 3" xfId="19349"/>
    <cellStyle name="注释 6 2 4 2 3 2" xfId="19350"/>
    <cellStyle name="注释 6 2 4 2 4" xfId="19351"/>
    <cellStyle name="注释 6 2 4 2 4 2" xfId="19352"/>
    <cellStyle name="注释 6 2 4 2 5" xfId="19353"/>
    <cellStyle name="注释 6 2 4 3" xfId="19354"/>
    <cellStyle name="注释 6 2 4 3 2" xfId="19355"/>
    <cellStyle name="注释 6 2 4 3 2 2" xfId="19356"/>
    <cellStyle name="注释 6 2 4 3 2 2 2" xfId="19357"/>
    <cellStyle name="注释 6 2 4 3 2 3" xfId="19358"/>
    <cellStyle name="注释 6 2 4 3 2 3 2" xfId="19359"/>
    <cellStyle name="注释 6 2 4 3 2 4" xfId="19360"/>
    <cellStyle name="注释 6 2 4 3 3" xfId="19361"/>
    <cellStyle name="注释 6 2 4 3 3 2" xfId="19362"/>
    <cellStyle name="注释 6 2 4 3 4" xfId="19363"/>
    <cellStyle name="注释 6 2 4 3 4 2" xfId="19364"/>
    <cellStyle name="注释 6 2 4 3 5" xfId="19365"/>
    <cellStyle name="注释 6 2 4 4" xfId="19366"/>
    <cellStyle name="注释 6 2 4 4 2" xfId="19367"/>
    <cellStyle name="注释 6 2 4 4 2 2" xfId="19368"/>
    <cellStyle name="注释 6 2 4 4 3" xfId="19369"/>
    <cellStyle name="注释 6 2 4 4 3 2" xfId="19370"/>
    <cellStyle name="注释 6 2 4 4 4" xfId="19371"/>
    <cellStyle name="注释 6 2 4 5" xfId="19372"/>
    <cellStyle name="注释 6 2 4 5 2" xfId="19373"/>
    <cellStyle name="注释 6 2 4 6" xfId="19374"/>
    <cellStyle name="注释 6 2 4 6 2" xfId="19375"/>
    <cellStyle name="注释 6 2 4 7" xfId="19376"/>
    <cellStyle name="注释 6 2 5" xfId="19377"/>
    <cellStyle name="注释 6 2 5 2" xfId="19378"/>
    <cellStyle name="注释 6 2 5 2 2" xfId="19379"/>
    <cellStyle name="注释 6 2 5 2 2 2" xfId="19380"/>
    <cellStyle name="注释 6 2 5 2 3" xfId="19381"/>
    <cellStyle name="注释 6 2 5 2 3 2" xfId="19382"/>
    <cellStyle name="注释 6 2 5 2 4" xfId="19383"/>
    <cellStyle name="注释 6 2 5 3" xfId="19384"/>
    <cellStyle name="注释 6 2 5 3 2" xfId="19385"/>
    <cellStyle name="注释 6 2 5 4" xfId="19386"/>
    <cellStyle name="注释 6 2 5 4 2" xfId="19387"/>
    <cellStyle name="注释 6 2 5 5" xfId="19388"/>
    <cellStyle name="注释 6 2 6" xfId="19389"/>
    <cellStyle name="注释 6 2 7" xfId="19390"/>
    <cellStyle name="注释 6 2 7 2" xfId="19391"/>
    <cellStyle name="注释 6 2 7 2 2" xfId="19392"/>
    <cellStyle name="注释 6 2 7 3" xfId="19393"/>
    <cellStyle name="注释 6 2 7 3 2" xfId="19394"/>
    <cellStyle name="注释 6 2 7 4" xfId="19395"/>
    <cellStyle name="注释 6 2 8" xfId="19396"/>
    <cellStyle name="注释 6 2 8 2" xfId="19397"/>
    <cellStyle name="注释 6 2 8 2 2" xfId="19398"/>
    <cellStyle name="注释 6 2 8 3" xfId="19399"/>
    <cellStyle name="注释 6 2 8 3 2" xfId="19400"/>
    <cellStyle name="注释 6 2 8 4" xfId="19401"/>
    <cellStyle name="注释 6 2 9" xfId="19402"/>
    <cellStyle name="注释 6 2 9 2" xfId="19403"/>
    <cellStyle name="注释 6 3" xfId="19404"/>
    <cellStyle name="注释 6 3 2" xfId="19405"/>
    <cellStyle name="注释 6 3 2 2" xfId="19406"/>
    <cellStyle name="注释 6 3 2 2 2" xfId="19407"/>
    <cellStyle name="注释 6 3 2 2 2 2" xfId="19408"/>
    <cellStyle name="注释 6 3 2 2 3" xfId="19409"/>
    <cellStyle name="注释 6 3 2 2 3 2" xfId="19410"/>
    <cellStyle name="注释 6 3 2 2 4" xfId="19411"/>
    <cellStyle name="注释 6 3 2 3" xfId="19412"/>
    <cellStyle name="注释 6 3 2 3 2" xfId="19413"/>
    <cellStyle name="注释 6 3 2 4" xfId="19414"/>
    <cellStyle name="注释 6 3 2 4 2" xfId="19415"/>
    <cellStyle name="注释 6 3 2 5" xfId="19416"/>
    <cellStyle name="注释 6 3 3" xfId="19417"/>
    <cellStyle name="注释 6 3 3 2" xfId="19418"/>
    <cellStyle name="注释 6 3 3 2 2" xfId="19419"/>
    <cellStyle name="注释 6 3 3 3" xfId="19420"/>
    <cellStyle name="注释 6 3 3 3 2" xfId="19421"/>
    <cellStyle name="注释 6 3 3 4" xfId="19422"/>
    <cellStyle name="注释 6 3 4" xfId="19423"/>
    <cellStyle name="注释 6 3 4 2" xfId="19424"/>
    <cellStyle name="注释 6 3 5" xfId="19425"/>
    <cellStyle name="注释 6 3 5 2" xfId="19426"/>
    <cellStyle name="注释 6 3 6" xfId="19427"/>
    <cellStyle name="注释 6 4" xfId="19428"/>
    <cellStyle name="注释 6 4 2" xfId="19429"/>
    <cellStyle name="注释 6 4 2 2" xfId="19430"/>
    <cellStyle name="注释 6 4 2 2 2" xfId="19431"/>
    <cellStyle name="注释 6 4 2 2 2 2" xfId="19432"/>
    <cellStyle name="注释 6 4 2 2 3" xfId="19433"/>
    <cellStyle name="注释 6 4 2 2 3 2" xfId="19434"/>
    <cellStyle name="注释 6 4 2 2 4" xfId="19435"/>
    <cellStyle name="注释 6 4 2 3" xfId="19436"/>
    <cellStyle name="注释 6 4 2 3 2" xfId="19437"/>
    <cellStyle name="注释 6 4 2 4" xfId="19438"/>
    <cellStyle name="注释 6 4 2 4 2" xfId="19439"/>
    <cellStyle name="注释 6 4 2 5" xfId="19440"/>
    <cellStyle name="注释 6 4 3" xfId="19441"/>
    <cellStyle name="注释 6 4 3 2" xfId="19442"/>
    <cellStyle name="注释 6 4 3 2 2" xfId="19443"/>
    <cellStyle name="注释 6 4 3 2 2 2" xfId="19444"/>
    <cellStyle name="注释 6 4 3 2 3" xfId="19445"/>
    <cellStyle name="注释 6 4 3 2 3 2" xfId="19446"/>
    <cellStyle name="注释 6 4 3 2 4" xfId="19447"/>
    <cellStyle name="注释 6 4 3 3" xfId="19448"/>
    <cellStyle name="注释 6 4 3 3 2" xfId="19449"/>
    <cellStyle name="注释 6 4 3 4" xfId="19450"/>
    <cellStyle name="注释 6 4 3 4 2" xfId="19451"/>
    <cellStyle name="注释 6 4 3 5" xfId="19452"/>
    <cellStyle name="注释 6 4 4" xfId="19453"/>
    <cellStyle name="注释 6 4 4 2" xfId="19454"/>
    <cellStyle name="注释 6 4 4 2 2" xfId="19455"/>
    <cellStyle name="注释 6 4 4 3" xfId="19456"/>
    <cellStyle name="注释 6 4 4 3 2" xfId="19457"/>
    <cellStyle name="注释 6 4 4 4" xfId="19458"/>
    <cellStyle name="注释 6 4 5" xfId="19459"/>
    <cellStyle name="注释 6 4 5 2" xfId="19460"/>
    <cellStyle name="注释 6 4 6" xfId="19461"/>
    <cellStyle name="注释 6 4 6 2" xfId="19462"/>
    <cellStyle name="注释 6 4 7" xfId="19463"/>
    <cellStyle name="注释 6 5" xfId="19464"/>
    <cellStyle name="注释 6 6" xfId="19465"/>
    <cellStyle name="注释 6 6 2" xfId="19466"/>
    <cellStyle name="注释 6 6 2 2" xfId="19467"/>
    <cellStyle name="注释 6 6 3" xfId="19468"/>
    <cellStyle name="注释 6 6 3 2" xfId="19469"/>
    <cellStyle name="注释 6 6 4" xfId="19470"/>
    <cellStyle name="注释 6 7" xfId="19471"/>
    <cellStyle name="注释 6 7 2" xfId="19472"/>
    <cellStyle name="注释 6 7 2 2" xfId="19473"/>
    <cellStyle name="注释 6 7 3" xfId="19474"/>
    <cellStyle name="注释 6 7 3 2" xfId="19475"/>
    <cellStyle name="注释 6 7 4" xfId="19476"/>
    <cellStyle name="注释 6 8" xfId="19477"/>
    <cellStyle name="注释 6 8 2" xfId="19478"/>
    <cellStyle name="注释 6 9" xfId="19479"/>
    <cellStyle name="注释 6 9 2" xfId="19480"/>
    <cellStyle name="注释 7" xfId="19481"/>
    <cellStyle name="注释 7 10" xfId="19482"/>
    <cellStyle name="注释 7 11" xfId="19483"/>
    <cellStyle name="注释 7 2" xfId="19484"/>
    <cellStyle name="注释 7 2 10" xfId="19485"/>
    <cellStyle name="注释 7 2 10 2" xfId="19486"/>
    <cellStyle name="注释 7 2 11" xfId="19487"/>
    <cellStyle name="注释 7 2 11 2" xfId="19488"/>
    <cellStyle name="注释 7 2 12" xfId="19489"/>
    <cellStyle name="注释 7 2 13" xfId="19490"/>
    <cellStyle name="注释 7 2 2" xfId="19491"/>
    <cellStyle name="注释 7 2 2 2" xfId="19492"/>
    <cellStyle name="注释 7 2 2 2 2" xfId="19493"/>
    <cellStyle name="注释 7 2 2 2 2 2" xfId="19494"/>
    <cellStyle name="注释 7 2 2 2 2 2 2" xfId="19495"/>
    <cellStyle name="注释 7 2 2 2 2 3" xfId="19496"/>
    <cellStyle name="注释 7 2 2 2 2 3 2" xfId="19497"/>
    <cellStyle name="注释 7 2 2 2 2 4" xfId="19498"/>
    <cellStyle name="注释 7 2 2 2 3" xfId="19499"/>
    <cellStyle name="注释 7 2 2 2 3 2" xfId="19500"/>
    <cellStyle name="注释 7 2 2 2 4" xfId="19501"/>
    <cellStyle name="注释 7 2 2 2 4 2" xfId="19502"/>
    <cellStyle name="注释 7 2 2 2 5" xfId="19503"/>
    <cellStyle name="注释 7 2 2 3" xfId="19504"/>
    <cellStyle name="注释 7 2 2 3 2" xfId="19505"/>
    <cellStyle name="注释 7 2 2 3 2 2" xfId="19506"/>
    <cellStyle name="注释 7 2 2 3 3" xfId="19507"/>
    <cellStyle name="注释 7 2 2 3 3 2" xfId="19508"/>
    <cellStyle name="注释 7 2 2 3 4" xfId="19509"/>
    <cellStyle name="注释 7 2 2 4" xfId="19510"/>
    <cellStyle name="注释 7 2 2 4 2" xfId="19511"/>
    <cellStyle name="注释 7 2 2 5" xfId="19512"/>
    <cellStyle name="注释 7 2 2 5 2" xfId="19513"/>
    <cellStyle name="注释 7 2 2 6" xfId="19514"/>
    <cellStyle name="注释 7 2 3" xfId="19515"/>
    <cellStyle name="注释 7 2 3 2" xfId="19516"/>
    <cellStyle name="注释 7 2 3 2 2" xfId="19517"/>
    <cellStyle name="注释 7 2 3 2 2 2" xfId="19518"/>
    <cellStyle name="注释 7 2 3 2 2 2 2" xfId="19519"/>
    <cellStyle name="注释 7 2 3 2 2 3" xfId="19520"/>
    <cellStyle name="注释 7 2 3 2 2 3 2" xfId="19521"/>
    <cellStyle name="注释 7 2 3 2 2 4" xfId="19522"/>
    <cellStyle name="注释 7 2 3 2 3" xfId="19523"/>
    <cellStyle name="注释 7 2 3 2 3 2" xfId="19524"/>
    <cellStyle name="注释 7 2 3 2 4" xfId="19525"/>
    <cellStyle name="注释 7 2 3 2 4 2" xfId="19526"/>
    <cellStyle name="注释 7 2 3 2 5" xfId="19527"/>
    <cellStyle name="注释 7 2 3 3" xfId="19528"/>
    <cellStyle name="注释 7 2 3 3 2" xfId="19529"/>
    <cellStyle name="注释 7 2 3 3 2 2" xfId="19530"/>
    <cellStyle name="注释 7 2 3 3 2 2 2" xfId="19531"/>
    <cellStyle name="注释 7 2 3 3 2 3" xfId="19532"/>
    <cellStyle name="注释 7 2 3 3 2 3 2" xfId="19533"/>
    <cellStyle name="注释 7 2 3 3 2 4" xfId="19534"/>
    <cellStyle name="注释 7 2 3 3 3" xfId="19535"/>
    <cellStyle name="注释 7 2 3 3 3 2" xfId="19536"/>
    <cellStyle name="注释 7 2 3 3 4" xfId="19537"/>
    <cellStyle name="注释 7 2 3 3 4 2" xfId="19538"/>
    <cellStyle name="注释 7 2 3 3 5" xfId="19539"/>
    <cellStyle name="注释 7 2 3 4" xfId="19540"/>
    <cellStyle name="注释 7 2 3 4 2" xfId="19541"/>
    <cellStyle name="注释 7 2 3 4 2 2" xfId="19542"/>
    <cellStyle name="注释 7 2 3 4 3" xfId="19543"/>
    <cellStyle name="注释 7 2 3 4 3 2" xfId="19544"/>
    <cellStyle name="注释 7 2 3 4 4" xfId="19545"/>
    <cellStyle name="注释 7 2 3 5" xfId="19546"/>
    <cellStyle name="注释 7 2 3 5 2" xfId="19547"/>
    <cellStyle name="注释 7 2 3 6" xfId="19548"/>
    <cellStyle name="注释 7 2 3 6 2" xfId="19549"/>
    <cellStyle name="注释 7 2 3 7" xfId="19550"/>
    <cellStyle name="注释 7 2 4" xfId="19551"/>
    <cellStyle name="注释 7 2 4 2" xfId="19552"/>
    <cellStyle name="注释 7 2 4 2 2" xfId="19553"/>
    <cellStyle name="注释 7 2 4 2 2 2" xfId="19554"/>
    <cellStyle name="注释 7 2 4 2 2 2 2" xfId="19555"/>
    <cellStyle name="注释 7 2 4 2 2 3" xfId="19556"/>
    <cellStyle name="注释 7 2 4 2 2 3 2" xfId="19557"/>
    <cellStyle name="注释 7 2 4 2 2 4" xfId="19558"/>
    <cellStyle name="注释 7 2 4 2 3" xfId="19559"/>
    <cellStyle name="注释 7 2 4 2 3 2" xfId="19560"/>
    <cellStyle name="注释 7 2 4 2 4" xfId="19561"/>
    <cellStyle name="注释 7 2 4 2 4 2" xfId="19562"/>
    <cellStyle name="注释 7 2 4 2 5" xfId="19563"/>
    <cellStyle name="注释 7 2 4 3" xfId="19564"/>
    <cellStyle name="注释 7 2 4 3 2" xfId="19565"/>
    <cellStyle name="注释 7 2 4 3 2 2" xfId="19566"/>
    <cellStyle name="注释 7 2 4 3 2 2 2" xfId="19567"/>
    <cellStyle name="注释 7 2 4 3 2 3" xfId="19568"/>
    <cellStyle name="注释 7 2 4 3 2 3 2" xfId="19569"/>
    <cellStyle name="注释 7 2 4 3 2 4" xfId="19570"/>
    <cellStyle name="注释 7 2 4 3 3" xfId="19571"/>
    <cellStyle name="注释 7 2 4 3 3 2" xfId="19572"/>
    <cellStyle name="注释 7 2 4 3 4" xfId="19573"/>
    <cellStyle name="注释 7 2 4 3 4 2" xfId="19574"/>
    <cellStyle name="注释 7 2 4 3 5" xfId="19575"/>
    <cellStyle name="注释 7 2 4 4" xfId="19576"/>
    <cellStyle name="注释 7 2 4 4 2" xfId="19577"/>
    <cellStyle name="注释 7 2 4 4 2 2" xfId="19578"/>
    <cellStyle name="注释 7 2 4 4 3" xfId="19579"/>
    <cellStyle name="注释 7 2 4 4 3 2" xfId="19580"/>
    <cellStyle name="注释 7 2 4 4 4" xfId="19581"/>
    <cellStyle name="注释 7 2 4 5" xfId="19582"/>
    <cellStyle name="注释 7 2 4 5 2" xfId="19583"/>
    <cellStyle name="注释 7 2 4 6" xfId="19584"/>
    <cellStyle name="注释 7 2 4 6 2" xfId="19585"/>
    <cellStyle name="注释 7 2 4 7" xfId="19586"/>
    <cellStyle name="注释 7 2 5" xfId="19587"/>
    <cellStyle name="注释 7 2 5 2" xfId="19588"/>
    <cellStyle name="注释 7 2 5 2 2" xfId="19589"/>
    <cellStyle name="注释 7 2 5 2 2 2" xfId="19590"/>
    <cellStyle name="注释 7 2 5 2 3" xfId="19591"/>
    <cellStyle name="注释 7 2 5 2 3 2" xfId="19592"/>
    <cellStyle name="注释 7 2 5 2 4" xfId="19593"/>
    <cellStyle name="注释 7 2 5 3" xfId="19594"/>
    <cellStyle name="注释 7 2 5 3 2" xfId="19595"/>
    <cellStyle name="注释 7 2 5 4" xfId="19596"/>
    <cellStyle name="注释 7 2 5 4 2" xfId="19597"/>
    <cellStyle name="注释 7 2 5 5" xfId="19598"/>
    <cellStyle name="注释 7 2 6" xfId="19599"/>
    <cellStyle name="注释 7 2 7" xfId="19600"/>
    <cellStyle name="注释 7 2 7 2" xfId="19601"/>
    <cellStyle name="注释 7 2 7 2 2" xfId="19602"/>
    <cellStyle name="注释 7 2 7 3" xfId="19603"/>
    <cellStyle name="注释 7 2 7 3 2" xfId="19604"/>
    <cellStyle name="注释 7 2 7 4" xfId="19605"/>
    <cellStyle name="注释 7 2 8" xfId="19606"/>
    <cellStyle name="注释 7 2 8 2" xfId="19607"/>
    <cellStyle name="注释 7 2 8 2 2" xfId="19608"/>
    <cellStyle name="注释 7 2 8 3" xfId="19609"/>
    <cellStyle name="注释 7 2 8 3 2" xfId="19610"/>
    <cellStyle name="注释 7 2 8 4" xfId="19611"/>
    <cellStyle name="注释 7 2 9" xfId="19612"/>
    <cellStyle name="注释 7 2 9 2" xfId="19613"/>
    <cellStyle name="注释 7 3" xfId="19614"/>
    <cellStyle name="注释 7 3 2" xfId="19615"/>
    <cellStyle name="注释 7 3 2 2" xfId="19616"/>
    <cellStyle name="注释 7 3 2 2 2" xfId="19617"/>
    <cellStyle name="注释 7 3 2 2 2 2" xfId="19618"/>
    <cellStyle name="注释 7 3 2 2 3" xfId="19619"/>
    <cellStyle name="注释 7 3 2 2 3 2" xfId="19620"/>
    <cellStyle name="注释 7 3 2 2 4" xfId="19621"/>
    <cellStyle name="注释 7 3 2 3" xfId="19622"/>
    <cellStyle name="注释 7 3 2 3 2" xfId="19623"/>
    <cellStyle name="注释 7 3 2 4" xfId="19624"/>
    <cellStyle name="注释 7 3 2 4 2" xfId="19625"/>
    <cellStyle name="注释 7 3 2 5" xfId="19626"/>
    <cellStyle name="注释 7 3 3" xfId="19627"/>
    <cellStyle name="注释 7 3 3 2" xfId="19628"/>
    <cellStyle name="注释 7 3 3 2 2" xfId="19629"/>
    <cellStyle name="注释 7 3 3 3" xfId="19630"/>
    <cellStyle name="注释 7 3 3 3 2" xfId="19631"/>
    <cellStyle name="注释 7 3 3 4" xfId="19632"/>
    <cellStyle name="注释 7 3 4" xfId="19633"/>
    <cellStyle name="注释 7 3 4 2" xfId="19634"/>
    <cellStyle name="注释 7 3 5" xfId="19635"/>
    <cellStyle name="注释 7 3 5 2" xfId="19636"/>
    <cellStyle name="注释 7 3 6" xfId="19637"/>
    <cellStyle name="注释 7 4" xfId="19638"/>
    <cellStyle name="注释 7 4 2" xfId="19639"/>
    <cellStyle name="注释 7 4 2 2" xfId="19640"/>
    <cellStyle name="注释 7 4 2 2 2" xfId="19641"/>
    <cellStyle name="注释 7 4 2 2 2 2" xfId="19642"/>
    <cellStyle name="注释 7 4 2 2 3" xfId="19643"/>
    <cellStyle name="注释 7 4 2 2 3 2" xfId="19644"/>
    <cellStyle name="注释 7 4 2 2 4" xfId="19645"/>
    <cellStyle name="注释 7 4 2 3" xfId="19646"/>
    <cellStyle name="注释 7 4 2 3 2" xfId="19647"/>
    <cellStyle name="注释 7 4 2 4" xfId="19648"/>
    <cellStyle name="注释 7 4 2 4 2" xfId="19649"/>
    <cellStyle name="注释 7 4 2 5" xfId="19650"/>
    <cellStyle name="注释 7 4 3" xfId="19651"/>
    <cellStyle name="注释 7 4 3 2" xfId="19652"/>
    <cellStyle name="注释 7 4 3 2 2" xfId="19653"/>
    <cellStyle name="注释 7 4 3 2 2 2" xfId="19654"/>
    <cellStyle name="注释 7 4 3 2 3" xfId="19655"/>
    <cellStyle name="注释 7 4 3 2 3 2" xfId="19656"/>
    <cellStyle name="注释 7 4 3 2 4" xfId="19657"/>
    <cellStyle name="注释 7 4 3 3" xfId="19658"/>
    <cellStyle name="注释 7 4 3 3 2" xfId="19659"/>
    <cellStyle name="注释 7 4 3 4" xfId="19660"/>
    <cellStyle name="注释 7 4 3 4 2" xfId="19661"/>
    <cellStyle name="注释 7 4 3 5" xfId="19662"/>
    <cellStyle name="注释 7 4 4" xfId="19663"/>
    <cellStyle name="注释 7 4 4 2" xfId="19664"/>
    <cellStyle name="注释 7 4 4 2 2" xfId="19665"/>
    <cellStyle name="注释 7 4 4 3" xfId="19666"/>
    <cellStyle name="注释 7 4 4 3 2" xfId="19667"/>
    <cellStyle name="注释 7 4 4 4" xfId="19668"/>
    <cellStyle name="注释 7 4 5" xfId="19669"/>
    <cellStyle name="注释 7 4 5 2" xfId="19670"/>
    <cellStyle name="注释 7 4 6" xfId="19671"/>
    <cellStyle name="注释 7 4 6 2" xfId="19672"/>
    <cellStyle name="注释 7 4 7" xfId="19673"/>
    <cellStyle name="注释 7 5" xfId="19674"/>
    <cellStyle name="注释 7 6" xfId="19675"/>
    <cellStyle name="注释 7 6 2" xfId="19676"/>
    <cellStyle name="注释 7 6 2 2" xfId="19677"/>
    <cellStyle name="注释 7 6 3" xfId="19678"/>
    <cellStyle name="注释 7 6 3 2" xfId="19679"/>
    <cellStyle name="注释 7 6 4" xfId="19680"/>
    <cellStyle name="注释 7 7" xfId="19681"/>
    <cellStyle name="注释 7 7 2" xfId="19682"/>
    <cellStyle name="注释 7 7 2 2" xfId="19683"/>
    <cellStyle name="注释 7 7 3" xfId="19684"/>
    <cellStyle name="注释 7 7 3 2" xfId="19685"/>
    <cellStyle name="注释 7 7 4" xfId="19686"/>
    <cellStyle name="注释 7 8" xfId="19687"/>
    <cellStyle name="注释 7 8 2" xfId="19688"/>
    <cellStyle name="注释 7 9" xfId="19689"/>
    <cellStyle name="注释 7 9 2" xfId="19690"/>
    <cellStyle name="注释 8" xfId="19691"/>
    <cellStyle name="注释 8 10" xfId="19692"/>
    <cellStyle name="注释 8 11" xfId="19693"/>
    <cellStyle name="注释 8 2" xfId="19694"/>
    <cellStyle name="注释 8 2 10" xfId="19695"/>
    <cellStyle name="注释 8 2 10 2" xfId="19696"/>
    <cellStyle name="注释 8 2 11" xfId="19697"/>
    <cellStyle name="注释 8 2 11 2" xfId="19698"/>
    <cellStyle name="注释 8 2 12" xfId="19699"/>
    <cellStyle name="注释 8 2 13" xfId="19700"/>
    <cellStyle name="注释 8 2 2" xfId="19701"/>
    <cellStyle name="注释 8 2 2 2" xfId="19702"/>
    <cellStyle name="注释 8 2 2 2 2" xfId="19703"/>
    <cellStyle name="注释 8 2 2 2 2 2" xfId="19704"/>
    <cellStyle name="注释 8 2 2 2 2 2 2" xfId="19705"/>
    <cellStyle name="注释 8 2 2 2 2 3" xfId="19706"/>
    <cellStyle name="注释 8 2 2 2 2 3 2" xfId="19707"/>
    <cellStyle name="注释 8 2 2 2 2 4" xfId="19708"/>
    <cellStyle name="注释 8 2 2 2 3" xfId="19709"/>
    <cellStyle name="注释 8 2 2 2 3 2" xfId="19710"/>
    <cellStyle name="注释 8 2 2 2 4" xfId="19711"/>
    <cellStyle name="注释 8 2 2 2 4 2" xfId="19712"/>
    <cellStyle name="注释 8 2 2 2 5" xfId="19713"/>
    <cellStyle name="注释 8 2 2 3" xfId="19714"/>
    <cellStyle name="注释 8 2 2 3 2" xfId="19715"/>
    <cellStyle name="注释 8 2 2 3 2 2" xfId="19716"/>
    <cellStyle name="注释 8 2 2 3 3" xfId="19717"/>
    <cellStyle name="注释 8 2 2 3 3 2" xfId="19718"/>
    <cellStyle name="注释 8 2 2 3 4" xfId="19719"/>
    <cellStyle name="注释 8 2 2 4" xfId="19720"/>
    <cellStyle name="注释 8 2 2 4 2" xfId="19721"/>
    <cellStyle name="注释 8 2 2 5" xfId="19722"/>
    <cellStyle name="注释 8 2 2 5 2" xfId="19723"/>
    <cellStyle name="注释 8 2 2 6" xfId="19724"/>
    <cellStyle name="注释 8 2 3" xfId="19725"/>
    <cellStyle name="注释 8 2 3 2" xfId="19726"/>
    <cellStyle name="注释 8 2 3 2 2" xfId="19727"/>
    <cellStyle name="注释 8 2 3 2 2 2" xfId="19728"/>
    <cellStyle name="注释 8 2 3 2 2 2 2" xfId="19729"/>
    <cellStyle name="注释 8 2 3 2 2 3" xfId="19730"/>
    <cellStyle name="注释 8 2 3 2 2 3 2" xfId="19731"/>
    <cellStyle name="注释 8 2 3 2 2 4" xfId="19732"/>
    <cellStyle name="注释 8 2 3 2 3" xfId="19733"/>
    <cellStyle name="注释 8 2 3 2 3 2" xfId="19734"/>
    <cellStyle name="注释 8 2 3 2 4" xfId="19735"/>
    <cellStyle name="注释 8 2 3 2 4 2" xfId="19736"/>
    <cellStyle name="注释 8 2 3 2 5" xfId="19737"/>
    <cellStyle name="注释 8 2 3 3" xfId="19738"/>
    <cellStyle name="注释 8 2 3 3 2" xfId="19739"/>
    <cellStyle name="注释 8 2 3 3 2 2" xfId="19740"/>
    <cellStyle name="注释 8 2 3 3 2 2 2" xfId="19741"/>
    <cellStyle name="注释 8 2 3 3 2 3" xfId="19742"/>
    <cellStyle name="注释 8 2 3 3 2 3 2" xfId="19743"/>
    <cellStyle name="注释 8 2 3 3 2 4" xfId="19744"/>
    <cellStyle name="注释 8 2 3 3 3" xfId="19745"/>
    <cellStyle name="注释 8 2 3 3 3 2" xfId="19746"/>
    <cellStyle name="注释 8 2 3 3 4" xfId="19747"/>
    <cellStyle name="注释 8 2 3 3 4 2" xfId="19748"/>
    <cellStyle name="注释 8 2 3 3 5" xfId="19749"/>
    <cellStyle name="注释 8 2 3 4" xfId="19750"/>
    <cellStyle name="注释 8 2 3 4 2" xfId="19751"/>
    <cellStyle name="注释 8 2 3 4 2 2" xfId="19752"/>
    <cellStyle name="注释 8 2 3 4 3" xfId="19753"/>
    <cellStyle name="注释 8 2 3 4 3 2" xfId="19754"/>
    <cellStyle name="注释 8 2 3 4 4" xfId="19755"/>
    <cellStyle name="注释 8 2 3 5" xfId="19756"/>
    <cellStyle name="注释 8 2 3 5 2" xfId="19757"/>
    <cellStyle name="注释 8 2 3 6" xfId="19758"/>
    <cellStyle name="注释 8 2 3 6 2" xfId="19759"/>
    <cellStyle name="注释 8 2 3 7" xfId="19760"/>
    <cellStyle name="注释 8 2 4" xfId="19761"/>
    <cellStyle name="注释 8 2 4 2" xfId="19762"/>
    <cellStyle name="注释 8 2 4 2 2" xfId="19763"/>
    <cellStyle name="注释 8 2 4 2 2 2" xfId="19764"/>
    <cellStyle name="注释 8 2 4 2 2 2 2" xfId="19765"/>
    <cellStyle name="注释 8 2 4 2 2 3" xfId="19766"/>
    <cellStyle name="注释 8 2 4 2 2 3 2" xfId="19767"/>
    <cellStyle name="注释 8 2 4 2 2 4" xfId="19768"/>
    <cellStyle name="注释 8 2 4 2 3" xfId="19769"/>
    <cellStyle name="注释 8 2 4 2 3 2" xfId="19770"/>
    <cellStyle name="注释 8 2 4 2 4" xfId="19771"/>
    <cellStyle name="注释 8 2 4 2 4 2" xfId="19772"/>
    <cellStyle name="注释 8 2 4 2 5" xfId="19773"/>
    <cellStyle name="注释 8 2 4 3" xfId="19774"/>
    <cellStyle name="注释 8 2 4 3 2" xfId="19775"/>
    <cellStyle name="注释 8 2 4 3 2 2" xfId="19776"/>
    <cellStyle name="注释 8 2 4 3 2 2 2" xfId="19777"/>
    <cellStyle name="注释 8 2 4 3 2 3" xfId="19778"/>
    <cellStyle name="注释 8 2 4 3 2 3 2" xfId="19779"/>
    <cellStyle name="注释 8 2 4 3 2 4" xfId="19780"/>
    <cellStyle name="注释 8 2 4 3 3" xfId="19781"/>
    <cellStyle name="注释 8 2 4 3 3 2" xfId="19782"/>
    <cellStyle name="注释 8 2 4 3 4" xfId="19783"/>
    <cellStyle name="注释 8 2 4 3 4 2" xfId="19784"/>
    <cellStyle name="注释 8 2 4 3 5" xfId="19785"/>
    <cellStyle name="注释 8 2 4 4" xfId="19786"/>
    <cellStyle name="注释 8 2 4 4 2" xfId="19787"/>
    <cellStyle name="注释 8 2 4 4 2 2" xfId="19788"/>
    <cellStyle name="注释 8 2 4 4 3" xfId="19789"/>
    <cellStyle name="注释 8 2 4 4 3 2" xfId="19790"/>
    <cellStyle name="注释 8 2 4 4 4" xfId="19791"/>
    <cellStyle name="注释 8 2 4 5" xfId="19792"/>
    <cellStyle name="注释 8 2 4 5 2" xfId="19793"/>
    <cellStyle name="注释 8 2 4 6" xfId="19794"/>
    <cellStyle name="注释 8 2 4 6 2" xfId="19795"/>
    <cellStyle name="注释 8 2 4 7" xfId="19796"/>
    <cellStyle name="注释 8 2 5" xfId="19797"/>
    <cellStyle name="注释 8 2 5 2" xfId="19798"/>
    <cellStyle name="注释 8 2 5 2 2" xfId="19799"/>
    <cellStyle name="注释 8 2 5 2 2 2" xfId="19800"/>
    <cellStyle name="注释 8 2 5 2 3" xfId="19801"/>
    <cellStyle name="注释 8 2 5 2 3 2" xfId="19802"/>
    <cellStyle name="注释 8 2 5 2 4" xfId="19803"/>
    <cellStyle name="注释 8 2 5 3" xfId="19804"/>
    <cellStyle name="注释 8 2 5 3 2" xfId="19805"/>
    <cellStyle name="注释 8 2 5 4" xfId="19806"/>
    <cellStyle name="注释 8 2 5 4 2" xfId="19807"/>
    <cellStyle name="注释 8 2 5 5" xfId="19808"/>
    <cellStyle name="注释 8 2 6" xfId="19809"/>
    <cellStyle name="注释 8 2 7" xfId="19810"/>
    <cellStyle name="注释 8 2 7 2" xfId="19811"/>
    <cellStyle name="注释 8 2 7 2 2" xfId="19812"/>
    <cellStyle name="注释 8 2 7 3" xfId="19813"/>
    <cellStyle name="注释 8 2 7 3 2" xfId="19814"/>
    <cellStyle name="注释 8 2 7 4" xfId="19815"/>
    <cellStyle name="注释 8 2 8" xfId="19816"/>
    <cellStyle name="注释 8 2 8 2" xfId="19817"/>
    <cellStyle name="注释 8 2 8 2 2" xfId="19818"/>
    <cellStyle name="注释 8 2 8 3" xfId="19819"/>
    <cellStyle name="注释 8 2 8 3 2" xfId="19820"/>
    <cellStyle name="注释 8 2 8 4" xfId="19821"/>
    <cellStyle name="注释 8 2 9" xfId="19822"/>
    <cellStyle name="注释 8 2 9 2" xfId="19823"/>
    <cellStyle name="注释 8 3" xfId="19824"/>
    <cellStyle name="注释 8 3 2" xfId="19825"/>
    <cellStyle name="注释 8 3 2 2" xfId="19826"/>
    <cellStyle name="注释 8 3 2 2 2" xfId="19827"/>
    <cellStyle name="注释 8 3 2 2 2 2" xfId="19828"/>
    <cellStyle name="注释 8 3 2 2 3" xfId="19829"/>
    <cellStyle name="注释 8 3 2 2 3 2" xfId="19830"/>
    <cellStyle name="注释 8 3 2 2 4" xfId="19831"/>
    <cellStyle name="注释 8 3 2 3" xfId="19832"/>
    <cellStyle name="注释 8 3 2 3 2" xfId="19833"/>
    <cellStyle name="注释 8 3 2 4" xfId="19834"/>
    <cellStyle name="注释 8 3 2 4 2" xfId="19835"/>
    <cellStyle name="注释 8 3 2 5" xfId="19836"/>
    <cellStyle name="注释 8 3 3" xfId="19837"/>
    <cellStyle name="注释 8 3 3 2" xfId="19838"/>
    <cellStyle name="注释 8 3 3 2 2" xfId="19839"/>
    <cellStyle name="注释 8 3 3 3" xfId="19840"/>
    <cellStyle name="注释 8 3 3 3 2" xfId="19841"/>
    <cellStyle name="注释 8 3 3 4" xfId="19842"/>
    <cellStyle name="注释 8 3 4" xfId="19843"/>
    <cellStyle name="注释 8 3 4 2" xfId="19844"/>
    <cellStyle name="注释 8 3 5" xfId="19845"/>
    <cellStyle name="注释 8 3 5 2" xfId="19846"/>
    <cellStyle name="注释 8 3 6" xfId="19847"/>
    <cellStyle name="注释 8 4" xfId="19848"/>
    <cellStyle name="注释 8 4 2" xfId="19849"/>
    <cellStyle name="注释 8 4 2 2" xfId="19850"/>
    <cellStyle name="注释 8 4 2 2 2" xfId="19851"/>
    <cellStyle name="注释 8 4 2 2 2 2" xfId="19852"/>
    <cellStyle name="注释 8 4 2 2 3" xfId="19853"/>
    <cellStyle name="注释 8 4 2 2 3 2" xfId="19854"/>
    <cellStyle name="注释 8 4 2 2 4" xfId="19855"/>
    <cellStyle name="注释 8 4 2 3" xfId="19856"/>
    <cellStyle name="注释 8 4 2 3 2" xfId="19857"/>
    <cellStyle name="注释 8 4 2 4" xfId="19858"/>
    <cellStyle name="注释 8 4 2 4 2" xfId="19859"/>
    <cellStyle name="注释 8 4 2 5" xfId="19860"/>
    <cellStyle name="注释 8 4 3" xfId="19861"/>
    <cellStyle name="注释 8 4 3 2" xfId="19862"/>
    <cellStyle name="注释 8 4 3 2 2" xfId="19863"/>
    <cellStyle name="注释 8 4 3 2 2 2" xfId="19864"/>
    <cellStyle name="注释 8 4 3 2 3" xfId="19865"/>
    <cellStyle name="注释 8 4 3 2 3 2" xfId="19866"/>
    <cellStyle name="注释 8 4 3 2 4" xfId="19867"/>
    <cellStyle name="注释 8 4 3 3" xfId="19868"/>
    <cellStyle name="注释 8 4 3 3 2" xfId="19869"/>
    <cellStyle name="注释 8 4 3 4" xfId="19870"/>
    <cellStyle name="注释 8 4 3 4 2" xfId="19871"/>
    <cellStyle name="注释 8 4 3 5" xfId="19872"/>
    <cellStyle name="注释 8 4 4" xfId="19873"/>
    <cellStyle name="注释 8 4 4 2" xfId="19874"/>
    <cellStyle name="注释 8 4 4 2 2" xfId="19875"/>
    <cellStyle name="注释 8 4 4 3" xfId="19876"/>
    <cellStyle name="注释 8 4 4 3 2" xfId="19877"/>
    <cellStyle name="注释 8 4 4 4" xfId="19878"/>
    <cellStyle name="注释 8 4 5" xfId="19879"/>
    <cellStyle name="注释 8 4 5 2" xfId="19880"/>
    <cellStyle name="注释 8 4 6" xfId="19881"/>
    <cellStyle name="注释 8 4 6 2" xfId="19882"/>
    <cellStyle name="注释 8 4 7" xfId="19883"/>
    <cellStyle name="注释 8 5" xfId="19884"/>
    <cellStyle name="注释 8 6" xfId="19885"/>
    <cellStyle name="注释 8 6 2" xfId="19886"/>
    <cellStyle name="注释 8 6 2 2" xfId="19887"/>
    <cellStyle name="注释 8 6 3" xfId="19888"/>
    <cellStyle name="注释 8 6 3 2" xfId="19889"/>
    <cellStyle name="注释 8 6 4" xfId="19890"/>
    <cellStyle name="注释 8 7" xfId="19891"/>
    <cellStyle name="注释 8 7 2" xfId="19892"/>
    <cellStyle name="注释 8 7 2 2" xfId="19893"/>
    <cellStyle name="注释 8 7 3" xfId="19894"/>
    <cellStyle name="注释 8 7 3 2" xfId="19895"/>
    <cellStyle name="注释 8 7 4" xfId="19896"/>
    <cellStyle name="注释 8 8" xfId="19897"/>
    <cellStyle name="注释 8 8 2" xfId="19898"/>
    <cellStyle name="注释 8 9" xfId="19899"/>
    <cellStyle name="注释 8 9 2" xfId="19900"/>
    <cellStyle name="注释 9" xfId="19901"/>
    <cellStyle name="注释 9 10" xfId="19902"/>
    <cellStyle name="注释 9 11" xfId="19903"/>
    <cellStyle name="注释 9 2" xfId="19904"/>
    <cellStyle name="注释 9 2 10" xfId="19905"/>
    <cellStyle name="注释 9 2 10 2" xfId="19906"/>
    <cellStyle name="注释 9 2 11" xfId="19907"/>
    <cellStyle name="注释 9 2 11 2" xfId="19908"/>
    <cellStyle name="注释 9 2 12" xfId="19909"/>
    <cellStyle name="注释 9 2 13" xfId="19910"/>
    <cellStyle name="注释 9 2 2" xfId="19911"/>
    <cellStyle name="注释 9 2 2 2" xfId="19912"/>
    <cellStyle name="注释 9 2 2 2 2" xfId="19913"/>
    <cellStyle name="注释 9 2 2 2 2 2" xfId="19914"/>
    <cellStyle name="注释 9 2 2 2 2 2 2" xfId="19915"/>
    <cellStyle name="注释 9 2 2 2 2 3" xfId="19916"/>
    <cellStyle name="注释 9 2 2 2 2 3 2" xfId="19917"/>
    <cellStyle name="注释 9 2 2 2 2 4" xfId="19918"/>
    <cellStyle name="注释 9 2 2 2 3" xfId="19919"/>
    <cellStyle name="注释 9 2 2 2 3 2" xfId="19920"/>
    <cellStyle name="注释 9 2 2 2 4" xfId="19921"/>
    <cellStyle name="注释 9 2 2 2 4 2" xfId="19922"/>
    <cellStyle name="注释 9 2 2 2 5" xfId="19923"/>
    <cellStyle name="注释 9 2 2 3" xfId="19924"/>
    <cellStyle name="注释 9 2 2 3 2" xfId="19925"/>
    <cellStyle name="注释 9 2 2 3 2 2" xfId="19926"/>
    <cellStyle name="注释 9 2 2 3 3" xfId="19927"/>
    <cellStyle name="注释 9 2 2 3 3 2" xfId="19928"/>
    <cellStyle name="注释 9 2 2 3 4" xfId="19929"/>
    <cellStyle name="注释 9 2 2 4" xfId="19930"/>
    <cellStyle name="注释 9 2 2 4 2" xfId="19931"/>
    <cellStyle name="注释 9 2 2 5" xfId="19932"/>
    <cellStyle name="注释 9 2 2 5 2" xfId="19933"/>
    <cellStyle name="注释 9 2 2 6" xfId="19934"/>
    <cellStyle name="注释 9 2 3" xfId="19935"/>
    <cellStyle name="注释 9 2 3 2" xfId="19936"/>
    <cellStyle name="注释 9 2 3 2 2" xfId="19937"/>
    <cellStyle name="注释 9 2 3 2 2 2" xfId="19938"/>
    <cellStyle name="注释 9 2 3 2 2 2 2" xfId="19939"/>
    <cellStyle name="注释 9 2 3 2 2 3" xfId="19940"/>
    <cellStyle name="注释 9 2 3 2 2 3 2" xfId="19941"/>
    <cellStyle name="注释 9 2 3 2 2 4" xfId="19942"/>
    <cellStyle name="注释 9 2 3 2 3" xfId="19943"/>
    <cellStyle name="注释 9 2 3 2 3 2" xfId="19944"/>
    <cellStyle name="注释 9 2 3 2 4" xfId="19945"/>
    <cellStyle name="注释 9 2 3 2 4 2" xfId="19946"/>
    <cellStyle name="注释 9 2 3 2 5" xfId="19947"/>
    <cellStyle name="注释 9 2 3 3" xfId="19948"/>
    <cellStyle name="注释 9 2 3 3 2" xfId="19949"/>
    <cellStyle name="注释 9 2 3 3 2 2" xfId="19950"/>
    <cellStyle name="注释 9 2 3 3 2 2 2" xfId="19951"/>
    <cellStyle name="注释 9 2 3 3 2 3" xfId="19952"/>
    <cellStyle name="注释 9 2 3 3 2 3 2" xfId="19953"/>
    <cellStyle name="注释 9 2 3 3 2 4" xfId="19954"/>
    <cellStyle name="注释 9 2 3 3 3" xfId="19955"/>
    <cellStyle name="注释 9 2 3 3 3 2" xfId="19956"/>
    <cellStyle name="注释 9 2 3 3 4" xfId="19957"/>
    <cellStyle name="注释 9 2 3 3 4 2" xfId="19958"/>
    <cellStyle name="注释 9 2 3 3 5" xfId="19959"/>
    <cellStyle name="注释 9 2 3 4" xfId="19960"/>
    <cellStyle name="注释 9 2 3 4 2" xfId="19961"/>
    <cellStyle name="注释 9 2 3 4 2 2" xfId="19962"/>
    <cellStyle name="注释 9 2 3 4 3" xfId="19963"/>
    <cellStyle name="注释 9 2 3 4 3 2" xfId="19964"/>
    <cellStyle name="注释 9 2 3 4 4" xfId="19965"/>
    <cellStyle name="注释 9 2 3 5" xfId="19966"/>
    <cellStyle name="注释 9 2 3 5 2" xfId="19967"/>
    <cellStyle name="注释 9 2 3 6" xfId="19968"/>
    <cellStyle name="注释 9 2 3 6 2" xfId="19969"/>
    <cellStyle name="注释 9 2 3 7" xfId="19970"/>
    <cellStyle name="注释 9 2 4" xfId="19971"/>
    <cellStyle name="注释 9 2 4 2" xfId="19972"/>
    <cellStyle name="注释 9 2 4 2 2" xfId="19973"/>
    <cellStyle name="注释 9 2 4 2 2 2" xfId="19974"/>
    <cellStyle name="注释 9 2 4 2 2 2 2" xfId="19975"/>
    <cellStyle name="注释 9 2 4 2 2 3" xfId="19976"/>
    <cellStyle name="注释 9 2 4 2 2 3 2" xfId="19977"/>
    <cellStyle name="注释 9 2 4 2 2 4" xfId="19978"/>
    <cellStyle name="注释 9 2 4 2 3" xfId="19979"/>
    <cellStyle name="注释 9 2 4 2 3 2" xfId="19980"/>
    <cellStyle name="注释 9 2 4 2 4" xfId="19981"/>
    <cellStyle name="注释 9 2 4 2 4 2" xfId="19982"/>
    <cellStyle name="注释 9 2 4 2 5" xfId="19983"/>
    <cellStyle name="注释 9 2 4 3" xfId="19984"/>
    <cellStyle name="注释 9 2 4 3 2" xfId="19985"/>
    <cellStyle name="注释 9 2 4 3 2 2" xfId="19986"/>
    <cellStyle name="注释 9 2 4 3 2 2 2" xfId="19987"/>
    <cellStyle name="注释 9 2 4 3 2 3" xfId="19988"/>
    <cellStyle name="注释 9 2 4 3 2 3 2" xfId="19989"/>
    <cellStyle name="注释 9 2 4 3 2 4" xfId="19990"/>
    <cellStyle name="注释 9 2 4 3 3" xfId="19991"/>
    <cellStyle name="注释 9 2 4 3 3 2" xfId="19992"/>
    <cellStyle name="注释 9 2 4 3 4" xfId="19993"/>
    <cellStyle name="注释 9 2 4 3 4 2" xfId="19994"/>
    <cellStyle name="注释 9 2 4 3 5" xfId="19995"/>
    <cellStyle name="注释 9 2 4 4" xfId="19996"/>
    <cellStyle name="注释 9 2 4 4 2" xfId="19997"/>
    <cellStyle name="注释 9 2 4 4 2 2" xfId="19998"/>
    <cellStyle name="注释 9 2 4 4 3" xfId="19999"/>
    <cellStyle name="注释 9 2 4 4 3 2" xfId="20000"/>
    <cellStyle name="注释 9 2 4 4 4" xfId="20001"/>
    <cellStyle name="注释 9 2 4 5" xfId="20002"/>
    <cellStyle name="注释 9 2 4 5 2" xfId="20003"/>
    <cellStyle name="注释 9 2 4 6" xfId="20004"/>
    <cellStyle name="注释 9 2 4 6 2" xfId="20005"/>
    <cellStyle name="注释 9 2 4 7" xfId="20006"/>
    <cellStyle name="注释 9 2 5" xfId="20007"/>
    <cellStyle name="注释 9 2 5 2" xfId="20008"/>
    <cellStyle name="注释 9 2 5 2 2" xfId="20009"/>
    <cellStyle name="注释 9 2 5 2 2 2" xfId="20010"/>
    <cellStyle name="注释 9 2 5 2 3" xfId="20011"/>
    <cellStyle name="注释 9 2 5 2 3 2" xfId="20012"/>
    <cellStyle name="注释 9 2 5 2 4" xfId="20013"/>
    <cellStyle name="注释 9 2 5 3" xfId="20014"/>
    <cellStyle name="注释 9 2 5 3 2" xfId="20015"/>
    <cellStyle name="注释 9 2 5 4" xfId="20016"/>
    <cellStyle name="注释 9 2 5 4 2" xfId="20017"/>
    <cellStyle name="注释 9 2 5 5" xfId="20018"/>
    <cellStyle name="注释 9 2 6" xfId="20019"/>
    <cellStyle name="注释 9 2 7" xfId="20020"/>
    <cellStyle name="注释 9 2 7 2" xfId="20021"/>
    <cellStyle name="注释 9 2 7 2 2" xfId="20022"/>
    <cellStyle name="注释 9 2 7 3" xfId="20023"/>
    <cellStyle name="注释 9 2 7 3 2" xfId="20024"/>
    <cellStyle name="注释 9 2 7 4" xfId="20025"/>
    <cellStyle name="注释 9 2 8" xfId="20026"/>
    <cellStyle name="注释 9 2 8 2" xfId="20027"/>
    <cellStyle name="注释 9 2 8 2 2" xfId="20028"/>
    <cellStyle name="注释 9 2 8 3" xfId="20029"/>
    <cellStyle name="注释 9 2 8 3 2" xfId="20030"/>
    <cellStyle name="注释 9 2 8 4" xfId="20031"/>
    <cellStyle name="注释 9 2 9" xfId="20032"/>
    <cellStyle name="注释 9 2 9 2" xfId="20033"/>
    <cellStyle name="注释 9 3" xfId="20034"/>
    <cellStyle name="注释 9 3 2" xfId="20035"/>
    <cellStyle name="注释 9 3 2 2" xfId="20036"/>
    <cellStyle name="注释 9 3 2 2 2" xfId="20037"/>
    <cellStyle name="注释 9 3 2 2 2 2" xfId="20038"/>
    <cellStyle name="注释 9 3 2 2 3" xfId="20039"/>
    <cellStyle name="注释 9 3 2 2 3 2" xfId="20040"/>
    <cellStyle name="注释 9 3 2 2 4" xfId="20041"/>
    <cellStyle name="注释 9 3 2 3" xfId="20042"/>
    <cellStyle name="注释 9 3 2 3 2" xfId="20043"/>
    <cellStyle name="注释 9 3 2 4" xfId="20044"/>
    <cellStyle name="注释 9 3 2 4 2" xfId="20045"/>
    <cellStyle name="注释 9 3 2 5" xfId="20046"/>
    <cellStyle name="注释 9 3 3" xfId="20047"/>
    <cellStyle name="注释 9 3 3 2" xfId="20048"/>
    <cellStyle name="注释 9 3 3 2 2" xfId="20049"/>
    <cellStyle name="注释 9 3 3 3" xfId="20050"/>
    <cellStyle name="注释 9 3 3 3 2" xfId="20051"/>
    <cellStyle name="注释 9 3 3 4" xfId="20052"/>
    <cellStyle name="注释 9 3 4" xfId="20053"/>
    <cellStyle name="注释 9 3 4 2" xfId="20054"/>
    <cellStyle name="注释 9 3 5" xfId="20055"/>
    <cellStyle name="注释 9 3 5 2" xfId="20056"/>
    <cellStyle name="注释 9 3 6" xfId="20057"/>
    <cellStyle name="注释 9 4" xfId="20058"/>
    <cellStyle name="注释 9 4 2" xfId="20059"/>
    <cellStyle name="注释 9 4 2 2" xfId="20060"/>
    <cellStyle name="注释 9 4 2 2 2" xfId="20061"/>
    <cellStyle name="注释 9 4 2 2 2 2" xfId="20062"/>
    <cellStyle name="注释 9 4 2 2 3" xfId="20063"/>
    <cellStyle name="注释 9 4 2 2 3 2" xfId="20064"/>
    <cellStyle name="注释 9 4 2 2 4" xfId="20065"/>
    <cellStyle name="注释 9 4 2 3" xfId="20066"/>
    <cellStyle name="注释 9 4 2 3 2" xfId="20067"/>
    <cellStyle name="注释 9 4 2 4" xfId="20068"/>
    <cellStyle name="注释 9 4 2 4 2" xfId="20069"/>
    <cellStyle name="注释 9 4 2 5" xfId="20070"/>
    <cellStyle name="注释 9 4 3" xfId="20071"/>
    <cellStyle name="注释 9 4 3 2" xfId="20072"/>
    <cellStyle name="注释 9 4 3 2 2" xfId="20073"/>
    <cellStyle name="注释 9 4 3 2 2 2" xfId="20074"/>
    <cellStyle name="注释 9 4 3 2 3" xfId="20075"/>
    <cellStyle name="注释 9 4 3 2 3 2" xfId="20076"/>
    <cellStyle name="注释 9 4 3 2 4" xfId="20077"/>
    <cellStyle name="注释 9 4 3 3" xfId="20078"/>
    <cellStyle name="注释 9 4 3 3 2" xfId="20079"/>
    <cellStyle name="注释 9 4 3 4" xfId="20080"/>
    <cellStyle name="注释 9 4 3 4 2" xfId="20081"/>
    <cellStyle name="注释 9 4 3 5" xfId="20082"/>
    <cellStyle name="注释 9 4 4" xfId="20083"/>
    <cellStyle name="注释 9 4 4 2" xfId="20084"/>
    <cellStyle name="注释 9 4 4 2 2" xfId="20085"/>
    <cellStyle name="注释 9 4 4 3" xfId="20086"/>
    <cellStyle name="注释 9 4 4 3 2" xfId="20087"/>
    <cellStyle name="注释 9 4 4 4" xfId="20088"/>
    <cellStyle name="注释 9 4 5" xfId="20089"/>
    <cellStyle name="注释 9 4 5 2" xfId="20090"/>
    <cellStyle name="注释 9 4 6" xfId="20091"/>
    <cellStyle name="注释 9 4 6 2" xfId="20092"/>
    <cellStyle name="注释 9 4 7" xfId="20093"/>
    <cellStyle name="注释 9 5" xfId="20094"/>
    <cellStyle name="注释 9 6" xfId="20095"/>
    <cellStyle name="注释 9 6 2" xfId="20096"/>
    <cellStyle name="注释 9 6 2 2" xfId="20097"/>
    <cellStyle name="注释 9 6 3" xfId="20098"/>
    <cellStyle name="注释 9 6 3 2" xfId="20099"/>
    <cellStyle name="注释 9 6 4" xfId="20100"/>
    <cellStyle name="注释 9 7" xfId="20101"/>
    <cellStyle name="注释 9 7 2" xfId="20102"/>
    <cellStyle name="注释 9 7 2 2" xfId="20103"/>
    <cellStyle name="注释 9 7 3" xfId="20104"/>
    <cellStyle name="注释 9 7 3 2" xfId="20105"/>
    <cellStyle name="注释 9 7 4" xfId="20106"/>
    <cellStyle name="注释 9 8" xfId="20107"/>
    <cellStyle name="注释 9 8 2" xfId="20108"/>
    <cellStyle name="注释 9 9" xfId="20109"/>
    <cellStyle name="注释 9 9 2" xfId="20110"/>
  </cellStyles>
  <dxfs count="204">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20</xdr:row>
      <xdr:rowOff>0</xdr:rowOff>
    </xdr:from>
    <xdr:to>
      <xdr:col>10</xdr:col>
      <xdr:colOff>427737</xdr:colOff>
      <xdr:row>50</xdr:row>
      <xdr:rowOff>151774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238500"/>
          <a:ext cx="7104762" cy="50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534635</xdr:colOff>
      <xdr:row>28</xdr:row>
      <xdr:rowOff>123825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706835" cy="4924425"/>
        </a:xfrm>
        <a:prstGeom prst="rect">
          <a:avLst/>
        </a:prstGeom>
      </xdr:spPr>
    </xdr:pic>
    <xdr:clientData/>
  </xdr:twoCellAnchor>
  <xdr:twoCellAnchor editAs="oneCell">
    <xdr:from>
      <xdr:col>9</xdr:col>
      <xdr:colOff>542925</xdr:colOff>
      <xdr:row>1</xdr:row>
      <xdr:rowOff>57150</xdr:rowOff>
    </xdr:from>
    <xdr:to>
      <xdr:col>17</xdr:col>
      <xdr:colOff>113403</xdr:colOff>
      <xdr:row>12</xdr:row>
      <xdr:rowOff>129567</xdr:rowOff>
    </xdr:to>
    <xdr:pic>
      <xdr:nvPicPr>
        <xdr:cNvPr id="3" name="图片 2"/>
        <xdr:cNvPicPr>
          <a:picLocks noChangeAspect="1"/>
        </xdr:cNvPicPr>
      </xdr:nvPicPr>
      <xdr:blipFill>
        <a:blip xmlns:r="http://schemas.openxmlformats.org/officeDocument/2006/relationships" r:embed="rId2"/>
        <a:stretch>
          <a:fillRect/>
        </a:stretch>
      </xdr:blipFill>
      <xdr:spPr>
        <a:xfrm>
          <a:off x="6715125" y="228600"/>
          <a:ext cx="5056878" cy="1958367"/>
        </a:xfrm>
        <a:prstGeom prst="rect">
          <a:avLst/>
        </a:prstGeom>
      </xdr:spPr>
    </xdr:pic>
    <xdr:clientData/>
  </xdr:twoCellAnchor>
  <xdr:twoCellAnchor editAs="oneCell">
    <xdr:from>
      <xdr:col>9</xdr:col>
      <xdr:colOff>600074</xdr:colOff>
      <xdr:row>17</xdr:row>
      <xdr:rowOff>1</xdr:rowOff>
    </xdr:from>
    <xdr:to>
      <xdr:col>16</xdr:col>
      <xdr:colOff>638175</xdr:colOff>
      <xdr:row>29</xdr:row>
      <xdr:rowOff>30731</xdr:rowOff>
    </xdr:to>
    <xdr:pic>
      <xdr:nvPicPr>
        <xdr:cNvPr id="4" name="图片 3"/>
        <xdr:cNvPicPr>
          <a:picLocks noChangeAspect="1"/>
        </xdr:cNvPicPr>
      </xdr:nvPicPr>
      <xdr:blipFill>
        <a:blip xmlns:r="http://schemas.openxmlformats.org/officeDocument/2006/relationships" r:embed="rId3"/>
        <a:stretch>
          <a:fillRect/>
        </a:stretch>
      </xdr:blipFill>
      <xdr:spPr>
        <a:xfrm>
          <a:off x="6772274" y="2914651"/>
          <a:ext cx="4838701" cy="2088130"/>
        </a:xfrm>
        <a:prstGeom prst="rect">
          <a:avLst/>
        </a:prstGeom>
      </xdr:spPr>
    </xdr:pic>
    <xdr:clientData/>
  </xdr:twoCellAnchor>
  <xdr:twoCellAnchor editAs="oneCell">
    <xdr:from>
      <xdr:col>9</xdr:col>
      <xdr:colOff>638175</xdr:colOff>
      <xdr:row>33</xdr:row>
      <xdr:rowOff>47625</xdr:rowOff>
    </xdr:from>
    <xdr:to>
      <xdr:col>17</xdr:col>
      <xdr:colOff>275455</xdr:colOff>
      <xdr:row>43</xdr:row>
      <xdr:rowOff>114930</xdr:rowOff>
    </xdr:to>
    <xdr:pic>
      <xdr:nvPicPr>
        <xdr:cNvPr id="6" name="图片 5"/>
        <xdr:cNvPicPr>
          <a:picLocks noChangeAspect="1"/>
        </xdr:cNvPicPr>
      </xdr:nvPicPr>
      <xdr:blipFill>
        <a:blip xmlns:r="http://schemas.openxmlformats.org/officeDocument/2006/relationships" r:embed="rId4"/>
        <a:stretch>
          <a:fillRect/>
        </a:stretch>
      </xdr:blipFill>
      <xdr:spPr>
        <a:xfrm>
          <a:off x="6810375" y="5705475"/>
          <a:ext cx="5123680" cy="1781805"/>
        </a:xfrm>
        <a:prstGeom prst="rect">
          <a:avLst/>
        </a:prstGeom>
      </xdr:spPr>
    </xdr:pic>
    <xdr:clientData/>
  </xdr:twoCellAnchor>
  <xdr:twoCellAnchor editAs="oneCell">
    <xdr:from>
      <xdr:col>2</xdr:col>
      <xdr:colOff>0</xdr:colOff>
      <xdr:row>31</xdr:row>
      <xdr:rowOff>0</xdr:rowOff>
    </xdr:from>
    <xdr:to>
      <xdr:col>9</xdr:col>
      <xdr:colOff>503453</xdr:colOff>
      <xdr:row>47</xdr:row>
      <xdr:rowOff>57150</xdr:rowOff>
    </xdr:to>
    <xdr:pic>
      <xdr:nvPicPr>
        <xdr:cNvPr id="8" name="图片 7"/>
        <xdr:cNvPicPr>
          <a:picLocks noChangeAspect="1"/>
        </xdr:cNvPicPr>
      </xdr:nvPicPr>
      <xdr:blipFill>
        <a:blip xmlns:r="http://schemas.openxmlformats.org/officeDocument/2006/relationships" r:embed="rId5"/>
        <a:stretch>
          <a:fillRect/>
        </a:stretch>
      </xdr:blipFill>
      <xdr:spPr>
        <a:xfrm>
          <a:off x="1371600" y="5314950"/>
          <a:ext cx="5304053" cy="28003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抵押物清单"/>
      <sheetName val="Sheet1"/>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案例"/>
      <sheetName val="土地比较法-住宅、综合"/>
      <sheetName val="假设开发法"/>
      <sheetName val="收益法 (元)"/>
      <sheetName val="收益法（汇总）"/>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商业收益法</v>
          </cell>
        </row>
        <row r="18">
          <cell r="A18" t="str">
            <v>办公楼</v>
          </cell>
        </row>
        <row r="19">
          <cell r="A19" t="str">
            <v>宿舍</v>
          </cell>
        </row>
        <row r="20">
          <cell r="A20" t="str">
            <v>食堂</v>
          </cell>
        </row>
        <row r="21">
          <cell r="A21" t="str">
            <v>车库</v>
          </cell>
          <cell r="B21" t="str">
            <v>地下车库</v>
          </cell>
        </row>
        <row r="22">
          <cell r="A22" t="str">
            <v>戊类库房</v>
          </cell>
          <cell r="B22" t="str">
            <v>地上商业</v>
          </cell>
        </row>
        <row r="23">
          <cell r="A23" t="str">
            <v>燃品库房</v>
          </cell>
          <cell r="B23" t="str">
            <v>负一商业</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efreshError="1"/>
      <sheetData sheetId="15">
        <row r="17">
          <cell r="C17" t="str">
            <v>项目类型</v>
          </cell>
        </row>
        <row r="19">
          <cell r="C19" t="str">
            <v>抵押物商业</v>
          </cell>
        </row>
      </sheetData>
      <sheetData sheetId="1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refreshError="1"/>
      <sheetData sheetId="18" refreshError="1"/>
      <sheetData sheetId="19" refreshError="1"/>
      <sheetData sheetId="20" refreshError="1"/>
      <sheetData sheetId="21" refreshError="1"/>
      <sheetData sheetId="22" refreshError="1"/>
      <sheetData sheetId="23">
        <row r="73">
          <cell r="A73" t="str">
            <v>交易情况</v>
          </cell>
          <cell r="C73" t="str">
            <v>正常</v>
          </cell>
        </row>
        <row r="75">
          <cell r="B75" t="str">
            <v>用途</v>
          </cell>
          <cell r="C75" t="str">
            <v>商业</v>
          </cell>
        </row>
        <row r="106">
          <cell r="B106" t="str">
            <v>毗邻道路的类型与等级</v>
          </cell>
          <cell r="C106" t="str">
            <v>高速路</v>
          </cell>
          <cell r="D106" t="str">
            <v>快速路</v>
          </cell>
          <cell r="E106" t="str">
            <v>主干道</v>
          </cell>
          <cell r="F106" t="str">
            <v>次干道</v>
          </cell>
          <cell r="G106" t="str">
            <v>支路</v>
          </cell>
        </row>
        <row r="108">
          <cell r="B108" t="str">
            <v>土地级别</v>
          </cell>
          <cell r="C108" t="str">
            <v>1级</v>
          </cell>
          <cell r="D108" t="str">
            <v>2级</v>
          </cell>
          <cell r="E108" t="str">
            <v>3级</v>
          </cell>
          <cell r="F108" t="str">
            <v>4级</v>
          </cell>
          <cell r="G108" t="str">
            <v>5级</v>
          </cell>
          <cell r="H108" t="str">
            <v>6级</v>
          </cell>
          <cell r="I108" t="str">
            <v>7级</v>
          </cell>
          <cell r="J108" t="str">
            <v>8级</v>
          </cell>
          <cell r="K108" t="str">
            <v>9级</v>
          </cell>
          <cell r="L108" t="str">
            <v>10级</v>
          </cell>
          <cell r="M108" t="str">
            <v>11级</v>
          </cell>
        </row>
        <row r="119">
          <cell r="B119" t="str">
            <v>宗地形状</v>
          </cell>
          <cell r="C119" t="str">
            <v>规则</v>
          </cell>
          <cell r="D119" t="str">
            <v>较规则</v>
          </cell>
          <cell r="E119" t="str">
            <v>较不规则</v>
          </cell>
          <cell r="F119" t="str">
            <v>不规则</v>
          </cell>
        </row>
        <row r="121">
          <cell r="B121" t="str">
            <v>临街宽度及深度</v>
          </cell>
          <cell r="C121" t="str">
            <v>比例适宜</v>
          </cell>
          <cell r="D121" t="str">
            <v>比例较适宜</v>
          </cell>
          <cell r="E121" t="str">
            <v>比较较不适宜</v>
          </cell>
        </row>
        <row r="123">
          <cell r="B123" t="str">
            <v>宗地开发程度</v>
          </cell>
          <cell r="C123" t="str">
            <v>七通一平</v>
          </cell>
          <cell r="D123" t="str">
            <v>六通一平</v>
          </cell>
          <cell r="E123" t="str">
            <v>五通一平</v>
          </cell>
          <cell r="F123" t="str">
            <v>四通一平</v>
          </cell>
          <cell r="G123" t="str">
            <v>三通一平</v>
          </cell>
        </row>
        <row r="125">
          <cell r="B125" t="str">
            <v>工程地质条件</v>
          </cell>
          <cell r="C125" t="str">
            <v>好</v>
          </cell>
          <cell r="D125" t="str">
            <v>较好</v>
          </cell>
          <cell r="E125" t="str">
            <v>一般</v>
          </cell>
          <cell r="F125" t="str">
            <v>较差</v>
          </cell>
          <cell r="G125" t="str">
            <v>差</v>
          </cell>
        </row>
      </sheetData>
      <sheetData sheetId="24" refreshError="1"/>
      <sheetData sheetId="25" refreshError="1"/>
      <sheetData sheetId="26" refreshError="1"/>
      <sheetData sheetId="27" refreshError="1"/>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t="str">
            <v>车库</v>
          </cell>
        </row>
        <row r="71">
          <cell r="B71" t="str">
            <v>楼层</v>
          </cell>
          <cell r="C71" t="str">
            <v>地下一层</v>
          </cell>
        </row>
        <row r="79">
          <cell r="B79" t="str">
            <v>配套类型（地上主用途）</v>
          </cell>
          <cell r="C79" t="str">
            <v>车库</v>
          </cell>
          <cell r="D79" t="str">
            <v>住宅</v>
          </cell>
        </row>
        <row r="83">
          <cell r="B83" t="str">
            <v>公共部分装修</v>
          </cell>
          <cell r="C83" t="str">
            <v>精装修</v>
          </cell>
          <cell r="D83" t="str">
            <v>普通装修</v>
          </cell>
          <cell r="E83" t="str">
            <v>简装修</v>
          </cell>
        </row>
        <row r="88">
          <cell r="B88" t="str">
            <v>物业等级</v>
          </cell>
          <cell r="C88" t="str">
            <v>专业</v>
          </cell>
          <cell r="D88" t="str">
            <v>普通</v>
          </cell>
        </row>
        <row r="93">
          <cell r="B93" t="str">
            <v>车位类型</v>
          </cell>
          <cell r="C93" t="str">
            <v>平面车位</v>
          </cell>
          <cell r="D93" t="str">
            <v>立体车位</v>
          </cell>
        </row>
        <row r="95">
          <cell r="B95" t="str">
            <v>是否直接入户</v>
          </cell>
          <cell r="C95" t="str">
            <v>是</v>
          </cell>
          <cell r="D95" t="str">
            <v>否</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efreshError="1"/>
      <sheetData sheetId="3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6" refreshError="1"/>
      <sheetData sheetId="37" refreshError="1"/>
      <sheetData sheetId="38" refreshError="1"/>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71" customWidth="1"/>
    <col min="2" max="2" width="81" style="1588" customWidth="1"/>
    <col min="3" max="16384" width="9" style="1586"/>
  </cols>
  <sheetData>
    <row r="1" spans="1:2" s="1574" customFormat="1" ht="16.5" thickBot="1">
      <c r="A1" s="1573" t="s">
        <v>1219</v>
      </c>
      <c r="B1" s="1572" t="s">
        <v>1298</v>
      </c>
    </row>
    <row r="2" spans="1:2" s="1577" customFormat="1" ht="15" thickTop="1">
      <c r="A2" s="1575" t="s">
        <v>1220</v>
      </c>
      <c r="B2" s="1576" t="str">
        <f>'预评函-封皮'!B37:I37</f>
        <v>出让国有建设用地使用权及在建建筑物预评估</v>
      </c>
    </row>
    <row r="3" spans="1:2" s="1580" customFormat="1">
      <c r="A3" s="1578" t="s">
        <v>1221</v>
      </c>
      <c r="B3" s="1579">
        <f>'预评函-封皮'!B40</f>
        <v>0</v>
      </c>
    </row>
    <row r="4" spans="1:2" s="1580" customFormat="1">
      <c r="A4" s="1578" t="s">
        <v>1222</v>
      </c>
      <c r="B4" s="1579" t="str">
        <f>'预评函-封皮'!B46</f>
        <v>（注册号：0)、（注册号：0)</v>
      </c>
    </row>
    <row r="5" spans="1:2" s="1574" customFormat="1" ht="15" thickBot="1">
      <c r="A5" s="1581" t="s">
        <v>1223</v>
      </c>
      <c r="B5" s="1582" t="str">
        <f>'预评函-封皮'!B49</f>
        <v>康正预评字号</v>
      </c>
    </row>
    <row r="6" spans="1:2" s="1577" customFormat="1" ht="15" thickTop="1">
      <c r="A6" s="1575" t="s">
        <v>1224</v>
      </c>
      <c r="B6" s="1576" t="str">
        <f>'预评函-1'!A4</f>
        <v>受贵公司委托，我公司对出让国有建设用地使用权及在建建筑物房地产抵押价值进行了预评估。</v>
      </c>
    </row>
    <row r="7" spans="1:2" s="1580" customFormat="1">
      <c r="A7" s="1578" t="s">
        <v>1264</v>
      </c>
      <c r="B7" s="1579" t="str">
        <f>'预评函-1'!A7</f>
        <v>估价对象为出让国有建设用地使用权及在建建筑物房地产，为所有。根据《国有土地使用证》[]，估价对象（分摊）出让国有建设用地使用权面积为8573.39平方米，建筑面积为20428.608平方米。</v>
      </c>
    </row>
    <row r="8" spans="1:2" s="1580" customFormat="1">
      <c r="A8" s="1578" t="s">
        <v>1265</v>
      </c>
      <c r="B8" s="1579" t="str">
        <f>'预评函-1'!A8</f>
        <v>估价对象简述。项目推广名，项目类型（用途），估价对象分布，各用途面积明细情况：XX用途建筑面积XX平方米，XX用途建筑面积XX平方米，……。复杂面积清单需设‘附表’列示：抵押物清单详见附表</v>
      </c>
    </row>
    <row r="9" spans="1:2" s="1580" customFormat="1">
      <c r="A9" s="1578" t="s">
        <v>1266</v>
      </c>
      <c r="B9" s="1579" t="str">
        <f>'预评函-1'!A10</f>
        <v>估价对象为出让国有建设用地使用权及在建建筑物房地产,属开发建设的，该项目尚在开发建设中。根据《国有土地使用证》[]，估价对象（分摊）出让国有建设用地使用权面积为8573.39平方米，规划建筑面积为20428.608平方米。</v>
      </c>
    </row>
    <row r="10" spans="1:2" s="1580" customFormat="1">
      <c r="A10" s="1578" t="s">
        <v>1267</v>
      </c>
      <c r="B10" s="157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0" customFormat="1">
      <c r="A11" s="1578" t="s">
        <v>1225</v>
      </c>
      <c r="B11" s="1579" t="str">
        <f>'预评函-1'!A13</f>
        <v>为估价委托人了解估价对象房地产市场价值提供参考依据。</v>
      </c>
    </row>
    <row r="12" spans="1:2" s="1580" customFormat="1">
      <c r="A12" s="1578" t="s">
        <v>1226</v>
      </c>
      <c r="B12" s="1579" t="str">
        <f>'预评函-1'!A15</f>
        <v>2019年2月19日（评估专业人员实地查勘之日）</v>
      </c>
    </row>
    <row r="13" spans="1:2" s="1580" customFormat="1">
      <c r="A13" s="1578" t="s">
        <v>1227</v>
      </c>
      <c r="B13" s="1579" t="str">
        <f>'预评函-1'!A18</f>
        <v>本次估价的“房地产价值”是指在正常市场情况下，在价值时点2019年2月19日，估价对象规划用途为，土地取得方式为出让，出让国有建设用地使用权剩余土地使用年限为住宅63.7年、商业33.7年、地下车库43.7年，假定未设立法定优先受偿款下的房地产市场价值。</v>
      </c>
    </row>
    <row r="14" spans="1:2" s="1580" customFormat="1">
      <c r="A14" s="1578" t="s">
        <v>1228</v>
      </c>
      <c r="B14" s="1579" t="str">
        <f>'预评函-1'!A19</f>
        <v>其中，“出让国有建设用地使用权价值”是指估价对象用途为，实际开发程度为宗地红线外“七通”（即、、、、、、）、红线内场地平整条件下，剩余土地使用年限为住宅63.7年、商业33.7年、地下车库43.7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0" customFormat="1">
      <c r="A15" s="1578" t="s">
        <v>1229</v>
      </c>
      <c r="B15" s="1579"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80" customFormat="1">
      <c r="A16" s="1578" t="s">
        <v>1230</v>
      </c>
      <c r="B16" s="157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0" customFormat="1">
      <c r="A17" s="1578" t="s">
        <v>1231</v>
      </c>
      <c r="B17" s="157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74" customFormat="1" ht="15" thickBot="1">
      <c r="A18" s="1581" t="s">
        <v>1232</v>
      </c>
      <c r="B18" s="1582" t="str">
        <f>'预评函-1'!A24</f>
        <v>本次评估采用的主估价方法为成本法和假设开发法。</v>
      </c>
    </row>
    <row r="19" spans="1:2" s="1577" customFormat="1" ht="15" thickTop="1">
      <c r="A19" s="1575" t="s">
        <v>1233</v>
      </c>
      <c r="B19" s="157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0" customFormat="1">
      <c r="A20" s="1578" t="s">
        <v>1234</v>
      </c>
      <c r="B20" s="1579">
        <f ca="1">'预评函-2'!D5</f>
        <v>15703</v>
      </c>
    </row>
    <row r="21" spans="1:2" s="1580" customFormat="1">
      <c r="A21" s="1578" t="s">
        <v>1235</v>
      </c>
      <c r="B21" s="1579">
        <f ca="1">'预评函-2'!D7</f>
        <v>7687</v>
      </c>
    </row>
    <row r="22" spans="1:2" s="1580" customFormat="1">
      <c r="A22" s="1578" t="s">
        <v>1236</v>
      </c>
      <c r="B22" s="1579" t="str">
        <f ca="1">'预评函-2'!D6</f>
        <v>壹亿伍仟柒佰零叁万元整</v>
      </c>
    </row>
    <row r="23" spans="1:2" s="1580" customFormat="1">
      <c r="A23" s="1578" t="s">
        <v>1287</v>
      </c>
      <c r="B23" s="1579" t="str">
        <f>'预评函-2'!B8</f>
        <v>2.估价师知悉的法定优先受偿款</v>
      </c>
    </row>
    <row r="24" spans="1:2" s="1580" customFormat="1">
      <c r="A24" s="1578" t="s">
        <v>1293</v>
      </c>
      <c r="B24" s="1579">
        <f>'预评函-2'!D8</f>
        <v>0</v>
      </c>
    </row>
    <row r="25" spans="1:2" s="1580" customFormat="1">
      <c r="A25" s="1578" t="s">
        <v>1237</v>
      </c>
      <c r="B25" s="1579" t="str">
        <f>'预评函-2'!D9</f>
        <v>零元整</v>
      </c>
    </row>
    <row r="26" spans="1:2" s="1580" customFormat="1">
      <c r="A26" s="1578" t="s">
        <v>1238</v>
      </c>
      <c r="B26" s="1579">
        <f>'预评函-2'!D10</f>
        <v>0</v>
      </c>
    </row>
    <row r="27" spans="1:2" s="1580" customFormat="1">
      <c r="A27" s="1578" t="s">
        <v>1239</v>
      </c>
      <c r="B27" s="1579">
        <f>'预评函-2'!D11</f>
        <v>0</v>
      </c>
    </row>
    <row r="28" spans="1:2" s="1580" customFormat="1">
      <c r="A28" s="1578" t="s">
        <v>1240</v>
      </c>
      <c r="B28" s="1579">
        <f>'预评函-2'!D12</f>
        <v>0</v>
      </c>
    </row>
    <row r="29" spans="1:2" s="1580" customFormat="1">
      <c r="A29" s="1578" t="s">
        <v>1291</v>
      </c>
      <c r="B29" s="1579" t="str">
        <f>'预评函-2'!B13</f>
        <v>3.房地产抵押价值</v>
      </c>
    </row>
    <row r="30" spans="1:2" s="1580" customFormat="1">
      <c r="A30" s="1578" t="s">
        <v>1292</v>
      </c>
      <c r="B30" s="1579">
        <f ca="1">'预评函-2'!D13</f>
        <v>15703</v>
      </c>
    </row>
    <row r="31" spans="1:2" s="1580" customFormat="1">
      <c r="A31" s="1578" t="s">
        <v>1274</v>
      </c>
      <c r="B31" s="1579">
        <f ca="1">'预评函-2'!D15</f>
        <v>7687</v>
      </c>
    </row>
    <row r="32" spans="1:2" s="1580" customFormat="1">
      <c r="A32" s="1578" t="s">
        <v>1241</v>
      </c>
      <c r="B32" s="1579" t="str">
        <f ca="1">'预评函-2'!D14</f>
        <v>壹亿伍仟柒佰零叁万元整</v>
      </c>
    </row>
    <row r="33" spans="1:2" s="1580" customFormat="1">
      <c r="A33" s="1578" t="s">
        <v>1276</v>
      </c>
      <c r="B33" s="1579" t="str">
        <f>'预评函-2'!B16</f>
        <v>——</v>
      </c>
    </row>
    <row r="34" spans="1:2" s="1580" customFormat="1">
      <c r="A34" s="1578" t="s">
        <v>1294</v>
      </c>
      <c r="B34" s="1579" t="str">
        <f>'预评函-2'!D16</f>
        <v>——</v>
      </c>
    </row>
    <row r="35" spans="1:2" s="1580" customFormat="1">
      <c r="A35" s="1578" t="s">
        <v>1275</v>
      </c>
      <c r="B35" s="1579" t="str">
        <f>'预评函-2'!D18</f>
        <v>——</v>
      </c>
    </row>
    <row r="36" spans="1:2" s="1580" customFormat="1">
      <c r="A36" s="1578" t="s">
        <v>1242</v>
      </c>
      <c r="B36" s="1579" t="e">
        <f>'预评函-2'!D17</f>
        <v>#VALUE!</v>
      </c>
    </row>
    <row r="37" spans="1:2" s="1580" customFormat="1">
      <c r="A37" s="1578" t="s">
        <v>1277</v>
      </c>
      <c r="B37" s="1579" t="str">
        <f>'预评函-2'!B19</f>
        <v>——</v>
      </c>
    </row>
    <row r="38" spans="1:2" s="1580" customFormat="1">
      <c r="A38" s="1578" t="s">
        <v>1295</v>
      </c>
      <c r="B38" s="1579" t="str">
        <f>'预评函-2'!D19</f>
        <v>——</v>
      </c>
    </row>
    <row r="39" spans="1:2" s="1580" customFormat="1">
      <c r="A39" s="1578" t="s">
        <v>1243</v>
      </c>
      <c r="B39" s="1579" t="str">
        <f>'预评函-2'!D21</f>
        <v>——</v>
      </c>
    </row>
    <row r="40" spans="1:2" s="1580" customFormat="1">
      <c r="A40" s="1578" t="s">
        <v>1244</v>
      </c>
      <c r="B40" s="1579" t="e">
        <f>'预评函-2'!D20</f>
        <v>#VALUE!</v>
      </c>
    </row>
    <row r="41" spans="1:2" s="1580" customFormat="1">
      <c r="A41" s="1578" t="s">
        <v>1290</v>
      </c>
      <c r="B41" s="1579" t="str">
        <f>'预评函-3'!A4</f>
        <v>出让国有建设用地使用权及在建建筑物房地产</v>
      </c>
    </row>
    <row r="42" spans="1:2" s="1580" customFormat="1">
      <c r="A42" s="1578" t="s">
        <v>1288</v>
      </c>
      <c r="B42" s="1579" t="str">
        <f>'预评函-3'!B2</f>
        <v>建筑面积</v>
      </c>
    </row>
    <row r="43" spans="1:2" s="1580" customFormat="1">
      <c r="A43" s="1578" t="s">
        <v>1289</v>
      </c>
      <c r="B43" s="1579">
        <f>'预评函-3'!B4</f>
        <v>20428.607999999997</v>
      </c>
    </row>
    <row r="44" spans="1:2" s="1580" customFormat="1">
      <c r="A44" s="1578" t="s">
        <v>1273</v>
      </c>
      <c r="B44" s="1579" t="str">
        <f>'预评函-3'!C2</f>
        <v>(分摊)土地面积</v>
      </c>
    </row>
    <row r="45" spans="1:2" s="1580" customFormat="1">
      <c r="A45" s="1578" t="s">
        <v>1245</v>
      </c>
      <c r="B45" s="1579">
        <f>'预评函-3'!C4</f>
        <v>8573.39</v>
      </c>
    </row>
    <row r="46" spans="1:2" s="1580" customFormat="1">
      <c r="A46" s="1578" t="s">
        <v>1271</v>
      </c>
      <c r="B46" s="1579" t="str">
        <f>'预评函-3'!D2</f>
        <v>出让国有建设用地使用权价值</v>
      </c>
    </row>
    <row r="47" spans="1:2" s="1580" customFormat="1">
      <c r="A47" s="1578" t="s">
        <v>1246</v>
      </c>
      <c r="B47" s="1579">
        <f ca="1">'预评函-3'!D4</f>
        <v>1209</v>
      </c>
    </row>
    <row r="48" spans="1:2" s="1580" customFormat="1">
      <c r="A48" s="1578" t="s">
        <v>1247</v>
      </c>
      <c r="B48" s="1579">
        <f ca="1">'预评函-3'!E4</f>
        <v>592</v>
      </c>
    </row>
    <row r="49" spans="1:2" s="1580" customFormat="1">
      <c r="A49" s="1578" t="s">
        <v>1248</v>
      </c>
      <c r="B49" s="1579" t="str">
        <f ca="1">'预评函-3'!D5</f>
        <v>壹仟贰佰零玖万元整</v>
      </c>
    </row>
    <row r="50" spans="1:2" s="1580" customFormat="1">
      <c r="A50" s="1578" t="s">
        <v>1272</v>
      </c>
      <c r="B50" s="1579" t="str">
        <f>'预评函-3'!F2</f>
        <v>在建建筑物价值</v>
      </c>
    </row>
    <row r="51" spans="1:2" s="1580" customFormat="1">
      <c r="A51" s="1578" t="s">
        <v>1249</v>
      </c>
      <c r="B51" s="1579">
        <f ca="1">'预评函-3'!F4</f>
        <v>14494</v>
      </c>
    </row>
    <row r="52" spans="1:2" s="1580" customFormat="1">
      <c r="A52" s="1578" t="s">
        <v>1250</v>
      </c>
      <c r="B52" s="1579">
        <f ca="1">'预评函-3'!G4</f>
        <v>7095</v>
      </c>
    </row>
    <row r="53" spans="1:2" s="1580" customFormat="1">
      <c r="A53" s="1578" t="s">
        <v>1278</v>
      </c>
      <c r="B53" s="1579" t="str">
        <f ca="1">'预评函-3'!F5</f>
        <v>壹亿肆仟肆佰玖拾肆万元整</v>
      </c>
    </row>
    <row r="54" spans="1:2" s="1580" customFormat="1">
      <c r="A54" s="1578" t="s">
        <v>1296</v>
      </c>
      <c r="B54" s="1579" t="str">
        <f>'预评函-3'!A8</f>
        <v>房地产抵押价值</v>
      </c>
    </row>
    <row r="55" spans="1:2" s="1580" customFormat="1">
      <c r="A55" s="1578" t="s">
        <v>1279</v>
      </c>
      <c r="B55" s="1579" t="str">
        <f>'预评函-3'!A10</f>
        <v/>
      </c>
    </row>
    <row r="56" spans="1:2" s="1580" customFormat="1">
      <c r="A56" s="1578" t="s">
        <v>1280</v>
      </c>
      <c r="B56" s="1579" t="str">
        <f>'预评函-3'!A12</f>
        <v/>
      </c>
    </row>
    <row r="57" spans="1:2" s="1574" customFormat="1" ht="15" thickBot="1">
      <c r="A57" s="1581" t="s">
        <v>1297</v>
      </c>
      <c r="B57" s="1582" t="str">
        <f>'预评函-3'!A6</f>
        <v>估价师知悉的法定优先受偿款</v>
      </c>
    </row>
    <row r="58" spans="1:2" s="1577" customFormat="1" ht="15" thickTop="1">
      <c r="A58" s="1575" t="s">
        <v>1251</v>
      </c>
      <c r="B58" s="1576" t="str">
        <f>'预评函-4'!A12</f>
        <v>2.本次评估设定估价对象房地产权属无争议，未被查封或者以其他形式限制其房地产权利，未设定抵押权等他项权利，不涉及第三方权利义务。</v>
      </c>
    </row>
    <row r="59" spans="1:2" s="1580" customFormat="1">
      <c r="A59" s="1578" t="s">
        <v>1252</v>
      </c>
      <c r="B59" s="1579" t="str">
        <f>'预评函-4'!A13</f>
        <v>——</v>
      </c>
    </row>
    <row r="60" spans="1:2" s="1580" customFormat="1">
      <c r="A60" s="1578" t="s">
        <v>1253</v>
      </c>
      <c r="B60" s="1579" t="str">
        <f>'预评函-4'!A14</f>
        <v>——</v>
      </c>
    </row>
    <row r="61" spans="1:2" s="1580" customFormat="1">
      <c r="A61" s="1578" t="s">
        <v>1254</v>
      </c>
      <c r="B61" s="1579" t="str">
        <f>'预评函-4'!A15</f>
        <v>——</v>
      </c>
    </row>
    <row r="62" spans="1:2" s="1580" customFormat="1">
      <c r="A62" s="1578" t="s">
        <v>1255</v>
      </c>
      <c r="B62" s="1579" t="str">
        <f>'预评函-4'!A16</f>
        <v>（2）根据《工程款支付情况说明》，截至价值时点，估价对象不存在应付未付工程款项。（只要没有施工方盖章的，均“设定”进行表述）</v>
      </c>
    </row>
    <row r="63" spans="1:2" s="1580" customFormat="1">
      <c r="A63" s="1578" t="s">
        <v>1256</v>
      </c>
      <c r="B63" s="157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0" customFormat="1">
      <c r="A64" s="1578" t="s">
        <v>1268</v>
      </c>
      <c r="B64" s="1579" t="str">
        <f>'预评函-4'!A18</f>
        <v>——</v>
      </c>
    </row>
    <row r="65" spans="1:2" s="1580" customFormat="1">
      <c r="A65" s="1578" t="s">
        <v>1257</v>
      </c>
      <c r="B65" s="157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0" customFormat="1">
      <c r="A66" s="1578" t="s">
        <v>1258</v>
      </c>
      <c r="B66" s="157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0" customFormat="1">
      <c r="A67" s="1578" t="s">
        <v>1269</v>
      </c>
      <c r="B67" s="157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0" customFormat="1">
      <c r="A68" s="1578" t="s">
        <v>1270</v>
      </c>
      <c r="B68" s="1579" t="str">
        <f>'预评函-4'!A22</f>
        <v>8.其他需特殊说明事项：无（注意调整序号）</v>
      </c>
    </row>
    <row r="69" spans="1:2" s="1574" customFormat="1" ht="15" thickBot="1">
      <c r="A69" s="1581" t="s">
        <v>1259</v>
      </c>
      <c r="B69" s="1583">
        <f>'预评函-4'!C31</f>
        <v>42551</v>
      </c>
    </row>
    <row r="70" spans="1:2" ht="15" thickTop="1">
      <c r="A70" s="1584" t="s">
        <v>1260</v>
      </c>
      <c r="B70" s="1585">
        <f>'预评函-4'!A4</f>
        <v>0</v>
      </c>
    </row>
    <row r="71" spans="1:2">
      <c r="A71" s="1578" t="s">
        <v>1261</v>
      </c>
      <c r="B71" s="1579">
        <f>'预评函-4'!B4</f>
        <v>0</v>
      </c>
    </row>
    <row r="72" spans="1:2">
      <c r="A72" s="1578" t="s">
        <v>1262</v>
      </c>
      <c r="B72" s="1587">
        <f>'预评函-4'!A5</f>
        <v>0</v>
      </c>
    </row>
    <row r="73" spans="1:2" s="1574" customFormat="1" ht="15" thickBot="1">
      <c r="A73" s="1581" t="s">
        <v>1263</v>
      </c>
      <c r="B73" s="1582">
        <f>'预评函-4'!B5</f>
        <v>0</v>
      </c>
    </row>
    <row r="74" spans="1:2" ht="15" thickTop="1">
      <c r="A74" s="1571" t="s">
        <v>1299</v>
      </c>
      <c r="B74" s="158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31"/>
  <sheetViews>
    <sheetView topLeftCell="D1" workbookViewId="0">
      <selection activeCell="L5" sqref="L5"/>
    </sheetView>
  </sheetViews>
  <sheetFormatPr defaultRowHeight="13.5"/>
  <cols>
    <col min="1" max="1" width="7.5" style="1725" customWidth="1"/>
    <col min="2" max="2" width="13" style="1725" customWidth="1"/>
    <col min="3" max="3" width="20.375" style="1725" customWidth="1"/>
    <col min="4" max="5" width="20.5" style="1725" bestFit="1" customWidth="1"/>
    <col min="6" max="6" width="19.125" style="1725" customWidth="1"/>
    <col min="7" max="9" width="9" style="1725"/>
    <col min="10" max="10" width="10.5" style="1725" bestFit="1" customWidth="1"/>
    <col min="11" max="16384" width="9" style="1725"/>
  </cols>
  <sheetData>
    <row r="1" spans="1:12" ht="45" customHeight="1">
      <c r="A1" s="3121" t="s">
        <v>3204</v>
      </c>
      <c r="B1" s="3121"/>
      <c r="C1" s="3121"/>
      <c r="D1" s="3121"/>
      <c r="E1" s="3121"/>
      <c r="F1" s="3121"/>
    </row>
    <row r="2" spans="1:12" ht="45" customHeight="1">
      <c r="A2" s="2999"/>
      <c r="B2" s="2999"/>
      <c r="C2" s="2999"/>
      <c r="D2" s="2999" t="s">
        <v>3205</v>
      </c>
      <c r="E2" s="2999" t="s">
        <v>3206</v>
      </c>
      <c r="F2" s="2999"/>
    </row>
    <row r="3" spans="1:12" ht="14.25">
      <c r="A3" s="3000" t="s">
        <v>3207</v>
      </c>
      <c r="B3" s="3001" t="s">
        <v>3208</v>
      </c>
      <c r="C3" s="3002" t="s">
        <v>3209</v>
      </c>
      <c r="D3" s="3003" t="s">
        <v>3210</v>
      </c>
      <c r="E3" s="3003"/>
      <c r="F3" s="3004" t="s">
        <v>3211</v>
      </c>
      <c r="I3" s="1725" t="s">
        <v>3884</v>
      </c>
      <c r="J3" s="1725" t="s">
        <v>3883</v>
      </c>
      <c r="K3" s="1725" t="s">
        <v>3885</v>
      </c>
    </row>
    <row r="4" spans="1:12" ht="14.25">
      <c r="A4" s="3005" t="s">
        <v>3212</v>
      </c>
      <c r="B4" s="3006" t="s">
        <v>3213</v>
      </c>
      <c r="C4" s="3007" t="s">
        <v>3214</v>
      </c>
      <c r="D4" s="3008">
        <v>107.6</v>
      </c>
      <c r="E4" s="3008">
        <v>107.6</v>
      </c>
      <c r="F4" s="3009" t="s">
        <v>3215</v>
      </c>
      <c r="I4" s="1725" t="s">
        <v>3881</v>
      </c>
      <c r="J4" s="3069">
        <f>SUM(E4:E43)+SUM(E54:E63)+SUM(E72:E74)+SUM(E82:E86)+SUM(E91:E98)+SUM(E109:E131)+SUM(E155:E174)+SUM(E201:E203)+SUM(E207:E219)</f>
        <v>11136.244000000001</v>
      </c>
      <c r="K4" s="1725">
        <v>15000</v>
      </c>
    </row>
    <row r="5" spans="1:12" ht="14.25">
      <c r="A5" s="3005" t="s">
        <v>3216</v>
      </c>
      <c r="B5" s="3006" t="s">
        <v>3217</v>
      </c>
      <c r="C5" s="3010" t="s">
        <v>3218</v>
      </c>
      <c r="D5" s="3011">
        <v>90.68</v>
      </c>
      <c r="E5" s="3011">
        <v>90.68</v>
      </c>
      <c r="F5" s="3009" t="s">
        <v>3215</v>
      </c>
      <c r="I5" s="1725" t="s">
        <v>3882</v>
      </c>
      <c r="J5" s="3070">
        <f>E230-J4</f>
        <v>9292.3639999999959</v>
      </c>
      <c r="K5" s="1725">
        <f>K4*0.5</f>
        <v>7500</v>
      </c>
      <c r="L5" s="1725">
        <f>(J4*K4+J5*K5)/(J4+J5)</f>
        <v>11588.473869585241</v>
      </c>
    </row>
    <row r="6" spans="1:12" ht="14.25">
      <c r="A6" s="3005" t="s">
        <v>3219</v>
      </c>
      <c r="B6" s="3006" t="s">
        <v>3217</v>
      </c>
      <c r="C6" s="3010" t="s">
        <v>3220</v>
      </c>
      <c r="D6" s="3011">
        <v>92.27</v>
      </c>
      <c r="E6" s="3011">
        <v>92.27</v>
      </c>
      <c r="F6" s="3009" t="s">
        <v>3215</v>
      </c>
    </row>
    <row r="7" spans="1:12" ht="14.25">
      <c r="A7" s="3005" t="s">
        <v>3221</v>
      </c>
      <c r="B7" s="3006" t="s">
        <v>3217</v>
      </c>
      <c r="C7" s="3010" t="s">
        <v>3222</v>
      </c>
      <c r="D7" s="3011">
        <v>97.3</v>
      </c>
      <c r="E7" s="3011">
        <v>97.3</v>
      </c>
      <c r="F7" s="3009" t="s">
        <v>3215</v>
      </c>
    </row>
    <row r="8" spans="1:12" ht="14.25">
      <c r="A8" s="3005" t="s">
        <v>3223</v>
      </c>
      <c r="B8" s="3006" t="s">
        <v>3217</v>
      </c>
      <c r="C8" s="3010" t="s">
        <v>3224</v>
      </c>
      <c r="D8" s="3011">
        <v>78.33</v>
      </c>
      <c r="E8" s="3011">
        <v>78.33</v>
      </c>
      <c r="F8" s="3009" t="s">
        <v>3215</v>
      </c>
    </row>
    <row r="9" spans="1:12" ht="14.25">
      <c r="A9" s="3005" t="s">
        <v>3225</v>
      </c>
      <c r="B9" s="3006" t="s">
        <v>3217</v>
      </c>
      <c r="C9" s="3010" t="s">
        <v>3226</v>
      </c>
      <c r="D9" s="3011">
        <v>81.84</v>
      </c>
      <c r="E9" s="3011">
        <v>81.84</v>
      </c>
      <c r="F9" s="3009" t="s">
        <v>3215</v>
      </c>
    </row>
    <row r="10" spans="1:12" ht="14.25">
      <c r="A10" s="3005" t="s">
        <v>3227</v>
      </c>
      <c r="B10" s="3006" t="s">
        <v>3217</v>
      </c>
      <c r="C10" s="3010" t="s">
        <v>3228</v>
      </c>
      <c r="D10" s="3011">
        <v>114.39</v>
      </c>
      <c r="E10" s="3011">
        <v>114.39</v>
      </c>
      <c r="F10" s="3009" t="s">
        <v>3215</v>
      </c>
    </row>
    <row r="11" spans="1:12" ht="14.25">
      <c r="A11" s="3005" t="s">
        <v>3229</v>
      </c>
      <c r="B11" s="3006" t="s">
        <v>3217</v>
      </c>
      <c r="C11" s="3010" t="s">
        <v>3230</v>
      </c>
      <c r="D11" s="3011">
        <v>92.27</v>
      </c>
      <c r="E11" s="3011">
        <v>92.27</v>
      </c>
      <c r="F11" s="3009" t="s">
        <v>3215</v>
      </c>
    </row>
    <row r="12" spans="1:12" ht="14.25">
      <c r="A12" s="3005" t="s">
        <v>3231</v>
      </c>
      <c r="B12" s="3006" t="s">
        <v>3217</v>
      </c>
      <c r="C12" s="3010" t="s">
        <v>3232</v>
      </c>
      <c r="D12" s="3011">
        <v>90.68</v>
      </c>
      <c r="E12" s="3011">
        <v>90.68</v>
      </c>
      <c r="F12" s="3009" t="s">
        <v>3215</v>
      </c>
    </row>
    <row r="13" spans="1:12" ht="14.25">
      <c r="A13" s="3005" t="s">
        <v>3233</v>
      </c>
      <c r="B13" s="3006" t="s">
        <v>3217</v>
      </c>
      <c r="C13" s="3010" t="s">
        <v>3234</v>
      </c>
      <c r="D13" s="3011">
        <v>62.97</v>
      </c>
      <c r="E13" s="3011">
        <v>62.97</v>
      </c>
      <c r="F13" s="3009" t="s">
        <v>3215</v>
      </c>
    </row>
    <row r="14" spans="1:12" ht="14.25">
      <c r="A14" s="3005" t="s">
        <v>3235</v>
      </c>
      <c r="B14" s="3006" t="s">
        <v>3217</v>
      </c>
      <c r="C14" s="3010" t="s">
        <v>3236</v>
      </c>
      <c r="D14" s="3011">
        <v>62.97</v>
      </c>
      <c r="E14" s="3011">
        <v>62.97</v>
      </c>
      <c r="F14" s="3009" t="s">
        <v>3215</v>
      </c>
    </row>
    <row r="15" spans="1:12" ht="14.25">
      <c r="A15" s="3005" t="s">
        <v>3237</v>
      </c>
      <c r="B15" s="3006" t="s">
        <v>3217</v>
      </c>
      <c r="C15" s="3010" t="s">
        <v>3238</v>
      </c>
      <c r="D15" s="3011">
        <v>62.97</v>
      </c>
      <c r="E15" s="3011">
        <v>62.97</v>
      </c>
      <c r="F15" s="3009" t="s">
        <v>3215</v>
      </c>
    </row>
    <row r="16" spans="1:12" ht="14.25">
      <c r="A16" s="3005" t="s">
        <v>3239</v>
      </c>
      <c r="B16" s="3006" t="s">
        <v>3217</v>
      </c>
      <c r="C16" s="3010" t="s">
        <v>3240</v>
      </c>
      <c r="D16" s="3011">
        <v>72.41</v>
      </c>
      <c r="E16" s="3011">
        <v>72.41</v>
      </c>
      <c r="F16" s="3009" t="s">
        <v>3215</v>
      </c>
    </row>
    <row r="17" spans="1:6" ht="14.25">
      <c r="A17" s="3005" t="s">
        <v>3241</v>
      </c>
      <c r="B17" s="3006" t="s">
        <v>3217</v>
      </c>
      <c r="C17" s="3010" t="s">
        <v>3242</v>
      </c>
      <c r="D17" s="3011">
        <v>90.68</v>
      </c>
      <c r="E17" s="3011">
        <v>90.68</v>
      </c>
      <c r="F17" s="3009" t="s">
        <v>3215</v>
      </c>
    </row>
    <row r="18" spans="1:6" ht="14.25">
      <c r="A18" s="3005" t="s">
        <v>3243</v>
      </c>
      <c r="B18" s="3006" t="s">
        <v>3217</v>
      </c>
      <c r="C18" s="3010" t="s">
        <v>3244</v>
      </c>
      <c r="D18" s="3011">
        <v>92.27</v>
      </c>
      <c r="E18" s="3011">
        <v>92.27</v>
      </c>
      <c r="F18" s="3009" t="s">
        <v>3215</v>
      </c>
    </row>
    <row r="19" spans="1:6" ht="14.25">
      <c r="A19" s="3005" t="s">
        <v>3245</v>
      </c>
      <c r="B19" s="3006" t="s">
        <v>3217</v>
      </c>
      <c r="C19" s="3010" t="s">
        <v>3246</v>
      </c>
      <c r="D19" s="3011">
        <v>97.3</v>
      </c>
      <c r="E19" s="3011">
        <v>97.3</v>
      </c>
      <c r="F19" s="3009" t="s">
        <v>3215</v>
      </c>
    </row>
    <row r="20" spans="1:6" ht="14.25">
      <c r="A20" s="3005" t="s">
        <v>3247</v>
      </c>
      <c r="B20" s="3006" t="s">
        <v>3217</v>
      </c>
      <c r="C20" s="3010" t="s">
        <v>3248</v>
      </c>
      <c r="D20" s="3011">
        <v>78.33</v>
      </c>
      <c r="E20" s="3011">
        <v>78.33</v>
      </c>
      <c r="F20" s="3009" t="s">
        <v>3215</v>
      </c>
    </row>
    <row r="21" spans="1:6" ht="14.25">
      <c r="A21" s="3005" t="s">
        <v>3249</v>
      </c>
      <c r="B21" s="3006" t="s">
        <v>3217</v>
      </c>
      <c r="C21" s="3010" t="s">
        <v>3250</v>
      </c>
      <c r="D21" s="3011">
        <v>81.84</v>
      </c>
      <c r="E21" s="3011">
        <v>81.84</v>
      </c>
      <c r="F21" s="3009" t="s">
        <v>3215</v>
      </c>
    </row>
    <row r="22" spans="1:6" ht="14.25">
      <c r="A22" s="3005" t="s">
        <v>3251</v>
      </c>
      <c r="B22" s="3006" t="s">
        <v>3217</v>
      </c>
      <c r="C22" s="3010" t="s">
        <v>3252</v>
      </c>
      <c r="D22" s="3011">
        <v>114.39</v>
      </c>
      <c r="E22" s="3011">
        <v>114.39</v>
      </c>
      <c r="F22" s="3009" t="s">
        <v>3215</v>
      </c>
    </row>
    <row r="23" spans="1:6" ht="14.25">
      <c r="A23" s="3005" t="s">
        <v>3253</v>
      </c>
      <c r="B23" s="3006" t="s">
        <v>3217</v>
      </c>
      <c r="C23" s="3010" t="s">
        <v>3254</v>
      </c>
      <c r="D23" s="3011">
        <v>92.27</v>
      </c>
      <c r="E23" s="3011">
        <v>92.27</v>
      </c>
      <c r="F23" s="3009" t="s">
        <v>3215</v>
      </c>
    </row>
    <row r="24" spans="1:6" ht="14.25">
      <c r="A24" s="3005" t="s">
        <v>3255</v>
      </c>
      <c r="B24" s="3006" t="s">
        <v>3217</v>
      </c>
      <c r="C24" s="3010" t="s">
        <v>3256</v>
      </c>
      <c r="D24" s="3011">
        <v>90.68</v>
      </c>
      <c r="E24" s="3011">
        <v>90.68</v>
      </c>
      <c r="F24" s="3009" t="s">
        <v>3215</v>
      </c>
    </row>
    <row r="25" spans="1:6" ht="14.25">
      <c r="A25" s="3005" t="s">
        <v>3257</v>
      </c>
      <c r="B25" s="3006" t="s">
        <v>3258</v>
      </c>
      <c r="C25" s="3010" t="s">
        <v>3259</v>
      </c>
      <c r="D25" s="3011">
        <v>56.97</v>
      </c>
      <c r="E25" s="3011">
        <v>56.97</v>
      </c>
      <c r="F25" s="3009" t="s">
        <v>3215</v>
      </c>
    </row>
    <row r="26" spans="1:6" ht="14.25">
      <c r="A26" s="3005" t="s">
        <v>3260</v>
      </c>
      <c r="B26" s="3006" t="s">
        <v>3258</v>
      </c>
      <c r="C26" s="3010" t="s">
        <v>3261</v>
      </c>
      <c r="D26" s="3011">
        <v>63.3</v>
      </c>
      <c r="E26" s="3011">
        <v>63.3</v>
      </c>
      <c r="F26" s="3009" t="s">
        <v>3215</v>
      </c>
    </row>
    <row r="27" spans="1:6" ht="14.25">
      <c r="A27" s="3005" t="s">
        <v>3262</v>
      </c>
      <c r="B27" s="3006" t="s">
        <v>3258</v>
      </c>
      <c r="C27" s="3010" t="s">
        <v>3263</v>
      </c>
      <c r="D27" s="3011">
        <v>116.01</v>
      </c>
      <c r="E27" s="3011">
        <v>116.01</v>
      </c>
      <c r="F27" s="3009" t="s">
        <v>3215</v>
      </c>
    </row>
    <row r="28" spans="1:6" ht="14.25">
      <c r="A28" s="3005" t="s">
        <v>3264</v>
      </c>
      <c r="B28" s="3006" t="s">
        <v>3258</v>
      </c>
      <c r="C28" s="3010" t="s">
        <v>3265</v>
      </c>
      <c r="D28" s="3011">
        <v>83.74</v>
      </c>
      <c r="E28" s="3011">
        <v>83.74</v>
      </c>
      <c r="F28" s="3009" t="s">
        <v>3215</v>
      </c>
    </row>
    <row r="29" spans="1:6" ht="14.25">
      <c r="A29" s="3005" t="s">
        <v>3266</v>
      </c>
      <c r="B29" s="3006" t="s">
        <v>3258</v>
      </c>
      <c r="C29" s="3010" t="s">
        <v>3267</v>
      </c>
      <c r="D29" s="3011">
        <v>83.88</v>
      </c>
      <c r="E29" s="3011">
        <v>83.88</v>
      </c>
      <c r="F29" s="3009" t="s">
        <v>3215</v>
      </c>
    </row>
    <row r="30" spans="1:6" ht="14.25">
      <c r="A30" s="3005" t="s">
        <v>3268</v>
      </c>
      <c r="B30" s="3006" t="s">
        <v>3258</v>
      </c>
      <c r="C30" s="3010" t="s">
        <v>3269</v>
      </c>
      <c r="D30" s="3011">
        <v>65.709999999999994</v>
      </c>
      <c r="E30" s="3011">
        <v>65.709999999999994</v>
      </c>
      <c r="F30" s="3009" t="s">
        <v>3215</v>
      </c>
    </row>
    <row r="31" spans="1:6" ht="14.25">
      <c r="A31" s="3005" t="s">
        <v>3270</v>
      </c>
      <c r="B31" s="3006" t="s">
        <v>3258</v>
      </c>
      <c r="C31" s="3010" t="s">
        <v>3271</v>
      </c>
      <c r="D31" s="3011">
        <v>67.25</v>
      </c>
      <c r="E31" s="3011">
        <v>67.25</v>
      </c>
      <c r="F31" s="3009" t="s">
        <v>3215</v>
      </c>
    </row>
    <row r="32" spans="1:6" ht="14.25">
      <c r="A32" s="3005" t="s">
        <v>3272</v>
      </c>
      <c r="B32" s="3006" t="s">
        <v>3258</v>
      </c>
      <c r="C32" s="3010" t="s">
        <v>3273</v>
      </c>
      <c r="D32" s="3011">
        <v>83.88</v>
      </c>
      <c r="E32" s="3011">
        <v>83.88</v>
      </c>
      <c r="F32" s="3009" t="s">
        <v>3215</v>
      </c>
    </row>
    <row r="33" spans="1:6" ht="14.25">
      <c r="A33" s="3005" t="s">
        <v>3274</v>
      </c>
      <c r="B33" s="3006" t="s">
        <v>3258</v>
      </c>
      <c r="C33" s="3010" t="s">
        <v>3275</v>
      </c>
      <c r="D33" s="3011">
        <v>120.87</v>
      </c>
      <c r="E33" s="3011">
        <v>120.87</v>
      </c>
      <c r="F33" s="3009" t="s">
        <v>3215</v>
      </c>
    </row>
    <row r="34" spans="1:6" ht="14.25">
      <c r="A34" s="3005" t="s">
        <v>3276</v>
      </c>
      <c r="B34" s="3006" t="s">
        <v>3277</v>
      </c>
      <c r="C34" s="3010" t="s">
        <v>3278</v>
      </c>
      <c r="D34" s="3011">
        <v>60.822000000000003</v>
      </c>
      <c r="E34" s="3011">
        <v>60.822000000000003</v>
      </c>
      <c r="F34" s="3009"/>
    </row>
    <row r="35" spans="1:6" ht="14.25">
      <c r="A35" s="3005" t="s">
        <v>3279</v>
      </c>
      <c r="B35" s="3006" t="s">
        <v>3277</v>
      </c>
      <c r="C35" s="3010" t="s">
        <v>3280</v>
      </c>
      <c r="D35" s="3011">
        <v>60.822000000000003</v>
      </c>
      <c r="E35" s="3011">
        <v>60.822000000000003</v>
      </c>
      <c r="F35" s="3009"/>
    </row>
    <row r="36" spans="1:6" ht="14.25">
      <c r="A36" s="3005" t="s">
        <v>3281</v>
      </c>
      <c r="B36" s="3006" t="s">
        <v>3277</v>
      </c>
      <c r="C36" s="3010" t="s">
        <v>3282</v>
      </c>
      <c r="D36" s="3011">
        <v>56.261000000000003</v>
      </c>
      <c r="E36" s="3011">
        <v>56.261000000000003</v>
      </c>
      <c r="F36" s="3009"/>
    </row>
    <row r="37" spans="1:6" ht="14.25">
      <c r="A37" s="3005" t="s">
        <v>3283</v>
      </c>
      <c r="B37" s="3006" t="s">
        <v>3277</v>
      </c>
      <c r="C37" s="3010" t="s">
        <v>3284</v>
      </c>
      <c r="D37" s="3011">
        <v>56.261000000000003</v>
      </c>
      <c r="E37" s="3011">
        <v>56.261000000000003</v>
      </c>
      <c r="F37" s="3009"/>
    </row>
    <row r="38" spans="1:6" ht="14.25">
      <c r="A38" s="3005" t="s">
        <v>3285</v>
      </c>
      <c r="B38" s="3006" t="s">
        <v>3277</v>
      </c>
      <c r="C38" s="3010" t="s">
        <v>3286</v>
      </c>
      <c r="D38" s="3011">
        <v>65.063999999999993</v>
      </c>
      <c r="E38" s="3011">
        <v>65.063999999999993</v>
      </c>
      <c r="F38" s="3009"/>
    </row>
    <row r="39" spans="1:6" ht="14.25">
      <c r="A39" s="3005" t="s">
        <v>3287</v>
      </c>
      <c r="B39" s="3006" t="s">
        <v>3277</v>
      </c>
      <c r="C39" s="3010" t="s">
        <v>3288</v>
      </c>
      <c r="D39" s="3011">
        <v>60.822000000000003</v>
      </c>
      <c r="E39" s="3011">
        <v>60.822000000000003</v>
      </c>
      <c r="F39" s="3009"/>
    </row>
    <row r="40" spans="1:6" ht="14.25">
      <c r="A40" s="3005" t="s">
        <v>3289</v>
      </c>
      <c r="B40" s="3006" t="s">
        <v>3277</v>
      </c>
      <c r="C40" s="3010" t="s">
        <v>3290</v>
      </c>
      <c r="D40" s="3011">
        <v>60.822000000000003</v>
      </c>
      <c r="E40" s="3011">
        <v>60.822000000000003</v>
      </c>
      <c r="F40" s="3009"/>
    </row>
    <row r="41" spans="1:6" ht="14.25">
      <c r="A41" s="3005" t="s">
        <v>3291</v>
      </c>
      <c r="B41" s="3006" t="s">
        <v>3277</v>
      </c>
      <c r="C41" s="3010" t="s">
        <v>3292</v>
      </c>
      <c r="D41" s="3011">
        <v>60.822000000000003</v>
      </c>
      <c r="E41" s="3011">
        <v>60.822000000000003</v>
      </c>
      <c r="F41" s="3009"/>
    </row>
    <row r="42" spans="1:6" ht="14.25">
      <c r="A42" s="3005" t="s">
        <v>3293</v>
      </c>
      <c r="B42" s="3006" t="s">
        <v>3277</v>
      </c>
      <c r="C42" s="3010" t="s">
        <v>3294</v>
      </c>
      <c r="D42" s="3011">
        <v>76.855999999999995</v>
      </c>
      <c r="E42" s="3011">
        <v>76.855999999999995</v>
      </c>
      <c r="F42" s="3009"/>
    </row>
    <row r="43" spans="1:6" ht="14.25">
      <c r="A43" s="3005" t="s">
        <v>3295</v>
      </c>
      <c r="B43" s="3006" t="s">
        <v>3277</v>
      </c>
      <c r="C43" s="3010" t="s">
        <v>3296</v>
      </c>
      <c r="D43" s="3011">
        <v>60.822000000000003</v>
      </c>
      <c r="E43" s="3011">
        <v>60.822000000000003</v>
      </c>
      <c r="F43" s="3009"/>
    </row>
    <row r="44" spans="1:6" ht="14.25">
      <c r="A44" s="3005" t="s">
        <v>3297</v>
      </c>
      <c r="B44" s="3006" t="s">
        <v>3277</v>
      </c>
      <c r="C44" s="3010" t="s">
        <v>3298</v>
      </c>
      <c r="D44" s="3011">
        <v>60.822000000000003</v>
      </c>
      <c r="E44" s="3011">
        <v>60.822000000000003</v>
      </c>
      <c r="F44" s="3009"/>
    </row>
    <row r="45" spans="1:6" ht="14.25">
      <c r="A45" s="3005" t="s">
        <v>3299</v>
      </c>
      <c r="B45" s="3006" t="s">
        <v>3277</v>
      </c>
      <c r="C45" s="3010" t="s">
        <v>3300</v>
      </c>
      <c r="D45" s="3011">
        <v>60.822000000000003</v>
      </c>
      <c r="E45" s="3011">
        <v>60.822000000000003</v>
      </c>
      <c r="F45" s="3009"/>
    </row>
    <row r="46" spans="1:6" ht="14.25">
      <c r="A46" s="3005" t="s">
        <v>3301</v>
      </c>
      <c r="B46" s="3006" t="s">
        <v>3277</v>
      </c>
      <c r="C46" s="3010" t="s">
        <v>3302</v>
      </c>
      <c r="D46" s="3011">
        <v>56.261000000000003</v>
      </c>
      <c r="E46" s="3011">
        <v>56.261000000000003</v>
      </c>
      <c r="F46" s="3009"/>
    </row>
    <row r="47" spans="1:6" ht="14.25">
      <c r="A47" s="3005" t="s">
        <v>3303</v>
      </c>
      <c r="B47" s="3006" t="s">
        <v>3277</v>
      </c>
      <c r="C47" s="3010" t="s">
        <v>3304</v>
      </c>
      <c r="D47" s="3011">
        <v>56.261000000000003</v>
      </c>
      <c r="E47" s="3011">
        <v>56.261000000000003</v>
      </c>
      <c r="F47" s="3009"/>
    </row>
    <row r="48" spans="1:6" ht="14.25">
      <c r="A48" s="3005" t="s">
        <v>3305</v>
      </c>
      <c r="B48" s="3006" t="s">
        <v>3277</v>
      </c>
      <c r="C48" s="3010" t="s">
        <v>3306</v>
      </c>
      <c r="D48" s="3011">
        <v>65.063999999999993</v>
      </c>
      <c r="E48" s="3011">
        <v>65.063999999999993</v>
      </c>
      <c r="F48" s="3009"/>
    </row>
    <row r="49" spans="1:6" ht="14.25">
      <c r="A49" s="3005" t="s">
        <v>3307</v>
      </c>
      <c r="B49" s="3006" t="s">
        <v>3277</v>
      </c>
      <c r="C49" s="3010" t="s">
        <v>3308</v>
      </c>
      <c r="D49" s="3011">
        <v>60.822000000000003</v>
      </c>
      <c r="E49" s="3011">
        <v>60.822000000000003</v>
      </c>
      <c r="F49" s="3009"/>
    </row>
    <row r="50" spans="1:6" ht="14.25">
      <c r="A50" s="3005" t="s">
        <v>3309</v>
      </c>
      <c r="B50" s="3006" t="s">
        <v>3277</v>
      </c>
      <c r="C50" s="3010" t="s">
        <v>3310</v>
      </c>
      <c r="D50" s="3011">
        <v>60.822000000000003</v>
      </c>
      <c r="E50" s="3011">
        <v>60.822000000000003</v>
      </c>
      <c r="F50" s="3009"/>
    </row>
    <row r="51" spans="1:6" ht="14.25">
      <c r="A51" s="3005" t="s">
        <v>3311</v>
      </c>
      <c r="B51" s="3006" t="s">
        <v>3277</v>
      </c>
      <c r="C51" s="3010" t="s">
        <v>3312</v>
      </c>
      <c r="D51" s="3011">
        <v>60.822000000000003</v>
      </c>
      <c r="E51" s="3011">
        <v>60.822000000000003</v>
      </c>
      <c r="F51" s="3009"/>
    </row>
    <row r="52" spans="1:6" ht="14.25">
      <c r="A52" s="3005" t="s">
        <v>3313</v>
      </c>
      <c r="B52" s="3006" t="s">
        <v>3277</v>
      </c>
      <c r="C52" s="3010" t="s">
        <v>3314</v>
      </c>
      <c r="D52" s="3011">
        <v>76.855999999999995</v>
      </c>
      <c r="E52" s="3011">
        <v>76.855999999999995</v>
      </c>
      <c r="F52" s="3009"/>
    </row>
    <row r="53" spans="1:6" ht="14.25">
      <c r="A53" s="3005" t="s">
        <v>3315</v>
      </c>
      <c r="B53" s="3006" t="s">
        <v>3277</v>
      </c>
      <c r="C53" s="3010" t="s">
        <v>3316</v>
      </c>
      <c r="D53" s="3011">
        <v>60.822000000000003</v>
      </c>
      <c r="E53" s="3011">
        <v>60.822000000000003</v>
      </c>
      <c r="F53" s="3009"/>
    </row>
    <row r="54" spans="1:6" ht="14.25">
      <c r="A54" s="3005" t="s">
        <v>3317</v>
      </c>
      <c r="B54" s="3012" t="s">
        <v>3318</v>
      </c>
      <c r="C54" s="3013" t="s">
        <v>3319</v>
      </c>
      <c r="D54" s="3011">
        <v>142.82</v>
      </c>
      <c r="E54" s="3011">
        <v>142.82</v>
      </c>
      <c r="F54" s="3009"/>
    </row>
    <row r="55" spans="1:6" ht="14.25">
      <c r="A55" s="3005" t="s">
        <v>3320</v>
      </c>
      <c r="B55" s="3012" t="s">
        <v>3318</v>
      </c>
      <c r="C55" s="3013" t="s">
        <v>3321</v>
      </c>
      <c r="D55" s="3011">
        <v>124.97</v>
      </c>
      <c r="E55" s="3011">
        <v>124.97</v>
      </c>
      <c r="F55" s="3009"/>
    </row>
    <row r="56" spans="1:6" ht="14.25">
      <c r="A56" s="3005" t="s">
        <v>3322</v>
      </c>
      <c r="B56" s="3012" t="s">
        <v>3318</v>
      </c>
      <c r="C56" s="3013" t="s">
        <v>3323</v>
      </c>
      <c r="D56" s="3011">
        <v>121.82</v>
      </c>
      <c r="E56" s="3011">
        <v>121.82</v>
      </c>
      <c r="F56" s="3009"/>
    </row>
    <row r="57" spans="1:6" ht="14.25">
      <c r="A57" s="3005" t="s">
        <v>3324</v>
      </c>
      <c r="B57" s="3012" t="s">
        <v>3318</v>
      </c>
      <c r="C57" s="3014" t="s">
        <v>3325</v>
      </c>
      <c r="D57" s="3015">
        <v>49.67</v>
      </c>
      <c r="E57" s="3015">
        <v>49.67</v>
      </c>
      <c r="F57" s="3009"/>
    </row>
    <row r="58" spans="1:6" ht="14.25">
      <c r="A58" s="3005" t="s">
        <v>3326</v>
      </c>
      <c r="B58" s="3012" t="s">
        <v>3318</v>
      </c>
      <c r="C58" s="3013" t="s">
        <v>3327</v>
      </c>
      <c r="D58" s="3011">
        <v>121.82</v>
      </c>
      <c r="E58" s="3011">
        <v>121.82</v>
      </c>
      <c r="F58" s="3009"/>
    </row>
    <row r="59" spans="1:6" ht="14.25">
      <c r="A59" s="3005" t="s">
        <v>3328</v>
      </c>
      <c r="B59" s="3012" t="s">
        <v>3318</v>
      </c>
      <c r="C59" s="3013" t="s">
        <v>3329</v>
      </c>
      <c r="D59" s="3011">
        <v>124.97</v>
      </c>
      <c r="E59" s="3011">
        <v>124.97</v>
      </c>
      <c r="F59" s="3009"/>
    </row>
    <row r="60" spans="1:6" ht="14.25">
      <c r="A60" s="3005" t="s">
        <v>3330</v>
      </c>
      <c r="B60" s="3012" t="s">
        <v>3318</v>
      </c>
      <c r="C60" s="3013" t="s">
        <v>3331</v>
      </c>
      <c r="D60" s="3011">
        <v>142.82</v>
      </c>
      <c r="E60" s="3011">
        <v>142.82</v>
      </c>
      <c r="F60" s="3009"/>
    </row>
    <row r="61" spans="1:6" ht="14.25">
      <c r="A61" s="3005" t="s">
        <v>3332</v>
      </c>
      <c r="B61" s="3012" t="s">
        <v>3318</v>
      </c>
      <c r="C61" s="3013" t="s">
        <v>3333</v>
      </c>
      <c r="D61" s="3011">
        <v>136.13</v>
      </c>
      <c r="E61" s="3011">
        <v>136.13</v>
      </c>
      <c r="F61" s="3009"/>
    </row>
    <row r="62" spans="1:6" ht="14.25">
      <c r="A62" s="3005" t="s">
        <v>3334</v>
      </c>
      <c r="B62" s="3012" t="s">
        <v>3318</v>
      </c>
      <c r="C62" s="3013" t="s">
        <v>3335</v>
      </c>
      <c r="D62" s="3011">
        <v>49.67</v>
      </c>
      <c r="E62" s="3011">
        <v>49.67</v>
      </c>
      <c r="F62" s="3009"/>
    </row>
    <row r="63" spans="1:6" ht="14.25">
      <c r="A63" s="3005" t="s">
        <v>3336</v>
      </c>
      <c r="B63" s="3012" t="s">
        <v>3318</v>
      </c>
      <c r="C63" s="3013" t="s">
        <v>3337</v>
      </c>
      <c r="D63" s="3011">
        <v>130.71</v>
      </c>
      <c r="E63" s="3011">
        <v>130.71</v>
      </c>
      <c r="F63" s="3009"/>
    </row>
    <row r="64" spans="1:6" ht="14.25">
      <c r="A64" s="3005" t="s">
        <v>3338</v>
      </c>
      <c r="B64" s="3012" t="s">
        <v>3318</v>
      </c>
      <c r="C64" s="3013" t="s">
        <v>3339</v>
      </c>
      <c r="D64" s="3011">
        <v>140.44</v>
      </c>
      <c r="E64" s="3011">
        <v>140.44</v>
      </c>
      <c r="F64" s="3009"/>
    </row>
    <row r="65" spans="1:6" ht="14.25">
      <c r="A65" s="3005" t="s">
        <v>3340</v>
      </c>
      <c r="B65" s="3012" t="s">
        <v>3318</v>
      </c>
      <c r="C65" s="3013" t="s">
        <v>3341</v>
      </c>
      <c r="D65" s="3011">
        <v>122.59</v>
      </c>
      <c r="E65" s="3011">
        <v>122.59</v>
      </c>
      <c r="F65" s="3009"/>
    </row>
    <row r="66" spans="1:6" ht="14.25">
      <c r="A66" s="3005" t="s">
        <v>3342</v>
      </c>
      <c r="B66" s="3012" t="s">
        <v>3318</v>
      </c>
      <c r="C66" s="3013" t="s">
        <v>3343</v>
      </c>
      <c r="D66" s="3011">
        <v>171.5</v>
      </c>
      <c r="E66" s="3011">
        <v>171.5</v>
      </c>
      <c r="F66" s="3009"/>
    </row>
    <row r="67" spans="1:6" ht="14.25">
      <c r="A67" s="3005" t="s">
        <v>3344</v>
      </c>
      <c r="B67" s="3012" t="s">
        <v>3345</v>
      </c>
      <c r="C67" s="3013" t="s">
        <v>3346</v>
      </c>
      <c r="D67" s="3011">
        <v>171.5</v>
      </c>
      <c r="E67" s="3011">
        <v>171.5</v>
      </c>
      <c r="F67" s="3009"/>
    </row>
    <row r="68" spans="1:6" ht="14.25">
      <c r="A68" s="3005" t="s">
        <v>3347</v>
      </c>
      <c r="B68" s="3012" t="s">
        <v>3345</v>
      </c>
      <c r="C68" s="3013" t="s">
        <v>3348</v>
      </c>
      <c r="D68" s="3011">
        <v>122.59</v>
      </c>
      <c r="E68" s="3011">
        <v>122.59</v>
      </c>
      <c r="F68" s="3009"/>
    </row>
    <row r="69" spans="1:6" ht="14.25">
      <c r="A69" s="3005" t="s">
        <v>3349</v>
      </c>
      <c r="B69" s="3012" t="s">
        <v>3345</v>
      </c>
      <c r="C69" s="3013" t="s">
        <v>3350</v>
      </c>
      <c r="D69" s="3011">
        <v>140.44</v>
      </c>
      <c r="E69" s="3011">
        <v>140.44</v>
      </c>
      <c r="F69" s="3009"/>
    </row>
    <row r="70" spans="1:6" ht="14.25">
      <c r="A70" s="3005" t="s">
        <v>3351</v>
      </c>
      <c r="B70" s="3012" t="s">
        <v>3318</v>
      </c>
      <c r="C70" s="3013" t="s">
        <v>3352</v>
      </c>
      <c r="D70" s="3011">
        <v>185.8</v>
      </c>
      <c r="E70" s="3011">
        <v>185.8</v>
      </c>
      <c r="F70" s="3009"/>
    </row>
    <row r="71" spans="1:6" ht="14.25">
      <c r="A71" s="3005" t="s">
        <v>3353</v>
      </c>
      <c r="B71" s="3012" t="s">
        <v>3318</v>
      </c>
      <c r="C71" s="3013" t="s">
        <v>3354</v>
      </c>
      <c r="D71" s="3011">
        <v>130.71</v>
      </c>
      <c r="E71" s="3011">
        <v>130.71</v>
      </c>
      <c r="F71" s="3009"/>
    </row>
    <row r="72" spans="1:6" ht="14.25">
      <c r="A72" s="3005" t="s">
        <v>3355</v>
      </c>
      <c r="B72" s="3006" t="s">
        <v>3356</v>
      </c>
      <c r="C72" s="3013" t="s">
        <v>3357</v>
      </c>
      <c r="D72" s="3016">
        <v>64.209999999999994</v>
      </c>
      <c r="E72" s="3016">
        <v>64.209999999999994</v>
      </c>
      <c r="F72" s="3009"/>
    </row>
    <row r="73" spans="1:6" ht="14.25">
      <c r="A73" s="3005" t="s">
        <v>3358</v>
      </c>
      <c r="B73" s="3006" t="s">
        <v>3356</v>
      </c>
      <c r="C73" s="3013" t="s">
        <v>3359</v>
      </c>
      <c r="D73" s="3016">
        <v>64.209999999999994</v>
      </c>
      <c r="E73" s="3016">
        <v>64.209999999999994</v>
      </c>
      <c r="F73" s="3009"/>
    </row>
    <row r="74" spans="1:6" ht="14.25">
      <c r="A74" s="3005" t="s">
        <v>3360</v>
      </c>
      <c r="B74" s="3006" t="s">
        <v>3356</v>
      </c>
      <c r="C74" s="3013" t="s">
        <v>3361</v>
      </c>
      <c r="D74" s="3016">
        <v>98.93</v>
      </c>
      <c r="E74" s="3016">
        <v>98.93</v>
      </c>
      <c r="F74" s="3009"/>
    </row>
    <row r="75" spans="1:6" ht="14.25">
      <c r="A75" s="3005" t="s">
        <v>3362</v>
      </c>
      <c r="B75" s="3006" t="s">
        <v>3356</v>
      </c>
      <c r="C75" s="3013" t="s">
        <v>3363</v>
      </c>
      <c r="D75" s="3016">
        <v>65.45</v>
      </c>
      <c r="E75" s="3016">
        <v>65.45</v>
      </c>
      <c r="F75" s="3009"/>
    </row>
    <row r="76" spans="1:6" ht="14.25">
      <c r="A76" s="3005" t="s">
        <v>3364</v>
      </c>
      <c r="B76" s="3006" t="s">
        <v>3356</v>
      </c>
      <c r="C76" s="3013" t="s">
        <v>3365</v>
      </c>
      <c r="D76" s="3016">
        <v>65.45</v>
      </c>
      <c r="E76" s="3016">
        <v>65.45</v>
      </c>
      <c r="F76" s="3009"/>
    </row>
    <row r="77" spans="1:6" ht="14.25">
      <c r="A77" s="3005" t="s">
        <v>3366</v>
      </c>
      <c r="B77" s="3006" t="s">
        <v>3356</v>
      </c>
      <c r="C77" s="3013" t="s">
        <v>3367</v>
      </c>
      <c r="D77" s="3016">
        <v>65.45</v>
      </c>
      <c r="E77" s="3016">
        <v>65.45</v>
      </c>
      <c r="F77" s="3009"/>
    </row>
    <row r="78" spans="1:6" ht="14.25">
      <c r="A78" s="3005" t="s">
        <v>3368</v>
      </c>
      <c r="B78" s="3006" t="s">
        <v>3356</v>
      </c>
      <c r="C78" s="3013" t="s">
        <v>3369</v>
      </c>
      <c r="D78" s="3016">
        <v>40.26</v>
      </c>
      <c r="E78" s="3016">
        <v>40.26</v>
      </c>
      <c r="F78" s="3009"/>
    </row>
    <row r="79" spans="1:6" ht="14.25">
      <c r="A79" s="3005" t="s">
        <v>3370</v>
      </c>
      <c r="B79" s="3006" t="s">
        <v>3356</v>
      </c>
      <c r="C79" s="3013" t="s">
        <v>3371</v>
      </c>
      <c r="D79" s="3016">
        <v>107.69</v>
      </c>
      <c r="E79" s="3016">
        <v>107.69</v>
      </c>
      <c r="F79" s="3009"/>
    </row>
    <row r="80" spans="1:6" ht="14.25">
      <c r="A80" s="3005" t="s">
        <v>3372</v>
      </c>
      <c r="B80" s="3006" t="s">
        <v>3356</v>
      </c>
      <c r="C80" s="3013" t="s">
        <v>3373</v>
      </c>
      <c r="D80" s="3016">
        <v>65.430000000000007</v>
      </c>
      <c r="E80" s="3016">
        <v>65.430000000000007</v>
      </c>
      <c r="F80" s="3009"/>
    </row>
    <row r="81" spans="1:6" ht="14.25">
      <c r="A81" s="3005" t="s">
        <v>3374</v>
      </c>
      <c r="B81" s="3006" t="s">
        <v>3356</v>
      </c>
      <c r="C81" s="3013" t="s">
        <v>3375</v>
      </c>
      <c r="D81" s="3016">
        <v>62.99</v>
      </c>
      <c r="E81" s="3016">
        <v>62.99</v>
      </c>
      <c r="F81" s="3009"/>
    </row>
    <row r="82" spans="1:6" ht="14.25">
      <c r="A82" s="3005" t="s">
        <v>3376</v>
      </c>
      <c r="B82" s="3013" t="s">
        <v>3377</v>
      </c>
      <c r="C82" s="3017" t="s">
        <v>3378</v>
      </c>
      <c r="D82" s="3018">
        <v>95.69</v>
      </c>
      <c r="E82" s="3018">
        <v>95.69</v>
      </c>
      <c r="F82" s="3009"/>
    </row>
    <row r="83" spans="1:6" ht="14.25">
      <c r="A83" s="3005" t="s">
        <v>3379</v>
      </c>
      <c r="B83" s="3013" t="s">
        <v>3377</v>
      </c>
      <c r="C83" s="3017" t="s">
        <v>3380</v>
      </c>
      <c r="D83" s="3018">
        <v>100.15</v>
      </c>
      <c r="E83" s="3018">
        <v>100.15</v>
      </c>
      <c r="F83" s="3009"/>
    </row>
    <row r="84" spans="1:6" ht="14.25">
      <c r="A84" s="3005" t="s">
        <v>3381</v>
      </c>
      <c r="B84" s="3013" t="s">
        <v>3377</v>
      </c>
      <c r="C84" s="3017" t="s">
        <v>3382</v>
      </c>
      <c r="D84" s="3018">
        <v>75.58</v>
      </c>
      <c r="E84" s="3018">
        <v>75.58</v>
      </c>
      <c r="F84" s="3009"/>
    </row>
    <row r="85" spans="1:6" ht="14.25">
      <c r="A85" s="3005" t="s">
        <v>3383</v>
      </c>
      <c r="B85" s="3013" t="s">
        <v>3377</v>
      </c>
      <c r="C85" s="3017" t="s">
        <v>3384</v>
      </c>
      <c r="D85" s="3018">
        <v>114.14</v>
      </c>
      <c r="E85" s="3018">
        <v>114.14</v>
      </c>
      <c r="F85" s="3009"/>
    </row>
    <row r="86" spans="1:6" ht="14.25">
      <c r="A86" s="3005" t="s">
        <v>3385</v>
      </c>
      <c r="B86" s="3013" t="s">
        <v>3377</v>
      </c>
      <c r="C86" s="3017" t="s">
        <v>3386</v>
      </c>
      <c r="D86" s="3018">
        <v>103.67</v>
      </c>
      <c r="E86" s="3018">
        <v>103.67</v>
      </c>
      <c r="F86" s="3019"/>
    </row>
    <row r="87" spans="1:6" ht="14.25">
      <c r="A87" s="3005" t="s">
        <v>3387</v>
      </c>
      <c r="B87" s="3013" t="s">
        <v>3377</v>
      </c>
      <c r="C87" s="3017" t="s">
        <v>3388</v>
      </c>
      <c r="D87" s="3018">
        <v>95.69</v>
      </c>
      <c r="E87" s="3019">
        <v>96.85</v>
      </c>
      <c r="F87" s="3019">
        <v>96.85</v>
      </c>
    </row>
    <row r="88" spans="1:6" ht="14.25">
      <c r="A88" s="3005" t="s">
        <v>3389</v>
      </c>
      <c r="B88" s="3013" t="s">
        <v>3377</v>
      </c>
      <c r="C88" s="3017" t="s">
        <v>3390</v>
      </c>
      <c r="D88" s="3018">
        <v>175.74</v>
      </c>
      <c r="E88" s="3019">
        <v>85.29</v>
      </c>
      <c r="F88" s="3019">
        <v>85.29</v>
      </c>
    </row>
    <row r="89" spans="1:6" ht="14.25">
      <c r="A89" s="3005" t="s">
        <v>3391</v>
      </c>
      <c r="B89" s="3013" t="s">
        <v>3377</v>
      </c>
      <c r="C89" s="3017" t="s">
        <v>3392</v>
      </c>
      <c r="D89" s="3018">
        <v>114.14</v>
      </c>
      <c r="E89" s="3019">
        <v>110.91</v>
      </c>
      <c r="F89" s="3019">
        <v>110.91</v>
      </c>
    </row>
    <row r="90" spans="1:6" ht="14.25">
      <c r="A90" s="3005" t="s">
        <v>3393</v>
      </c>
      <c r="B90" s="3013" t="s">
        <v>3377</v>
      </c>
      <c r="C90" s="3017" t="s">
        <v>3394</v>
      </c>
      <c r="D90" s="3018">
        <v>103.67</v>
      </c>
      <c r="E90" s="3019">
        <v>104.92</v>
      </c>
      <c r="F90" s="3019">
        <v>104.92</v>
      </c>
    </row>
    <row r="91" spans="1:6" ht="14.25">
      <c r="A91" s="3005" t="s">
        <v>3395</v>
      </c>
      <c r="B91" s="3013" t="s">
        <v>3396</v>
      </c>
      <c r="C91" s="3020" t="s">
        <v>3397</v>
      </c>
      <c r="D91" s="3021">
        <v>56.83</v>
      </c>
      <c r="E91" s="3019">
        <v>59.78</v>
      </c>
      <c r="F91" s="3019">
        <v>59.78</v>
      </c>
    </row>
    <row r="92" spans="1:6" ht="14.25">
      <c r="A92" s="3005" t="s">
        <v>3398</v>
      </c>
      <c r="B92" s="3013" t="s">
        <v>3396</v>
      </c>
      <c r="C92" s="3020" t="s">
        <v>3399</v>
      </c>
      <c r="D92" s="3021">
        <v>57.49</v>
      </c>
      <c r="E92" s="3019">
        <v>60.48</v>
      </c>
      <c r="F92" s="3019">
        <v>60.48</v>
      </c>
    </row>
    <row r="93" spans="1:6" ht="14.25">
      <c r="A93" s="3005" t="s">
        <v>3400</v>
      </c>
      <c r="B93" s="3013" t="s">
        <v>3396</v>
      </c>
      <c r="C93" s="3020" t="s">
        <v>3401</v>
      </c>
      <c r="D93" s="3021">
        <v>79.27</v>
      </c>
      <c r="E93" s="3019">
        <v>83.39</v>
      </c>
      <c r="F93" s="3019">
        <v>83.39</v>
      </c>
    </row>
    <row r="94" spans="1:6" ht="14.25">
      <c r="A94" s="3005" t="s">
        <v>3402</v>
      </c>
      <c r="B94" s="3013" t="s">
        <v>3396</v>
      </c>
      <c r="C94" s="3020" t="s">
        <v>3403</v>
      </c>
      <c r="D94" s="3021">
        <v>128.12</v>
      </c>
      <c r="E94" s="3019">
        <v>134.78</v>
      </c>
      <c r="F94" s="3019">
        <v>134.78</v>
      </c>
    </row>
    <row r="95" spans="1:6" ht="14.25">
      <c r="A95" s="3005" t="s">
        <v>3404</v>
      </c>
      <c r="B95" s="3013" t="s">
        <v>3396</v>
      </c>
      <c r="C95" s="3020" t="s">
        <v>3405</v>
      </c>
      <c r="D95" s="3021">
        <v>63.19</v>
      </c>
      <c r="E95" s="3019">
        <v>66.48</v>
      </c>
      <c r="F95" s="3019">
        <v>66.48</v>
      </c>
    </row>
    <row r="96" spans="1:6" ht="14.25">
      <c r="A96" s="3005" t="s">
        <v>3406</v>
      </c>
      <c r="B96" s="3013" t="s">
        <v>3396</v>
      </c>
      <c r="C96" s="3020" t="s">
        <v>3407</v>
      </c>
      <c r="D96" s="3021">
        <v>63.19</v>
      </c>
      <c r="E96" s="3019">
        <v>91.4</v>
      </c>
      <c r="F96" s="3019">
        <v>91.4</v>
      </c>
    </row>
    <row r="97" spans="1:6" ht="14.25">
      <c r="A97" s="3005" t="s">
        <v>3408</v>
      </c>
      <c r="B97" s="3013" t="s">
        <v>3396</v>
      </c>
      <c r="C97" s="3020" t="s">
        <v>3409</v>
      </c>
      <c r="D97" s="3021">
        <v>63.19</v>
      </c>
      <c r="E97" s="3019">
        <v>66.48</v>
      </c>
      <c r="F97" s="3019">
        <v>66.48</v>
      </c>
    </row>
    <row r="98" spans="1:6" ht="14.25">
      <c r="A98" s="3005" t="s">
        <v>3410</v>
      </c>
      <c r="B98" s="3013" t="s">
        <v>3396</v>
      </c>
      <c r="C98" s="3020" t="s">
        <v>3411</v>
      </c>
      <c r="D98" s="3021">
        <v>63.19</v>
      </c>
      <c r="E98" s="3019">
        <v>95.14</v>
      </c>
      <c r="F98" s="3019">
        <v>95.14</v>
      </c>
    </row>
    <row r="99" spans="1:6" ht="14.25">
      <c r="A99" s="3022" t="s">
        <v>3412</v>
      </c>
      <c r="B99" s="3023" t="s">
        <v>3396</v>
      </c>
      <c r="C99" s="3024" t="s">
        <v>3413</v>
      </c>
      <c r="D99" s="3025">
        <v>90.44</v>
      </c>
      <c r="E99" s="3019"/>
      <c r="F99" s="3019"/>
    </row>
    <row r="100" spans="1:6" ht="14.25">
      <c r="A100" s="3005" t="s">
        <v>3414</v>
      </c>
      <c r="B100" s="3013" t="s">
        <v>3396</v>
      </c>
      <c r="C100" s="3020" t="s">
        <v>3415</v>
      </c>
      <c r="D100" s="3021">
        <v>79.27</v>
      </c>
      <c r="E100" s="3019">
        <v>83.39</v>
      </c>
      <c r="F100" s="3019">
        <v>83.39</v>
      </c>
    </row>
    <row r="101" spans="1:6" ht="14.25">
      <c r="A101" s="3005" t="s">
        <v>3416</v>
      </c>
      <c r="B101" s="3013" t="s">
        <v>3396</v>
      </c>
      <c r="C101" s="3020" t="s">
        <v>3417</v>
      </c>
      <c r="D101" s="3021">
        <v>53.92</v>
      </c>
      <c r="E101" s="3019">
        <v>56.72</v>
      </c>
      <c r="F101" s="3019">
        <v>56.72</v>
      </c>
    </row>
    <row r="102" spans="1:6" ht="14.25">
      <c r="A102" s="3005" t="s">
        <v>3418</v>
      </c>
      <c r="B102" s="3013" t="s">
        <v>3396</v>
      </c>
      <c r="C102" s="3020" t="s">
        <v>3419</v>
      </c>
      <c r="D102" s="3021">
        <v>56.11</v>
      </c>
      <c r="E102" s="3019">
        <v>59.03</v>
      </c>
      <c r="F102" s="3019">
        <v>59.03</v>
      </c>
    </row>
    <row r="103" spans="1:6" ht="14.25">
      <c r="A103" s="3005" t="s">
        <v>3420</v>
      </c>
      <c r="B103" s="3013" t="s">
        <v>3396</v>
      </c>
      <c r="C103" s="3020" t="s">
        <v>3421</v>
      </c>
      <c r="D103" s="3021">
        <v>124.61</v>
      </c>
      <c r="E103" s="3019">
        <v>131.09</v>
      </c>
      <c r="F103" s="3019">
        <v>131.09</v>
      </c>
    </row>
    <row r="104" spans="1:6" ht="14.25">
      <c r="A104" s="3005" t="s">
        <v>3422</v>
      </c>
      <c r="B104" s="3013" t="s">
        <v>3396</v>
      </c>
      <c r="C104" s="3020" t="s">
        <v>3423</v>
      </c>
      <c r="D104" s="3021">
        <v>129.9</v>
      </c>
      <c r="E104" s="3019">
        <v>78</v>
      </c>
      <c r="F104" s="3019">
        <v>78</v>
      </c>
    </row>
    <row r="105" spans="1:6" ht="14.25">
      <c r="A105" s="3005" t="s">
        <v>3424</v>
      </c>
      <c r="B105" s="3013" t="s">
        <v>3396</v>
      </c>
      <c r="C105" s="3020" t="s">
        <v>3425</v>
      </c>
      <c r="D105" s="3021">
        <v>61.97</v>
      </c>
      <c r="E105" s="3019">
        <v>70.25</v>
      </c>
      <c r="F105" s="3019">
        <v>70.25</v>
      </c>
    </row>
    <row r="106" spans="1:6" ht="14.25">
      <c r="A106" s="3005" t="s">
        <v>3426</v>
      </c>
      <c r="B106" s="3013" t="s">
        <v>3396</v>
      </c>
      <c r="C106" s="3020" t="s">
        <v>3427</v>
      </c>
      <c r="D106" s="3021">
        <v>61.97</v>
      </c>
      <c r="E106" s="3019">
        <v>65.349999999999994</v>
      </c>
      <c r="F106" s="3019">
        <v>65.349999999999994</v>
      </c>
    </row>
    <row r="107" spans="1:6" ht="14.25">
      <c r="A107" s="3005" t="s">
        <v>3428</v>
      </c>
      <c r="B107" s="3013" t="s">
        <v>3396</v>
      </c>
      <c r="C107" s="3020" t="s">
        <v>3429</v>
      </c>
      <c r="D107" s="3021">
        <v>61.97</v>
      </c>
      <c r="E107" s="3019">
        <v>94.6</v>
      </c>
      <c r="F107" s="3019">
        <v>94.6</v>
      </c>
    </row>
    <row r="108" spans="1:6" ht="14.25">
      <c r="A108" s="3005" t="s">
        <v>3430</v>
      </c>
      <c r="B108" s="3013" t="s">
        <v>3396</v>
      </c>
      <c r="C108" s="3020" t="s">
        <v>3431</v>
      </c>
      <c r="D108" s="3021">
        <v>86.54</v>
      </c>
      <c r="E108" s="3019">
        <v>93.53</v>
      </c>
      <c r="F108" s="3019">
        <v>93.53</v>
      </c>
    </row>
    <row r="109" spans="1:6" ht="14.25">
      <c r="A109" s="3005" t="s">
        <v>3432</v>
      </c>
      <c r="B109" s="3013" t="s">
        <v>3433</v>
      </c>
      <c r="C109" s="3026" t="s">
        <v>3434</v>
      </c>
      <c r="D109" s="3027">
        <v>128.44999999999999</v>
      </c>
      <c r="E109" s="3027">
        <v>128.44999999999999</v>
      </c>
      <c r="F109" s="3019"/>
    </row>
    <row r="110" spans="1:6" ht="14.25">
      <c r="A110" s="3005" t="s">
        <v>3435</v>
      </c>
      <c r="B110" s="3013" t="s">
        <v>3433</v>
      </c>
      <c r="C110" s="3026" t="s">
        <v>3436</v>
      </c>
      <c r="D110" s="3027">
        <v>148.47999999999999</v>
      </c>
      <c r="E110" s="3027">
        <v>148.47999999999999</v>
      </c>
      <c r="F110" s="3009"/>
    </row>
    <row r="111" spans="1:6" ht="14.25">
      <c r="A111" s="3005" t="s">
        <v>3437</v>
      </c>
      <c r="B111" s="3013" t="s">
        <v>3433</v>
      </c>
      <c r="C111" s="3026" t="s">
        <v>3438</v>
      </c>
      <c r="D111" s="3027">
        <v>151.06</v>
      </c>
      <c r="E111" s="3027">
        <v>151.06</v>
      </c>
      <c r="F111" s="3009"/>
    </row>
    <row r="112" spans="1:6" ht="14.25">
      <c r="A112" s="3005" t="s">
        <v>3439</v>
      </c>
      <c r="B112" s="3013" t="s">
        <v>3433</v>
      </c>
      <c r="C112" s="3026" t="s">
        <v>3440</v>
      </c>
      <c r="D112" s="3027">
        <v>68.91</v>
      </c>
      <c r="E112" s="3027">
        <v>68.91</v>
      </c>
      <c r="F112" s="3009"/>
    </row>
    <row r="113" spans="1:6" ht="14.25">
      <c r="A113" s="3005" t="s">
        <v>3441</v>
      </c>
      <c r="B113" s="3013" t="s">
        <v>3433</v>
      </c>
      <c r="C113" s="3026" t="s">
        <v>3442</v>
      </c>
      <c r="D113" s="3027">
        <v>107.96</v>
      </c>
      <c r="E113" s="3027">
        <v>107.96</v>
      </c>
      <c r="F113" s="3009"/>
    </row>
    <row r="114" spans="1:6" ht="14.25">
      <c r="A114" s="3005" t="s">
        <v>3443</v>
      </c>
      <c r="B114" s="3013" t="s">
        <v>3433</v>
      </c>
      <c r="C114" s="3026" t="s">
        <v>3444</v>
      </c>
      <c r="D114" s="3027">
        <v>150.27000000000001</v>
      </c>
      <c r="E114" s="3027">
        <v>150.27000000000001</v>
      </c>
      <c r="F114" s="3009"/>
    </row>
    <row r="115" spans="1:6" ht="14.25">
      <c r="A115" s="3005" t="s">
        <v>3445</v>
      </c>
      <c r="B115" s="3013" t="s">
        <v>3433</v>
      </c>
      <c r="C115" s="3026" t="s">
        <v>3446</v>
      </c>
      <c r="D115" s="3027">
        <v>150.27000000000001</v>
      </c>
      <c r="E115" s="3027">
        <v>150.27000000000001</v>
      </c>
      <c r="F115" s="3009"/>
    </row>
    <row r="116" spans="1:6" ht="14.25">
      <c r="A116" s="3005" t="s">
        <v>3447</v>
      </c>
      <c r="B116" s="3013" t="s">
        <v>3433</v>
      </c>
      <c r="C116" s="3026" t="s">
        <v>3448</v>
      </c>
      <c r="D116" s="3027">
        <v>107.96</v>
      </c>
      <c r="E116" s="3027">
        <v>107.96</v>
      </c>
      <c r="F116" s="3009"/>
    </row>
    <row r="117" spans="1:6" ht="14.25">
      <c r="A117" s="3005" t="s">
        <v>3449</v>
      </c>
      <c r="B117" s="3013" t="s">
        <v>3433</v>
      </c>
      <c r="C117" s="3026" t="s">
        <v>3450</v>
      </c>
      <c r="D117" s="3027">
        <v>68.91</v>
      </c>
      <c r="E117" s="3027">
        <v>68.91</v>
      </c>
      <c r="F117" s="3009"/>
    </row>
    <row r="118" spans="1:6" ht="14.25">
      <c r="A118" s="3005" t="s">
        <v>3451</v>
      </c>
      <c r="B118" s="3013" t="s">
        <v>3433</v>
      </c>
      <c r="C118" s="3026" t="s">
        <v>3452</v>
      </c>
      <c r="D118" s="3027">
        <v>109.97</v>
      </c>
      <c r="E118" s="3027">
        <v>109.97</v>
      </c>
      <c r="F118" s="3009"/>
    </row>
    <row r="119" spans="1:6" ht="14.25">
      <c r="A119" s="3005" t="s">
        <v>3453</v>
      </c>
      <c r="B119" s="3013" t="s">
        <v>3433</v>
      </c>
      <c r="C119" s="3026" t="s">
        <v>3454</v>
      </c>
      <c r="D119" s="3027">
        <v>128.53</v>
      </c>
      <c r="E119" s="3027">
        <v>128.53</v>
      </c>
      <c r="F119" s="3009"/>
    </row>
    <row r="120" spans="1:6" ht="14.25">
      <c r="A120" s="3005" t="s">
        <v>3455</v>
      </c>
      <c r="B120" s="3013" t="s">
        <v>3433</v>
      </c>
      <c r="C120" s="3026" t="s">
        <v>3456</v>
      </c>
      <c r="D120" s="3027">
        <v>63.23</v>
      </c>
      <c r="E120" s="3027">
        <v>63.23</v>
      </c>
      <c r="F120" s="3009"/>
    </row>
    <row r="121" spans="1:6" ht="14.25">
      <c r="A121" s="3005" t="s">
        <v>3457</v>
      </c>
      <c r="B121" s="3013" t="s">
        <v>3433</v>
      </c>
      <c r="C121" s="3026" t="s">
        <v>3458</v>
      </c>
      <c r="D121" s="3027">
        <v>94.18</v>
      </c>
      <c r="E121" s="3027">
        <v>94.18</v>
      </c>
      <c r="F121" s="3009"/>
    </row>
    <row r="122" spans="1:6" ht="14.25">
      <c r="A122" s="3005" t="s">
        <v>3459</v>
      </c>
      <c r="B122" s="3013" t="s">
        <v>3433</v>
      </c>
      <c r="C122" s="3026" t="s">
        <v>3460</v>
      </c>
      <c r="D122" s="3027">
        <v>132.91</v>
      </c>
      <c r="E122" s="3027">
        <v>132.91</v>
      </c>
      <c r="F122" s="3009"/>
    </row>
    <row r="123" spans="1:6" ht="14.25">
      <c r="A123" s="3005" t="s">
        <v>3461</v>
      </c>
      <c r="B123" s="3013" t="s">
        <v>3433</v>
      </c>
      <c r="C123" s="3026" t="s">
        <v>3462</v>
      </c>
      <c r="D123" s="3027">
        <v>62.96</v>
      </c>
      <c r="E123" s="3027">
        <v>62.96</v>
      </c>
      <c r="F123" s="3009"/>
    </row>
    <row r="124" spans="1:6" ht="14.25">
      <c r="A124" s="3005" t="s">
        <v>3463</v>
      </c>
      <c r="B124" s="3013" t="s">
        <v>3433</v>
      </c>
      <c r="C124" s="3026" t="s">
        <v>3464</v>
      </c>
      <c r="D124" s="3027">
        <v>62.96</v>
      </c>
      <c r="E124" s="3027">
        <v>62.96</v>
      </c>
      <c r="F124" s="3009"/>
    </row>
    <row r="125" spans="1:6" ht="14.25">
      <c r="A125" s="3005" t="s">
        <v>3465</v>
      </c>
      <c r="B125" s="3013" t="s">
        <v>3433</v>
      </c>
      <c r="C125" s="3026" t="s">
        <v>3466</v>
      </c>
      <c r="D125" s="3027">
        <v>62.96</v>
      </c>
      <c r="E125" s="3027">
        <v>62.96</v>
      </c>
      <c r="F125" s="3009"/>
    </row>
    <row r="126" spans="1:6" ht="14.25">
      <c r="A126" s="3005" t="s">
        <v>3467</v>
      </c>
      <c r="B126" s="3013" t="s">
        <v>3433</v>
      </c>
      <c r="C126" s="3026" t="s">
        <v>3468</v>
      </c>
      <c r="D126" s="3027">
        <v>62.96</v>
      </c>
      <c r="E126" s="3027">
        <v>62.96</v>
      </c>
      <c r="F126" s="3009"/>
    </row>
    <row r="127" spans="1:6" ht="14.25">
      <c r="A127" s="3005" t="s">
        <v>3469</v>
      </c>
      <c r="B127" s="3013" t="s">
        <v>3433</v>
      </c>
      <c r="C127" s="3026" t="s">
        <v>3470</v>
      </c>
      <c r="D127" s="3027">
        <v>62.96</v>
      </c>
      <c r="E127" s="3027">
        <v>62.96</v>
      </c>
      <c r="F127" s="3009"/>
    </row>
    <row r="128" spans="1:6" ht="14.25">
      <c r="A128" s="3005" t="s">
        <v>3471</v>
      </c>
      <c r="B128" s="3013" t="s">
        <v>3433</v>
      </c>
      <c r="C128" s="3026" t="s">
        <v>3472</v>
      </c>
      <c r="D128" s="3027">
        <v>62.96</v>
      </c>
      <c r="E128" s="3027">
        <v>62.96</v>
      </c>
      <c r="F128" s="3009"/>
    </row>
    <row r="129" spans="1:6" ht="14.25">
      <c r="A129" s="3005" t="s">
        <v>3473</v>
      </c>
      <c r="B129" s="3013" t="s">
        <v>3433</v>
      </c>
      <c r="C129" s="3026" t="s">
        <v>3474</v>
      </c>
      <c r="D129" s="3027">
        <v>62.96</v>
      </c>
      <c r="E129" s="3027">
        <v>62.96</v>
      </c>
      <c r="F129" s="3009"/>
    </row>
    <row r="130" spans="1:6" ht="14.25">
      <c r="A130" s="3005" t="s">
        <v>3475</v>
      </c>
      <c r="B130" s="3013" t="s">
        <v>3433</v>
      </c>
      <c r="C130" s="3026" t="s">
        <v>3476</v>
      </c>
      <c r="D130" s="3027">
        <v>62.96</v>
      </c>
      <c r="E130" s="3027">
        <v>62.96</v>
      </c>
      <c r="F130" s="3009"/>
    </row>
    <row r="131" spans="1:6" ht="14.25">
      <c r="A131" s="3005" t="s">
        <v>3477</v>
      </c>
      <c r="B131" s="3013" t="s">
        <v>3433</v>
      </c>
      <c r="C131" s="3026" t="s">
        <v>3478</v>
      </c>
      <c r="D131" s="3027">
        <v>62.96</v>
      </c>
      <c r="E131" s="3027">
        <v>62.96</v>
      </c>
      <c r="F131" s="3009"/>
    </row>
    <row r="132" spans="1:6" ht="14.25">
      <c r="A132" s="3005" t="s">
        <v>3479</v>
      </c>
      <c r="B132" s="3013" t="s">
        <v>3433</v>
      </c>
      <c r="C132" s="3026" t="s">
        <v>3480</v>
      </c>
      <c r="D132" s="3027">
        <v>106.89</v>
      </c>
      <c r="E132" s="3027">
        <v>106.89</v>
      </c>
      <c r="F132" s="3009"/>
    </row>
    <row r="133" spans="1:6" ht="14.25">
      <c r="A133" s="3005" t="s">
        <v>3481</v>
      </c>
      <c r="B133" s="3013" t="s">
        <v>3433</v>
      </c>
      <c r="C133" s="3026" t="s">
        <v>3482</v>
      </c>
      <c r="D133" s="3027">
        <v>167.07</v>
      </c>
      <c r="E133" s="3027">
        <v>167.07</v>
      </c>
      <c r="F133" s="3009"/>
    </row>
    <row r="134" spans="1:6" ht="14.25">
      <c r="A134" s="3005" t="s">
        <v>3483</v>
      </c>
      <c r="B134" s="3013" t="s">
        <v>3433</v>
      </c>
      <c r="C134" s="3026" t="s">
        <v>3484</v>
      </c>
      <c r="D134" s="3027">
        <v>147.28</v>
      </c>
      <c r="E134" s="3027">
        <v>147.28</v>
      </c>
      <c r="F134" s="3009"/>
    </row>
    <row r="135" spans="1:6" ht="14.25">
      <c r="A135" s="3005" t="s">
        <v>3485</v>
      </c>
      <c r="B135" s="3013" t="s">
        <v>3433</v>
      </c>
      <c r="C135" s="3026" t="s">
        <v>3486</v>
      </c>
      <c r="D135" s="3027">
        <v>66.81</v>
      </c>
      <c r="E135" s="3027">
        <v>66.81</v>
      </c>
      <c r="F135" s="3009"/>
    </row>
    <row r="136" spans="1:6" ht="14.25">
      <c r="A136" s="3005" t="s">
        <v>3487</v>
      </c>
      <c r="B136" s="3013" t="s">
        <v>3433</v>
      </c>
      <c r="C136" s="3026" t="s">
        <v>3488</v>
      </c>
      <c r="D136" s="3027">
        <v>66.81</v>
      </c>
      <c r="E136" s="3027">
        <v>66.81</v>
      </c>
      <c r="F136" s="3009"/>
    </row>
    <row r="137" spans="1:6" ht="14.25">
      <c r="A137" s="3005" t="s">
        <v>3489</v>
      </c>
      <c r="B137" s="3013" t="s">
        <v>3433</v>
      </c>
      <c r="C137" s="3026" t="s">
        <v>3490</v>
      </c>
      <c r="D137" s="3027">
        <v>59.81</v>
      </c>
      <c r="E137" s="3027">
        <v>59.81</v>
      </c>
      <c r="F137" s="3009"/>
    </row>
    <row r="138" spans="1:6" ht="14.25">
      <c r="A138" s="3005" t="s">
        <v>3491</v>
      </c>
      <c r="B138" s="3013" t="s">
        <v>3433</v>
      </c>
      <c r="C138" s="3026" t="s">
        <v>3492</v>
      </c>
      <c r="D138" s="3027">
        <v>94.69</v>
      </c>
      <c r="E138" s="3027">
        <v>94.69</v>
      </c>
      <c r="F138" s="3009"/>
    </row>
    <row r="139" spans="1:6" ht="14.25">
      <c r="A139" s="3005" t="s">
        <v>3493</v>
      </c>
      <c r="B139" s="3013" t="s">
        <v>3433</v>
      </c>
      <c r="C139" s="3026" t="s">
        <v>3494</v>
      </c>
      <c r="D139" s="3027">
        <v>107.28</v>
      </c>
      <c r="E139" s="3027">
        <v>107.28</v>
      </c>
      <c r="F139" s="3009"/>
    </row>
    <row r="140" spans="1:6" ht="14.25">
      <c r="A140" s="3005" t="s">
        <v>3495</v>
      </c>
      <c r="B140" s="3013" t="s">
        <v>3433</v>
      </c>
      <c r="C140" s="3026" t="s">
        <v>3496</v>
      </c>
      <c r="D140" s="3027">
        <v>149.58000000000001</v>
      </c>
      <c r="E140" s="3027">
        <v>149.58000000000001</v>
      </c>
      <c r="F140" s="3009"/>
    </row>
    <row r="141" spans="1:6" ht="14.25">
      <c r="A141" s="3005" t="s">
        <v>3497</v>
      </c>
      <c r="B141" s="3013" t="s">
        <v>3433</v>
      </c>
      <c r="C141" s="3026" t="s">
        <v>3498</v>
      </c>
      <c r="D141" s="3027">
        <v>149.58000000000001</v>
      </c>
      <c r="E141" s="3027">
        <v>149.58000000000001</v>
      </c>
      <c r="F141" s="3009"/>
    </row>
    <row r="142" spans="1:6" ht="14.25">
      <c r="A142" s="3005" t="s">
        <v>3499</v>
      </c>
      <c r="B142" s="3013" t="s">
        <v>3433</v>
      </c>
      <c r="C142" s="3026" t="s">
        <v>3500</v>
      </c>
      <c r="D142" s="3027">
        <v>107.28</v>
      </c>
      <c r="E142" s="3027">
        <v>107.28</v>
      </c>
      <c r="F142" s="3009"/>
    </row>
    <row r="143" spans="1:6" ht="14.25">
      <c r="A143" s="3005" t="s">
        <v>3501</v>
      </c>
      <c r="B143" s="3013" t="s">
        <v>3433</v>
      </c>
      <c r="C143" s="3026" t="s">
        <v>3502</v>
      </c>
      <c r="D143" s="3027">
        <v>109.97</v>
      </c>
      <c r="E143" s="3027">
        <v>109.97</v>
      </c>
      <c r="F143" s="3009"/>
    </row>
    <row r="144" spans="1:6" ht="14.25">
      <c r="A144" s="3005" t="s">
        <v>3503</v>
      </c>
      <c r="B144" s="3013" t="s">
        <v>3433</v>
      </c>
      <c r="C144" s="3026" t="s">
        <v>3504</v>
      </c>
      <c r="D144" s="3027">
        <v>128.53</v>
      </c>
      <c r="E144" s="3027">
        <v>128.53</v>
      </c>
      <c r="F144" s="3009"/>
    </row>
    <row r="145" spans="1:6" ht="14.25">
      <c r="A145" s="3005" t="s">
        <v>3505</v>
      </c>
      <c r="B145" s="3013" t="s">
        <v>3433</v>
      </c>
      <c r="C145" s="3026" t="s">
        <v>3506</v>
      </c>
      <c r="D145" s="3027">
        <v>132.91</v>
      </c>
      <c r="E145" s="3027">
        <v>132.91</v>
      </c>
      <c r="F145" s="3009"/>
    </row>
    <row r="146" spans="1:6" ht="14.25">
      <c r="A146" s="3005" t="s">
        <v>3507</v>
      </c>
      <c r="B146" s="3013" t="s">
        <v>3433</v>
      </c>
      <c r="C146" s="3026" t="s">
        <v>3508</v>
      </c>
      <c r="D146" s="3027">
        <v>61.44</v>
      </c>
      <c r="E146" s="3027">
        <v>61.44</v>
      </c>
      <c r="F146" s="3009"/>
    </row>
    <row r="147" spans="1:6" ht="14.25">
      <c r="A147" s="3005" t="s">
        <v>3509</v>
      </c>
      <c r="B147" s="3013" t="s">
        <v>3433</v>
      </c>
      <c r="C147" s="3026" t="s">
        <v>3510</v>
      </c>
      <c r="D147" s="3027">
        <v>61.44</v>
      </c>
      <c r="E147" s="3027">
        <v>61.44</v>
      </c>
      <c r="F147" s="3009"/>
    </row>
    <row r="148" spans="1:6" ht="14.25">
      <c r="A148" s="3005" t="s">
        <v>3511</v>
      </c>
      <c r="B148" s="3013" t="s">
        <v>3433</v>
      </c>
      <c r="C148" s="3026" t="s">
        <v>3512</v>
      </c>
      <c r="D148" s="3027">
        <v>61.44</v>
      </c>
      <c r="E148" s="3027">
        <v>61.44</v>
      </c>
      <c r="F148" s="3009"/>
    </row>
    <row r="149" spans="1:6" ht="14.25">
      <c r="A149" s="3005" t="s">
        <v>3513</v>
      </c>
      <c r="B149" s="3013" t="s">
        <v>3433</v>
      </c>
      <c r="C149" s="3026" t="s">
        <v>3514</v>
      </c>
      <c r="D149" s="3027">
        <v>61.44</v>
      </c>
      <c r="E149" s="3027">
        <v>61.44</v>
      </c>
      <c r="F149" s="3009"/>
    </row>
    <row r="150" spans="1:6" ht="14.25">
      <c r="A150" s="3005" t="s">
        <v>3515</v>
      </c>
      <c r="B150" s="3013" t="s">
        <v>3433</v>
      </c>
      <c r="C150" s="3026" t="s">
        <v>3516</v>
      </c>
      <c r="D150" s="3027">
        <v>61.44</v>
      </c>
      <c r="E150" s="3027">
        <v>61.44</v>
      </c>
      <c r="F150" s="3009"/>
    </row>
    <row r="151" spans="1:6" ht="14.25">
      <c r="A151" s="3005" t="s">
        <v>3517</v>
      </c>
      <c r="B151" s="3013" t="s">
        <v>3433</v>
      </c>
      <c r="C151" s="3026" t="s">
        <v>3518</v>
      </c>
      <c r="D151" s="3027">
        <v>61.44</v>
      </c>
      <c r="E151" s="3027">
        <v>61.44</v>
      </c>
      <c r="F151" s="3009"/>
    </row>
    <row r="152" spans="1:6" ht="14.25">
      <c r="A152" s="3005" t="s">
        <v>3519</v>
      </c>
      <c r="B152" s="3013" t="s">
        <v>3433</v>
      </c>
      <c r="C152" s="3026" t="s">
        <v>3520</v>
      </c>
      <c r="D152" s="3027">
        <v>61.44</v>
      </c>
      <c r="E152" s="3027">
        <v>61.44</v>
      </c>
      <c r="F152" s="3009"/>
    </row>
    <row r="153" spans="1:6" ht="14.25">
      <c r="A153" s="3005" t="s">
        <v>3521</v>
      </c>
      <c r="B153" s="3013" t="s">
        <v>3433</v>
      </c>
      <c r="C153" s="3026" t="s">
        <v>3522</v>
      </c>
      <c r="D153" s="3027">
        <v>61.44</v>
      </c>
      <c r="E153" s="3027">
        <v>61.44</v>
      </c>
      <c r="F153" s="3009"/>
    </row>
    <row r="154" spans="1:6" ht="14.25">
      <c r="A154" s="3005" t="s">
        <v>3523</v>
      </c>
      <c r="B154" s="3013" t="s">
        <v>3433</v>
      </c>
      <c r="C154" s="3026" t="s">
        <v>3524</v>
      </c>
      <c r="D154" s="3027">
        <v>61.44</v>
      </c>
      <c r="E154" s="3027">
        <v>61.44</v>
      </c>
      <c r="F154" s="3009"/>
    </row>
    <row r="155" spans="1:6" ht="14.25">
      <c r="A155" s="3005" t="s">
        <v>3525</v>
      </c>
      <c r="B155" s="3013" t="s">
        <v>3526</v>
      </c>
      <c r="C155" s="3017" t="s">
        <v>3527</v>
      </c>
      <c r="D155" s="3028">
        <v>57.9</v>
      </c>
      <c r="E155" s="3028">
        <v>57.9</v>
      </c>
      <c r="F155" s="3009"/>
    </row>
    <row r="156" spans="1:6" ht="14.25">
      <c r="A156" s="3005" t="s">
        <v>3528</v>
      </c>
      <c r="B156" s="3013" t="s">
        <v>3526</v>
      </c>
      <c r="C156" s="3017" t="s">
        <v>3529</v>
      </c>
      <c r="D156" s="3018">
        <v>61.8</v>
      </c>
      <c r="E156" s="3018">
        <v>61.8</v>
      </c>
      <c r="F156" s="3009"/>
    </row>
    <row r="157" spans="1:6" ht="14.25">
      <c r="A157" s="3005" t="s">
        <v>3530</v>
      </c>
      <c r="B157" s="3013" t="s">
        <v>3526</v>
      </c>
      <c r="C157" s="3017" t="s">
        <v>3531</v>
      </c>
      <c r="D157" s="3018">
        <v>58.82</v>
      </c>
      <c r="E157" s="3018">
        <v>58.82</v>
      </c>
      <c r="F157" s="3009"/>
    </row>
    <row r="158" spans="1:6" ht="14.25">
      <c r="A158" s="3005" t="s">
        <v>3532</v>
      </c>
      <c r="B158" s="3013" t="s">
        <v>3526</v>
      </c>
      <c r="C158" s="3017" t="s">
        <v>3533</v>
      </c>
      <c r="D158" s="3018">
        <v>121.38</v>
      </c>
      <c r="E158" s="3018">
        <v>121.38</v>
      </c>
      <c r="F158" s="3009"/>
    </row>
    <row r="159" spans="1:6" ht="14.25">
      <c r="A159" s="3005" t="s">
        <v>3534</v>
      </c>
      <c r="B159" s="3013" t="s">
        <v>3526</v>
      </c>
      <c r="C159" s="3017" t="s">
        <v>3535</v>
      </c>
      <c r="D159" s="3018">
        <v>108.53</v>
      </c>
      <c r="E159" s="3018">
        <v>108.53</v>
      </c>
      <c r="F159" s="3009"/>
    </row>
    <row r="160" spans="1:6" ht="14.25">
      <c r="A160" s="3005" t="s">
        <v>3536</v>
      </c>
      <c r="B160" s="3013" t="s">
        <v>3526</v>
      </c>
      <c r="C160" s="3017" t="s">
        <v>3537</v>
      </c>
      <c r="D160" s="3018">
        <v>68.739999999999995</v>
      </c>
      <c r="E160" s="3018">
        <v>68.739999999999995</v>
      </c>
      <c r="F160" s="3009"/>
    </row>
    <row r="161" spans="1:6" ht="14.25">
      <c r="A161" s="3005" t="s">
        <v>3538</v>
      </c>
      <c r="B161" s="3013" t="s">
        <v>3526</v>
      </c>
      <c r="C161" s="3017" t="s">
        <v>3539</v>
      </c>
      <c r="D161" s="3018">
        <v>68.739999999999995</v>
      </c>
      <c r="E161" s="3018">
        <v>68.739999999999995</v>
      </c>
      <c r="F161" s="3009"/>
    </row>
    <row r="162" spans="1:6" ht="14.25">
      <c r="A162" s="3005" t="s">
        <v>3540</v>
      </c>
      <c r="B162" s="3013" t="s">
        <v>3526</v>
      </c>
      <c r="C162" s="3017" t="s">
        <v>3541</v>
      </c>
      <c r="D162" s="3018">
        <v>108.53</v>
      </c>
      <c r="E162" s="3018">
        <v>108.53</v>
      </c>
      <c r="F162" s="3009"/>
    </row>
    <row r="163" spans="1:6" ht="14.25">
      <c r="A163" s="3005" t="s">
        <v>3542</v>
      </c>
      <c r="B163" s="3013" t="s">
        <v>3526</v>
      </c>
      <c r="C163" s="3017" t="s">
        <v>3543</v>
      </c>
      <c r="D163" s="3018">
        <v>104.78</v>
      </c>
      <c r="E163" s="3018">
        <v>104.78</v>
      </c>
      <c r="F163" s="3009"/>
    </row>
    <row r="164" spans="1:6" ht="14.25">
      <c r="A164" s="3005" t="s">
        <v>3544</v>
      </c>
      <c r="B164" s="3013" t="s">
        <v>3526</v>
      </c>
      <c r="C164" s="3017" t="s">
        <v>3545</v>
      </c>
      <c r="D164" s="3018">
        <v>70.75</v>
      </c>
      <c r="E164" s="3018">
        <v>70.75</v>
      </c>
      <c r="F164" s="3009"/>
    </row>
    <row r="165" spans="1:6" ht="14.25">
      <c r="A165" s="3005" t="s">
        <v>3546</v>
      </c>
      <c r="B165" s="3013" t="s">
        <v>3526</v>
      </c>
      <c r="C165" s="3017" t="s">
        <v>3547</v>
      </c>
      <c r="D165" s="3018">
        <v>99.64</v>
      </c>
      <c r="E165" s="3018">
        <v>99.64</v>
      </c>
      <c r="F165" s="3009"/>
    </row>
    <row r="166" spans="1:6" ht="14.25">
      <c r="A166" s="3005" t="s">
        <v>3548</v>
      </c>
      <c r="B166" s="3013" t="s">
        <v>3526</v>
      </c>
      <c r="C166" s="3017" t="s">
        <v>3549</v>
      </c>
      <c r="D166" s="3018">
        <v>102.79</v>
      </c>
      <c r="E166" s="3018">
        <v>102.79</v>
      </c>
      <c r="F166" s="3009"/>
    </row>
    <row r="167" spans="1:6" ht="14.25">
      <c r="A167" s="3005" t="s">
        <v>3550</v>
      </c>
      <c r="B167" s="3013" t="s">
        <v>3526</v>
      </c>
      <c r="C167" s="3017" t="s">
        <v>3551</v>
      </c>
      <c r="D167" s="3018">
        <v>112.27</v>
      </c>
      <c r="E167" s="3018">
        <v>112.27</v>
      </c>
      <c r="F167" s="3009"/>
    </row>
    <row r="168" spans="1:6" ht="14.25">
      <c r="A168" s="3005" t="s">
        <v>3552</v>
      </c>
      <c r="B168" s="3013" t="s">
        <v>3526</v>
      </c>
      <c r="C168" s="3017" t="s">
        <v>3553</v>
      </c>
      <c r="D168" s="3018">
        <v>57.43</v>
      </c>
      <c r="E168" s="3018">
        <v>57.43</v>
      </c>
      <c r="F168" s="3009"/>
    </row>
    <row r="169" spans="1:6" ht="14.25">
      <c r="A169" s="3005" t="s">
        <v>3554</v>
      </c>
      <c r="B169" s="3013" t="s">
        <v>3526</v>
      </c>
      <c r="C169" s="3017" t="s">
        <v>3555</v>
      </c>
      <c r="D169" s="3018">
        <v>63.05</v>
      </c>
      <c r="E169" s="3018">
        <v>63.05</v>
      </c>
      <c r="F169" s="3009"/>
    </row>
    <row r="170" spans="1:6" ht="14.25">
      <c r="A170" s="3005" t="s">
        <v>3556</v>
      </c>
      <c r="B170" s="3013" t="s">
        <v>3526</v>
      </c>
      <c r="C170" s="3017" t="s">
        <v>3557</v>
      </c>
      <c r="D170" s="3018">
        <v>63.05</v>
      </c>
      <c r="E170" s="3018">
        <v>63.05</v>
      </c>
      <c r="F170" s="3009"/>
    </row>
    <row r="171" spans="1:6" ht="14.25">
      <c r="A171" s="3005" t="s">
        <v>3558</v>
      </c>
      <c r="B171" s="3013" t="s">
        <v>3526</v>
      </c>
      <c r="C171" s="3017" t="s">
        <v>3559</v>
      </c>
      <c r="D171" s="3018">
        <v>63.05</v>
      </c>
      <c r="E171" s="3018">
        <v>63.05</v>
      </c>
      <c r="F171" s="3009"/>
    </row>
    <row r="172" spans="1:6" ht="14.25">
      <c r="A172" s="3005" t="s">
        <v>3560</v>
      </c>
      <c r="B172" s="3013" t="s">
        <v>3526</v>
      </c>
      <c r="C172" s="3017" t="s">
        <v>3561</v>
      </c>
      <c r="D172" s="3018">
        <v>63.05</v>
      </c>
      <c r="E172" s="3018">
        <v>63.05</v>
      </c>
      <c r="F172" s="3009"/>
    </row>
    <row r="173" spans="1:6" ht="14.25">
      <c r="A173" s="3005" t="s">
        <v>3562</v>
      </c>
      <c r="B173" s="3013" t="s">
        <v>3526</v>
      </c>
      <c r="C173" s="3017" t="s">
        <v>3563</v>
      </c>
      <c r="D173" s="3018">
        <v>63.05</v>
      </c>
      <c r="E173" s="3018">
        <v>63.05</v>
      </c>
      <c r="F173" s="3009"/>
    </row>
    <row r="174" spans="1:6" ht="14.25">
      <c r="A174" s="3005" t="s">
        <v>3564</v>
      </c>
      <c r="B174" s="3013" t="s">
        <v>3526</v>
      </c>
      <c r="C174" s="3017" t="s">
        <v>3565</v>
      </c>
      <c r="D174" s="3018">
        <v>63.05</v>
      </c>
      <c r="E174" s="3018">
        <v>63.05</v>
      </c>
      <c r="F174" s="3009"/>
    </row>
    <row r="175" spans="1:6" ht="14.25">
      <c r="A175" s="3005" t="s">
        <v>3566</v>
      </c>
      <c r="B175" s="3013" t="s">
        <v>3526</v>
      </c>
      <c r="C175" s="3017" t="s">
        <v>3567</v>
      </c>
      <c r="D175" s="3018">
        <v>63.05</v>
      </c>
      <c r="E175" s="3018">
        <v>63.05</v>
      </c>
      <c r="F175" s="3009"/>
    </row>
    <row r="176" spans="1:6" ht="14.25">
      <c r="A176" s="3005" t="s">
        <v>3568</v>
      </c>
      <c r="B176" s="3013" t="s">
        <v>3526</v>
      </c>
      <c r="C176" s="3017" t="s">
        <v>3569</v>
      </c>
      <c r="D176" s="3018">
        <v>63.05</v>
      </c>
      <c r="E176" s="3018">
        <v>63.05</v>
      </c>
      <c r="F176" s="3009"/>
    </row>
    <row r="177" spans="1:6" ht="14.25">
      <c r="A177" s="3005" t="s">
        <v>3570</v>
      </c>
      <c r="B177" s="3013" t="s">
        <v>3526</v>
      </c>
      <c r="C177" s="3017" t="s">
        <v>3571</v>
      </c>
      <c r="D177" s="3018">
        <v>63.05</v>
      </c>
      <c r="E177" s="3018">
        <v>63.05</v>
      </c>
      <c r="F177" s="3009"/>
    </row>
    <row r="178" spans="1:6" ht="14.25">
      <c r="A178" s="3005" t="s">
        <v>3572</v>
      </c>
      <c r="B178" s="3013" t="s">
        <v>3526</v>
      </c>
      <c r="C178" s="3017" t="s">
        <v>3573</v>
      </c>
      <c r="D178" s="3018">
        <v>56.35</v>
      </c>
      <c r="E178" s="3018">
        <v>56.35</v>
      </c>
      <c r="F178" s="3009"/>
    </row>
    <row r="179" spans="1:6" ht="14.25">
      <c r="A179" s="3005" t="s">
        <v>3574</v>
      </c>
      <c r="B179" s="3013" t="s">
        <v>3526</v>
      </c>
      <c r="C179" s="3017" t="s">
        <v>3575</v>
      </c>
      <c r="D179" s="3018">
        <v>60.83</v>
      </c>
      <c r="E179" s="3018">
        <v>60.83</v>
      </c>
      <c r="F179" s="3009"/>
    </row>
    <row r="180" spans="1:6" ht="14.25">
      <c r="A180" s="3005" t="s">
        <v>3576</v>
      </c>
      <c r="B180" s="3013" t="s">
        <v>3526</v>
      </c>
      <c r="C180" s="3017" t="s">
        <v>3577</v>
      </c>
      <c r="D180" s="3018">
        <v>56.11</v>
      </c>
      <c r="E180" s="3018">
        <v>56.11</v>
      </c>
      <c r="F180" s="3009"/>
    </row>
    <row r="181" spans="1:6" ht="14.25">
      <c r="A181" s="3005" t="s">
        <v>3578</v>
      </c>
      <c r="B181" s="3013" t="s">
        <v>3526</v>
      </c>
      <c r="C181" s="3017" t="s">
        <v>3579</v>
      </c>
      <c r="D181" s="3018">
        <v>163.22</v>
      </c>
      <c r="E181" s="3018">
        <v>163.22</v>
      </c>
      <c r="F181" s="3009"/>
    </row>
    <row r="182" spans="1:6" ht="14.25">
      <c r="A182" s="3005" t="s">
        <v>3580</v>
      </c>
      <c r="B182" s="3013" t="s">
        <v>3526</v>
      </c>
      <c r="C182" s="3017" t="s">
        <v>3581</v>
      </c>
      <c r="D182" s="3018">
        <v>148.55000000000001</v>
      </c>
      <c r="E182" s="3018">
        <v>148.55000000000001</v>
      </c>
      <c r="F182" s="3009"/>
    </row>
    <row r="183" spans="1:6" ht="14.25">
      <c r="A183" s="3005" t="s">
        <v>3582</v>
      </c>
      <c r="B183" s="3013" t="s">
        <v>3526</v>
      </c>
      <c r="C183" s="3017" t="s">
        <v>3583</v>
      </c>
      <c r="D183" s="3018">
        <v>67.19</v>
      </c>
      <c r="E183" s="3018">
        <v>67.19</v>
      </c>
      <c r="F183" s="3009"/>
    </row>
    <row r="184" spans="1:6" ht="14.25">
      <c r="A184" s="3005" t="s">
        <v>3584</v>
      </c>
      <c r="B184" s="3013" t="s">
        <v>3526</v>
      </c>
      <c r="C184" s="3017" t="s">
        <v>3585</v>
      </c>
      <c r="D184" s="3018">
        <v>67.19</v>
      </c>
      <c r="E184" s="3018">
        <v>67.19</v>
      </c>
      <c r="F184" s="3009"/>
    </row>
    <row r="185" spans="1:6" ht="14.25">
      <c r="A185" s="3005" t="s">
        <v>3586</v>
      </c>
      <c r="B185" s="3013" t="s">
        <v>3526</v>
      </c>
      <c r="C185" s="3017" t="s">
        <v>3587</v>
      </c>
      <c r="D185" s="3018">
        <v>148.55000000000001</v>
      </c>
      <c r="E185" s="3018">
        <v>148.55000000000001</v>
      </c>
      <c r="F185" s="3009"/>
    </row>
    <row r="186" spans="1:6" ht="14.25">
      <c r="A186" s="3005" t="s">
        <v>3588</v>
      </c>
      <c r="B186" s="3013" t="s">
        <v>3526</v>
      </c>
      <c r="C186" s="3017" t="s">
        <v>3589</v>
      </c>
      <c r="D186" s="3018">
        <v>149.13999999999999</v>
      </c>
      <c r="E186" s="3018">
        <v>149.13999999999999</v>
      </c>
      <c r="F186" s="3009"/>
    </row>
    <row r="187" spans="1:6" ht="14.25">
      <c r="A187" s="3005" t="s">
        <v>3590</v>
      </c>
      <c r="B187" s="3013" t="s">
        <v>3526</v>
      </c>
      <c r="C187" s="3017" t="s">
        <v>3591</v>
      </c>
      <c r="D187" s="3018">
        <v>67.11</v>
      </c>
      <c r="E187" s="3018">
        <v>67.11</v>
      </c>
      <c r="F187" s="3009"/>
    </row>
    <row r="188" spans="1:6" ht="14.25">
      <c r="A188" s="3005" t="s">
        <v>3592</v>
      </c>
      <c r="B188" s="3013" t="s">
        <v>3526</v>
      </c>
      <c r="C188" s="3017" t="s">
        <v>3593</v>
      </c>
      <c r="D188" s="3018">
        <v>99.17</v>
      </c>
      <c r="E188" s="3018">
        <v>99.17</v>
      </c>
      <c r="F188" s="3009"/>
    </row>
    <row r="189" spans="1:6" ht="14.25">
      <c r="A189" s="3005" t="s">
        <v>3594</v>
      </c>
      <c r="B189" s="3013" t="s">
        <v>3526</v>
      </c>
      <c r="C189" s="3017" t="s">
        <v>3595</v>
      </c>
      <c r="D189" s="3018">
        <v>102.79</v>
      </c>
      <c r="E189" s="3018">
        <v>102.79</v>
      </c>
      <c r="F189" s="3009"/>
    </row>
    <row r="190" spans="1:6" ht="14.25">
      <c r="A190" s="3005" t="s">
        <v>3596</v>
      </c>
      <c r="B190" s="3013" t="s">
        <v>3526</v>
      </c>
      <c r="C190" s="3017" t="s">
        <v>3597</v>
      </c>
      <c r="D190" s="3018">
        <v>111.03</v>
      </c>
      <c r="E190" s="3018">
        <v>111.03</v>
      </c>
      <c r="F190" s="3009"/>
    </row>
    <row r="191" spans="1:6" ht="14.25">
      <c r="A191" s="3005" t="s">
        <v>3598</v>
      </c>
      <c r="B191" s="3013" t="s">
        <v>3526</v>
      </c>
      <c r="C191" s="3017" t="s">
        <v>3599</v>
      </c>
      <c r="D191" s="3018">
        <v>56.63</v>
      </c>
      <c r="E191" s="3018">
        <v>56.63</v>
      </c>
      <c r="F191" s="3009"/>
    </row>
    <row r="192" spans="1:6" ht="14.25">
      <c r="A192" s="3005" t="s">
        <v>3600</v>
      </c>
      <c r="B192" s="3013" t="s">
        <v>3526</v>
      </c>
      <c r="C192" s="3017" t="s">
        <v>3601</v>
      </c>
      <c r="D192" s="3018">
        <v>61.84</v>
      </c>
      <c r="E192" s="3018">
        <v>61.84</v>
      </c>
      <c r="F192" s="3009"/>
    </row>
    <row r="193" spans="1:6" ht="14.25">
      <c r="A193" s="3005" t="s">
        <v>3602</v>
      </c>
      <c r="B193" s="3013" t="s">
        <v>3526</v>
      </c>
      <c r="C193" s="3017" t="s">
        <v>3603</v>
      </c>
      <c r="D193" s="3018">
        <v>61.84</v>
      </c>
      <c r="E193" s="3018">
        <v>61.84</v>
      </c>
      <c r="F193" s="3009"/>
    </row>
    <row r="194" spans="1:6" ht="14.25">
      <c r="A194" s="3005" t="s">
        <v>3604</v>
      </c>
      <c r="B194" s="3013" t="s">
        <v>3526</v>
      </c>
      <c r="C194" s="3017" t="s">
        <v>3605</v>
      </c>
      <c r="D194" s="3018">
        <v>61.84</v>
      </c>
      <c r="E194" s="3018">
        <v>61.84</v>
      </c>
      <c r="F194" s="3009"/>
    </row>
    <row r="195" spans="1:6" ht="14.25">
      <c r="A195" s="3005" t="s">
        <v>3606</v>
      </c>
      <c r="B195" s="3013" t="s">
        <v>3526</v>
      </c>
      <c r="C195" s="3017" t="s">
        <v>3607</v>
      </c>
      <c r="D195" s="3018">
        <v>61.84</v>
      </c>
      <c r="E195" s="3018">
        <v>61.84</v>
      </c>
      <c r="F195" s="3009"/>
    </row>
    <row r="196" spans="1:6" ht="14.25">
      <c r="A196" s="3005" t="s">
        <v>3608</v>
      </c>
      <c r="B196" s="3013" t="s">
        <v>3526</v>
      </c>
      <c r="C196" s="3017" t="s">
        <v>3609</v>
      </c>
      <c r="D196" s="3018">
        <v>61.84</v>
      </c>
      <c r="E196" s="3018">
        <v>61.84</v>
      </c>
      <c r="F196" s="3009"/>
    </row>
    <row r="197" spans="1:6" ht="14.25">
      <c r="A197" s="3005" t="s">
        <v>3610</v>
      </c>
      <c r="B197" s="3013" t="s">
        <v>3526</v>
      </c>
      <c r="C197" s="3017" t="s">
        <v>3611</v>
      </c>
      <c r="D197" s="3018">
        <v>61.84</v>
      </c>
      <c r="E197" s="3018">
        <v>61.84</v>
      </c>
      <c r="F197" s="3009"/>
    </row>
    <row r="198" spans="1:6" ht="14.25">
      <c r="A198" s="3005" t="s">
        <v>3612</v>
      </c>
      <c r="B198" s="3013" t="s">
        <v>3526</v>
      </c>
      <c r="C198" s="3017" t="s">
        <v>3613</v>
      </c>
      <c r="D198" s="3018">
        <v>61.84</v>
      </c>
      <c r="E198" s="3018">
        <v>61.84</v>
      </c>
      <c r="F198" s="3009"/>
    </row>
    <row r="199" spans="1:6" ht="14.25">
      <c r="A199" s="3005" t="s">
        <v>3614</v>
      </c>
      <c r="B199" s="3013" t="s">
        <v>3526</v>
      </c>
      <c r="C199" s="3017" t="s">
        <v>3615</v>
      </c>
      <c r="D199" s="3018">
        <v>61.84</v>
      </c>
      <c r="E199" s="3018">
        <v>61.84</v>
      </c>
      <c r="F199" s="3009"/>
    </row>
    <row r="200" spans="1:6" ht="14.25">
      <c r="A200" s="3005" t="s">
        <v>3616</v>
      </c>
      <c r="B200" s="3013" t="s">
        <v>3526</v>
      </c>
      <c r="C200" s="3017" t="s">
        <v>3617</v>
      </c>
      <c r="D200" s="3018">
        <v>61.84</v>
      </c>
      <c r="E200" s="3018">
        <v>61.84</v>
      </c>
      <c r="F200" s="3009"/>
    </row>
    <row r="201" spans="1:6" ht="14.25">
      <c r="A201" s="3005" t="s">
        <v>3618</v>
      </c>
      <c r="B201" s="3013" t="s">
        <v>3619</v>
      </c>
      <c r="C201" s="3017" t="s">
        <v>3620</v>
      </c>
      <c r="D201" s="3018">
        <v>109.17</v>
      </c>
      <c r="E201" s="3018">
        <v>109.17</v>
      </c>
      <c r="F201" s="3009"/>
    </row>
    <row r="202" spans="1:6" ht="14.25">
      <c r="A202" s="3005" t="s">
        <v>3621</v>
      </c>
      <c r="B202" s="3013" t="s">
        <v>3619</v>
      </c>
      <c r="C202" s="3017" t="s">
        <v>3622</v>
      </c>
      <c r="D202" s="3018">
        <v>80.88</v>
      </c>
      <c r="E202" s="3018">
        <v>80.88</v>
      </c>
      <c r="F202" s="3009"/>
    </row>
    <row r="203" spans="1:6" ht="14.25">
      <c r="A203" s="3005" t="s">
        <v>3623</v>
      </c>
      <c r="B203" s="3013" t="s">
        <v>3619</v>
      </c>
      <c r="C203" s="3017" t="s">
        <v>3624</v>
      </c>
      <c r="D203" s="3018">
        <v>81.8</v>
      </c>
      <c r="E203" s="3018">
        <v>81.8</v>
      </c>
      <c r="F203" s="3009"/>
    </row>
    <row r="204" spans="1:6" ht="14.25">
      <c r="A204" s="3005" t="s">
        <v>3625</v>
      </c>
      <c r="B204" s="3013" t="s">
        <v>3619</v>
      </c>
      <c r="C204" s="3017" t="s">
        <v>3626</v>
      </c>
      <c r="D204" s="3018">
        <v>109.17</v>
      </c>
      <c r="E204" s="3018">
        <v>109.17</v>
      </c>
      <c r="F204" s="3009"/>
    </row>
    <row r="205" spans="1:6" ht="14.25">
      <c r="A205" s="3005" t="s">
        <v>3627</v>
      </c>
      <c r="B205" s="3013" t="s">
        <v>3619</v>
      </c>
      <c r="C205" s="3017" t="s">
        <v>3628</v>
      </c>
      <c r="D205" s="3018">
        <v>80.88</v>
      </c>
      <c r="E205" s="3018">
        <v>80.88</v>
      </c>
      <c r="F205" s="3009"/>
    </row>
    <row r="206" spans="1:6" ht="14.25">
      <c r="A206" s="3005" t="s">
        <v>3629</v>
      </c>
      <c r="B206" s="3013" t="s">
        <v>3619</v>
      </c>
      <c r="C206" s="3017" t="s">
        <v>3630</v>
      </c>
      <c r="D206" s="3018">
        <v>80.290000000000006</v>
      </c>
      <c r="E206" s="3018">
        <v>80.290000000000006</v>
      </c>
      <c r="F206" s="3009"/>
    </row>
    <row r="207" spans="1:6" ht="14.25">
      <c r="A207" s="3005" t="s">
        <v>3631</v>
      </c>
      <c r="B207" s="3013" t="s">
        <v>3632</v>
      </c>
      <c r="C207" s="3029" t="s">
        <v>3633</v>
      </c>
      <c r="D207" s="3030">
        <v>91.04</v>
      </c>
      <c r="E207" s="3030">
        <v>91.04</v>
      </c>
      <c r="F207" s="3009"/>
    </row>
    <row r="208" spans="1:6" ht="14.25">
      <c r="A208" s="3005" t="s">
        <v>3634</v>
      </c>
      <c r="B208" s="3013" t="s">
        <v>3632</v>
      </c>
      <c r="C208" s="3029" t="s">
        <v>3635</v>
      </c>
      <c r="D208" s="3030">
        <v>113.8</v>
      </c>
      <c r="E208" s="3030">
        <v>113.8</v>
      </c>
      <c r="F208" s="3009"/>
    </row>
    <row r="209" spans="1:6" ht="14.25">
      <c r="A209" s="3005" t="s">
        <v>3636</v>
      </c>
      <c r="B209" s="3013" t="s">
        <v>3632</v>
      </c>
      <c r="C209" s="3029" t="s">
        <v>3637</v>
      </c>
      <c r="D209" s="3030">
        <v>111.68</v>
      </c>
      <c r="E209" s="3030">
        <v>111.68</v>
      </c>
      <c r="F209" s="3009"/>
    </row>
    <row r="210" spans="1:6" ht="14.25">
      <c r="A210" s="3005" t="s">
        <v>3638</v>
      </c>
      <c r="B210" s="3013" t="s">
        <v>3632</v>
      </c>
      <c r="C210" s="3029" t="s">
        <v>3639</v>
      </c>
      <c r="D210" s="3030">
        <v>142.82</v>
      </c>
      <c r="E210" s="3030">
        <v>142.82</v>
      </c>
      <c r="F210" s="3009"/>
    </row>
    <row r="211" spans="1:6" ht="14.25">
      <c r="A211" s="3005" t="s">
        <v>3640</v>
      </c>
      <c r="B211" s="3013" t="s">
        <v>3632</v>
      </c>
      <c r="C211" s="3029" t="s">
        <v>3641</v>
      </c>
      <c r="D211" s="3030">
        <v>124.97</v>
      </c>
      <c r="E211" s="3030">
        <v>124.97</v>
      </c>
      <c r="F211" s="3009"/>
    </row>
    <row r="212" spans="1:6" ht="14.25">
      <c r="A212" s="3005" t="s">
        <v>3642</v>
      </c>
      <c r="B212" s="3013" t="s">
        <v>3632</v>
      </c>
      <c r="C212" s="3029" t="s">
        <v>3643</v>
      </c>
      <c r="D212" s="3030">
        <v>121.83</v>
      </c>
      <c r="E212" s="3030">
        <v>121.83</v>
      </c>
      <c r="F212" s="3009"/>
    </row>
    <row r="213" spans="1:6" ht="14.25">
      <c r="A213" s="3005" t="s">
        <v>3644</v>
      </c>
      <c r="B213" s="3013" t="s">
        <v>3632</v>
      </c>
      <c r="C213" s="3029" t="s">
        <v>3645</v>
      </c>
      <c r="D213" s="3030">
        <v>49.68</v>
      </c>
      <c r="E213" s="3030">
        <v>49.68</v>
      </c>
      <c r="F213" s="3009"/>
    </row>
    <row r="214" spans="1:6" ht="14.25">
      <c r="A214" s="3005" t="s">
        <v>3646</v>
      </c>
      <c r="B214" s="3013" t="s">
        <v>3632</v>
      </c>
      <c r="C214" s="3029" t="s">
        <v>3647</v>
      </c>
      <c r="D214" s="3030">
        <v>49.68</v>
      </c>
      <c r="E214" s="3030">
        <v>49.68</v>
      </c>
      <c r="F214" s="3009"/>
    </row>
    <row r="215" spans="1:6" ht="14.25">
      <c r="A215" s="3005" t="s">
        <v>3648</v>
      </c>
      <c r="B215" s="3013" t="s">
        <v>3632</v>
      </c>
      <c r="C215" s="3029" t="s">
        <v>3649</v>
      </c>
      <c r="D215" s="3030">
        <v>121.83</v>
      </c>
      <c r="E215" s="3030">
        <v>121.83</v>
      </c>
      <c r="F215" s="3009"/>
    </row>
    <row r="216" spans="1:6" ht="14.25">
      <c r="A216" s="3005" t="s">
        <v>3650</v>
      </c>
      <c r="B216" s="3013" t="s">
        <v>3632</v>
      </c>
      <c r="C216" s="3029" t="s">
        <v>3651</v>
      </c>
      <c r="D216" s="3030">
        <v>124.97</v>
      </c>
      <c r="E216" s="3030">
        <v>124.97</v>
      </c>
      <c r="F216" s="3009"/>
    </row>
    <row r="217" spans="1:6" ht="14.25">
      <c r="A217" s="3005" t="s">
        <v>3652</v>
      </c>
      <c r="B217" s="3013" t="s">
        <v>3632</v>
      </c>
      <c r="C217" s="3029" t="s">
        <v>3653</v>
      </c>
      <c r="D217" s="3030">
        <v>142.82</v>
      </c>
      <c r="E217" s="3030">
        <v>142.82</v>
      </c>
      <c r="F217" s="3009"/>
    </row>
    <row r="218" spans="1:6" ht="14.25">
      <c r="A218" s="3005" t="s">
        <v>3654</v>
      </c>
      <c r="B218" s="3013" t="s">
        <v>3632</v>
      </c>
      <c r="C218" s="3029" t="s">
        <v>3655</v>
      </c>
      <c r="D218" s="3030">
        <v>136.13</v>
      </c>
      <c r="E218" s="3030">
        <v>136.13</v>
      </c>
      <c r="F218" s="3009"/>
    </row>
    <row r="219" spans="1:6" ht="14.25">
      <c r="A219" s="3005" t="s">
        <v>3656</v>
      </c>
      <c r="B219" s="3013" t="s">
        <v>3632</v>
      </c>
      <c r="C219" s="3029" t="s">
        <v>3657</v>
      </c>
      <c r="D219" s="3030">
        <v>49.68</v>
      </c>
      <c r="E219" s="3030">
        <v>49.68</v>
      </c>
      <c r="F219" s="3009"/>
    </row>
    <row r="220" spans="1:6" ht="14.25">
      <c r="A220" s="3005" t="s">
        <v>3658</v>
      </c>
      <c r="B220" s="3013" t="s">
        <v>3632</v>
      </c>
      <c r="C220" s="3029" t="s">
        <v>3659</v>
      </c>
      <c r="D220" s="3030">
        <v>89.05</v>
      </c>
      <c r="E220" s="3030">
        <v>89.05</v>
      </c>
      <c r="F220" s="3009"/>
    </row>
    <row r="221" spans="1:6" ht="14.25">
      <c r="A221" s="3005" t="s">
        <v>3660</v>
      </c>
      <c r="B221" s="3013" t="s">
        <v>3632</v>
      </c>
      <c r="C221" s="3029" t="s">
        <v>3661</v>
      </c>
      <c r="D221" s="3030">
        <v>111.81</v>
      </c>
      <c r="E221" s="3030">
        <v>111.81</v>
      </c>
      <c r="F221" s="3009"/>
    </row>
    <row r="222" spans="1:6" ht="14.25">
      <c r="A222" s="3005" t="s">
        <v>3662</v>
      </c>
      <c r="B222" s="3013" t="s">
        <v>3632</v>
      </c>
      <c r="C222" s="3029" t="s">
        <v>3663</v>
      </c>
      <c r="D222" s="3030">
        <v>111.68</v>
      </c>
      <c r="E222" s="3030">
        <v>111.68</v>
      </c>
      <c r="F222" s="3009"/>
    </row>
    <row r="223" spans="1:6" ht="14.25">
      <c r="A223" s="3005" t="s">
        <v>3664</v>
      </c>
      <c r="B223" s="3013" t="s">
        <v>3632</v>
      </c>
      <c r="C223" s="3029" t="s">
        <v>3665</v>
      </c>
      <c r="D223" s="3030">
        <v>140.44</v>
      </c>
      <c r="E223" s="3030">
        <v>140.44</v>
      </c>
      <c r="F223" s="3009"/>
    </row>
    <row r="224" spans="1:6" ht="14.25">
      <c r="A224" s="3005" t="s">
        <v>3666</v>
      </c>
      <c r="B224" s="3013" t="s">
        <v>3632</v>
      </c>
      <c r="C224" s="3029" t="s">
        <v>3667</v>
      </c>
      <c r="D224" s="3030">
        <v>122.59</v>
      </c>
      <c r="E224" s="3030">
        <v>122.59</v>
      </c>
      <c r="F224" s="3009"/>
    </row>
    <row r="225" spans="1:6" ht="14.25">
      <c r="A225" s="3005" t="s">
        <v>3668</v>
      </c>
      <c r="B225" s="3013" t="s">
        <v>3632</v>
      </c>
      <c r="C225" s="3029" t="s">
        <v>3669</v>
      </c>
      <c r="D225" s="3030">
        <v>171.5</v>
      </c>
      <c r="E225" s="3030">
        <v>171.5</v>
      </c>
      <c r="F225" s="3009"/>
    </row>
    <row r="226" spans="1:6" ht="14.25">
      <c r="A226" s="3005" t="s">
        <v>3670</v>
      </c>
      <c r="B226" s="3013" t="s">
        <v>3632</v>
      </c>
      <c r="C226" s="3029" t="s">
        <v>3671</v>
      </c>
      <c r="D226" s="3030">
        <v>171.5</v>
      </c>
      <c r="E226" s="3030">
        <v>171.5</v>
      </c>
      <c r="F226" s="3009"/>
    </row>
    <row r="227" spans="1:6" ht="14.25">
      <c r="A227" s="3005" t="s">
        <v>3672</v>
      </c>
      <c r="B227" s="3013" t="s">
        <v>3632</v>
      </c>
      <c r="C227" s="3029" t="s">
        <v>3673</v>
      </c>
      <c r="D227" s="3030">
        <v>122.59</v>
      </c>
      <c r="E227" s="3030">
        <v>122.59</v>
      </c>
      <c r="F227" s="3009"/>
    </row>
    <row r="228" spans="1:6" ht="14.25">
      <c r="A228" s="3005" t="s">
        <v>3674</v>
      </c>
      <c r="B228" s="3013" t="s">
        <v>3632</v>
      </c>
      <c r="C228" s="3029" t="s">
        <v>3675</v>
      </c>
      <c r="D228" s="3030">
        <v>140.44</v>
      </c>
      <c r="E228" s="3030">
        <v>140.44</v>
      </c>
      <c r="F228" s="3009"/>
    </row>
    <row r="229" spans="1:6" ht="14.25">
      <c r="A229" s="3005" t="s">
        <v>3676</v>
      </c>
      <c r="B229" s="3013" t="s">
        <v>3632</v>
      </c>
      <c r="C229" s="3029" t="s">
        <v>3677</v>
      </c>
      <c r="D229" s="3030">
        <v>185.81</v>
      </c>
      <c r="E229" s="3030">
        <v>185.81</v>
      </c>
      <c r="F229" s="3009"/>
    </row>
    <row r="230" spans="1:6" ht="14.25">
      <c r="A230" s="3031"/>
      <c r="B230" s="3009" t="s">
        <v>37</v>
      </c>
      <c r="C230" s="3009"/>
      <c r="D230" s="3032">
        <f>SUM(D4:D229)</f>
        <v>20511.157999999999</v>
      </c>
      <c r="E230" s="3032">
        <f>SUM(E4:E229)</f>
        <v>20428.607999999997</v>
      </c>
      <c r="F230" s="3009"/>
    </row>
    <row r="231" spans="1:6">
      <c r="A231" s="3033"/>
      <c r="B231" s="3033"/>
      <c r="C231" s="3033"/>
      <c r="D231" s="3033"/>
      <c r="E231" s="3033"/>
      <c r="F231" s="3033"/>
    </row>
  </sheetData>
  <mergeCells count="1">
    <mergeCell ref="A1:F1"/>
  </mergeCells>
  <phoneticPr fontId="143" type="noConversion"/>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Z23" sqref="Z23"/>
    </sheetView>
  </sheetViews>
  <sheetFormatPr defaultRowHeight="13.5"/>
  <cols>
    <col min="1" max="1" width="13.5" style="2011" customWidth="1"/>
    <col min="2" max="2" width="23.25" style="1962" customWidth="1"/>
    <col min="3" max="3" width="13" style="2006" hidden="1" customWidth="1"/>
    <col min="4" max="4" width="5.75" style="2003" hidden="1" customWidth="1"/>
    <col min="5" max="5" width="7.125" style="2003" hidden="1" customWidth="1"/>
    <col min="6" max="6" width="10.625" style="2003" hidden="1" customWidth="1"/>
    <col min="7" max="7" width="7.5" style="2003" hidden="1" customWidth="1"/>
    <col min="8" max="8" width="9" style="2006" hidden="1" customWidth="1"/>
    <col min="9" max="9" width="11.625" style="2006" hidden="1" customWidth="1"/>
    <col min="10" max="10" width="9" style="2006" hidden="1" customWidth="1"/>
    <col min="11" max="19" width="9" style="2003" hidden="1" customWidth="1"/>
    <col min="20" max="22" width="9" style="2006" hidden="1" customWidth="1"/>
    <col min="23" max="23" width="9" style="2006" customWidth="1"/>
    <col min="24" max="24" width="21.125" style="1962" customWidth="1"/>
    <col min="25" max="16384" width="9" style="1962"/>
  </cols>
  <sheetData>
    <row r="1" spans="1:23" s="2000" customFormat="1" ht="27">
      <c r="A1" s="1994" t="s">
        <v>71</v>
      </c>
      <c r="B1" s="1995" t="s">
        <v>1690</v>
      </c>
      <c r="C1" s="1996" t="s">
        <v>759</v>
      </c>
      <c r="D1" s="1997" t="s">
        <v>1691</v>
      </c>
      <c r="E1" s="1997" t="s">
        <v>1692</v>
      </c>
      <c r="F1" s="1997" t="s">
        <v>1693</v>
      </c>
      <c r="G1" s="1997" t="s">
        <v>1694</v>
      </c>
      <c r="H1" s="1997" t="s">
        <v>1695</v>
      </c>
      <c r="I1" s="1997" t="s">
        <v>1696</v>
      </c>
      <c r="J1" s="1997" t="s">
        <v>1697</v>
      </c>
      <c r="K1" s="1997" t="s">
        <v>1698</v>
      </c>
      <c r="L1" s="1997" t="s">
        <v>1699</v>
      </c>
      <c r="M1" s="1997" t="s">
        <v>1700</v>
      </c>
      <c r="N1" s="1997" t="s">
        <v>1701</v>
      </c>
      <c r="O1" s="1997" t="s">
        <v>1702</v>
      </c>
      <c r="P1" s="1998" t="s">
        <v>753</v>
      </c>
      <c r="Q1" s="1998" t="s">
        <v>1144</v>
      </c>
      <c r="R1" s="1997" t="s">
        <v>1138</v>
      </c>
      <c r="S1" s="1997" t="s">
        <v>1703</v>
      </c>
      <c r="T1" s="1999" t="s">
        <v>1704</v>
      </c>
      <c r="U1" s="1997" t="s">
        <v>1705</v>
      </c>
      <c r="V1" s="1997" t="s">
        <v>1706</v>
      </c>
      <c r="W1" s="1997" t="s">
        <v>755</v>
      </c>
    </row>
    <row r="2" spans="1:23">
      <c r="A2" s="2001" t="s">
        <v>22</v>
      </c>
      <c r="B2" s="2001" t="s">
        <v>1707</v>
      </c>
      <c r="C2" s="2002" t="s">
        <v>760</v>
      </c>
      <c r="D2" s="2003" t="s">
        <v>1708</v>
      </c>
      <c r="E2" s="2003" t="s">
        <v>1709</v>
      </c>
      <c r="F2" s="2003" t="s">
        <v>1710</v>
      </c>
      <c r="G2" s="2003">
        <v>40</v>
      </c>
      <c r="H2" s="2003" t="s">
        <v>1710</v>
      </c>
      <c r="I2" s="2003" t="s">
        <v>1711</v>
      </c>
      <c r="J2" s="2003" t="s">
        <v>1712</v>
      </c>
      <c r="K2" s="2003" t="s">
        <v>1713</v>
      </c>
      <c r="L2" s="2003" t="s">
        <v>1713</v>
      </c>
      <c r="M2" s="2003" t="s">
        <v>1713</v>
      </c>
      <c r="N2" s="2003" t="s">
        <v>1713</v>
      </c>
      <c r="O2" s="2003" t="s">
        <v>1713</v>
      </c>
      <c r="P2" s="2003" t="s">
        <v>1713</v>
      </c>
      <c r="Q2" s="2003" t="s">
        <v>1713</v>
      </c>
      <c r="R2" s="2003" t="s">
        <v>1140</v>
      </c>
      <c r="S2" s="2003" t="s">
        <v>1713</v>
      </c>
      <c r="T2" s="2003" t="s">
        <v>1714</v>
      </c>
      <c r="U2" s="2003" t="s">
        <v>1713</v>
      </c>
      <c r="V2" s="2003" t="s">
        <v>1715</v>
      </c>
      <c r="W2" s="2003" t="s">
        <v>1713</v>
      </c>
    </row>
    <row r="3" spans="1:23">
      <c r="A3" s="2001" t="s">
        <v>1716</v>
      </c>
      <c r="B3" s="2004" t="s">
        <v>1145</v>
      </c>
      <c r="C3" s="2005" t="s">
        <v>761</v>
      </c>
      <c r="D3" s="2003" t="s">
        <v>1717</v>
      </c>
      <c r="E3" s="2003" t="s">
        <v>16</v>
      </c>
      <c r="F3" s="2003" t="s">
        <v>1718</v>
      </c>
      <c r="G3" s="2003">
        <v>50</v>
      </c>
      <c r="H3" s="2003" t="s">
        <v>1718</v>
      </c>
      <c r="I3" s="2003" t="s">
        <v>1719</v>
      </c>
      <c r="J3" s="2003" t="s">
        <v>1720</v>
      </c>
      <c r="K3" s="2003" t="s">
        <v>1721</v>
      </c>
      <c r="L3" s="2003" t="s">
        <v>1721</v>
      </c>
      <c r="M3" s="2003" t="s">
        <v>1721</v>
      </c>
      <c r="N3" s="2003" t="s">
        <v>1721</v>
      </c>
      <c r="O3" s="2003" t="s">
        <v>1721</v>
      </c>
      <c r="P3" s="2003" t="s">
        <v>1721</v>
      </c>
      <c r="Q3" s="2003" t="s">
        <v>1721</v>
      </c>
      <c r="R3" s="2003" t="s">
        <v>1139</v>
      </c>
      <c r="S3" s="2003" t="s">
        <v>1721</v>
      </c>
      <c r="T3" s="2003" t="s">
        <v>1722</v>
      </c>
      <c r="U3" s="2003" t="s">
        <v>1721</v>
      </c>
      <c r="V3" s="2003" t="s">
        <v>1723</v>
      </c>
      <c r="W3" s="2003" t="s">
        <v>1721</v>
      </c>
    </row>
    <row r="4" spans="1:23">
      <c r="A4" s="2001" t="s">
        <v>1724</v>
      </c>
      <c r="B4" s="2001" t="s">
        <v>1725</v>
      </c>
      <c r="C4" s="2002" t="s">
        <v>762</v>
      </c>
      <c r="D4" s="2003" t="s">
        <v>868</v>
      </c>
      <c r="E4" s="2003" t="s">
        <v>1726</v>
      </c>
      <c r="F4" s="2003" t="s">
        <v>1727</v>
      </c>
      <c r="G4" s="2003">
        <v>70</v>
      </c>
      <c r="H4" s="2003" t="s">
        <v>1727</v>
      </c>
      <c r="I4" s="2003" t="s">
        <v>1728</v>
      </c>
      <c r="K4" s="2003" t="s">
        <v>1729</v>
      </c>
      <c r="L4" s="2003" t="s">
        <v>1729</v>
      </c>
      <c r="M4" s="2003" t="s">
        <v>1729</v>
      </c>
      <c r="N4" s="2003" t="s">
        <v>1729</v>
      </c>
      <c r="O4" s="2003" t="s">
        <v>1729</v>
      </c>
      <c r="P4" s="2003" t="s">
        <v>1729</v>
      </c>
      <c r="Q4" s="2003" t="s">
        <v>1729</v>
      </c>
      <c r="R4" s="2003" t="s">
        <v>1141</v>
      </c>
      <c r="S4" s="2003" t="s">
        <v>1729</v>
      </c>
      <c r="T4" s="2003" t="s">
        <v>1730</v>
      </c>
      <c r="U4" s="2003" t="s">
        <v>1729</v>
      </c>
      <c r="W4" s="2003" t="s">
        <v>1729</v>
      </c>
    </row>
    <row r="5" spans="1:23">
      <c r="A5" s="2001" t="s">
        <v>1731</v>
      </c>
      <c r="B5" s="2001" t="s">
        <v>1732</v>
      </c>
      <c r="C5" s="2002" t="s">
        <v>763</v>
      </c>
      <c r="F5" s="2003" t="s">
        <v>1733</v>
      </c>
      <c r="H5" s="2003" t="s">
        <v>1734</v>
      </c>
      <c r="I5" s="2003" t="s">
        <v>1735</v>
      </c>
      <c r="K5" s="2003" t="s">
        <v>1736</v>
      </c>
      <c r="L5" s="2003" t="s">
        <v>1736</v>
      </c>
      <c r="M5" s="2003" t="s">
        <v>1736</v>
      </c>
      <c r="N5" s="2003" t="s">
        <v>1736</v>
      </c>
      <c r="O5" s="2003" t="s">
        <v>1736</v>
      </c>
      <c r="P5" s="2003" t="s">
        <v>1736</v>
      </c>
      <c r="Q5" s="2003" t="s">
        <v>1736</v>
      </c>
      <c r="R5" s="2003" t="s">
        <v>1142</v>
      </c>
      <c r="S5" s="2003" t="s">
        <v>1736</v>
      </c>
      <c r="T5" s="2003" t="s">
        <v>1737</v>
      </c>
      <c r="U5" s="2003" t="s">
        <v>1736</v>
      </c>
      <c r="W5" s="2003" t="s">
        <v>1736</v>
      </c>
    </row>
    <row r="6" spans="1:23">
      <c r="A6" s="2001" t="s">
        <v>1738</v>
      </c>
      <c r="B6" s="2004" t="s">
        <v>1146</v>
      </c>
      <c r="C6" s="2007" t="s">
        <v>30</v>
      </c>
      <c r="F6" s="2003" t="s">
        <v>1734</v>
      </c>
      <c r="H6" s="2003" t="s">
        <v>1739</v>
      </c>
      <c r="I6" s="2003" t="s">
        <v>1740</v>
      </c>
      <c r="K6" s="2003" t="s">
        <v>1741</v>
      </c>
      <c r="L6" s="2003" t="s">
        <v>1741</v>
      </c>
      <c r="M6" s="2003" t="s">
        <v>1741</v>
      </c>
      <c r="N6" s="2003" t="s">
        <v>1741</v>
      </c>
      <c r="O6" s="2003" t="s">
        <v>1741</v>
      </c>
      <c r="P6" s="2003" t="s">
        <v>1741</v>
      </c>
      <c r="Q6" s="2003" t="s">
        <v>1741</v>
      </c>
      <c r="R6" s="2003" t="s">
        <v>1143</v>
      </c>
      <c r="S6" s="2003" t="s">
        <v>1741</v>
      </c>
      <c r="T6" s="2003"/>
      <c r="U6" s="2003" t="s">
        <v>1741</v>
      </c>
      <c r="W6" s="2003" t="s">
        <v>1741</v>
      </c>
    </row>
    <row r="7" spans="1:23">
      <c r="A7" s="2001" t="s">
        <v>1742</v>
      </c>
      <c r="B7" s="2004" t="s">
        <v>1147</v>
      </c>
      <c r="C7" s="2002" t="s">
        <v>31</v>
      </c>
      <c r="F7" s="2003" t="s">
        <v>1743</v>
      </c>
      <c r="H7" s="2003" t="s">
        <v>1744</v>
      </c>
      <c r="I7" s="2003" t="s">
        <v>1745</v>
      </c>
    </row>
    <row r="8" spans="1:23">
      <c r="A8" s="2001" t="s">
        <v>1746</v>
      </c>
      <c r="B8" s="2001" t="s">
        <v>1747</v>
      </c>
      <c r="C8" s="2002" t="s">
        <v>764</v>
      </c>
      <c r="F8" s="2003" t="s">
        <v>1748</v>
      </c>
      <c r="H8" s="2003"/>
      <c r="I8" s="2003" t="s">
        <v>1749</v>
      </c>
    </row>
    <row r="9" spans="1:23">
      <c r="A9" s="2001" t="s">
        <v>1750</v>
      </c>
      <c r="B9" s="2001" t="s">
        <v>1751</v>
      </c>
      <c r="C9" s="2002" t="s">
        <v>765</v>
      </c>
      <c r="F9" s="2003" t="s">
        <v>1752</v>
      </c>
      <c r="H9" s="2003"/>
    </row>
    <row r="10" spans="1:23">
      <c r="A10" s="2001" t="s">
        <v>1753</v>
      </c>
      <c r="B10" s="2001" t="s">
        <v>1754</v>
      </c>
      <c r="C10" s="2002" t="s">
        <v>766</v>
      </c>
      <c r="F10" s="2003" t="s">
        <v>16</v>
      </c>
    </row>
    <row r="11" spans="1:23">
      <c r="A11" s="2001" t="s">
        <v>1755</v>
      </c>
      <c r="B11" s="2001" t="s">
        <v>1756</v>
      </c>
      <c r="C11" s="2002" t="s">
        <v>767</v>
      </c>
    </row>
    <row r="12" spans="1:23">
      <c r="A12" s="2001" t="s">
        <v>1757</v>
      </c>
      <c r="B12" s="2001" t="s">
        <v>1758</v>
      </c>
      <c r="C12" s="2002" t="s">
        <v>768</v>
      </c>
    </row>
    <row r="13" spans="1:23">
      <c r="A13" s="2001" t="s">
        <v>1759</v>
      </c>
      <c r="B13" s="2001" t="s">
        <v>1760</v>
      </c>
      <c r="C13" s="2002" t="s">
        <v>769</v>
      </c>
    </row>
    <row r="14" spans="1:23">
      <c r="A14" s="2001" t="s">
        <v>1761</v>
      </c>
      <c r="B14" s="2001" t="s">
        <v>1762</v>
      </c>
      <c r="C14" s="2003" t="s">
        <v>16</v>
      </c>
    </row>
    <row r="15" spans="1:23">
      <c r="A15" s="2001" t="s">
        <v>1763</v>
      </c>
      <c r="B15" s="2001" t="s">
        <v>1764</v>
      </c>
      <c r="C15" s="2002"/>
    </row>
    <row r="16" spans="1:23">
      <c r="A16" s="2001" t="s">
        <v>1765</v>
      </c>
      <c r="B16" s="2001" t="s">
        <v>756</v>
      </c>
      <c r="C16" s="2002"/>
    </row>
    <row r="17" spans="1:3">
      <c r="A17" s="2001" t="s">
        <v>1766</v>
      </c>
      <c r="B17" s="2001" t="s">
        <v>3145</v>
      </c>
      <c r="C17" s="2002"/>
    </row>
    <row r="18" spans="1:3">
      <c r="A18" s="2001" t="s">
        <v>1767</v>
      </c>
      <c r="B18" s="2001"/>
      <c r="C18" s="2002"/>
    </row>
    <row r="19" spans="1:3">
      <c r="A19" s="2001" t="s">
        <v>1768</v>
      </c>
      <c r="B19" s="2001"/>
      <c r="C19" s="2002"/>
    </row>
    <row r="20" spans="1:3">
      <c r="A20" s="2001" t="s">
        <v>1769</v>
      </c>
      <c r="B20" s="2001"/>
      <c r="C20" s="2002"/>
    </row>
    <row r="21" spans="1:3">
      <c r="A21" s="2001" t="s">
        <v>1770</v>
      </c>
      <c r="B21" s="2001" t="s">
        <v>3184</v>
      </c>
      <c r="C21" s="2002"/>
    </row>
    <row r="22" spans="1:3">
      <c r="A22" s="2001" t="s">
        <v>1771</v>
      </c>
      <c r="B22" s="2001" t="s">
        <v>3186</v>
      </c>
      <c r="C22" s="2002"/>
    </row>
    <row r="23" spans="1:3">
      <c r="A23" s="2001" t="s">
        <v>1772</v>
      </c>
      <c r="B23" s="2001" t="s">
        <v>3187</v>
      </c>
      <c r="C23" s="2002"/>
    </row>
    <row r="24" spans="1:3">
      <c r="A24" s="2001" t="s">
        <v>1773</v>
      </c>
      <c r="B24" s="2001" t="s">
        <v>757</v>
      </c>
      <c r="C24" s="2002"/>
    </row>
    <row r="25" spans="1:3">
      <c r="A25" s="2001" t="s">
        <v>1774</v>
      </c>
      <c r="B25" s="2001" t="s">
        <v>757</v>
      </c>
      <c r="C25" s="2002"/>
    </row>
    <row r="26" spans="1:3">
      <c r="A26" s="2001" t="s">
        <v>1775</v>
      </c>
      <c r="B26" s="2001" t="s">
        <v>757</v>
      </c>
      <c r="C26" s="2002"/>
    </row>
    <row r="27" spans="1:3">
      <c r="A27" s="2001" t="s">
        <v>757</v>
      </c>
      <c r="B27" s="2001" t="s">
        <v>757</v>
      </c>
      <c r="C27" s="2002"/>
    </row>
    <row r="28" spans="1:3">
      <c r="A28" s="2001" t="s">
        <v>757</v>
      </c>
      <c r="B28" s="2001" t="s">
        <v>757</v>
      </c>
      <c r="C28" s="2002"/>
    </row>
    <row r="29" spans="1:3">
      <c r="A29" s="2001" t="s">
        <v>757</v>
      </c>
      <c r="B29" s="2001" t="s">
        <v>757</v>
      </c>
      <c r="C29" s="2002"/>
    </row>
    <row r="30" spans="1:3">
      <c r="A30" s="2001" t="s">
        <v>757</v>
      </c>
      <c r="B30" s="2001" t="s">
        <v>757</v>
      </c>
      <c r="C30" s="2002"/>
    </row>
    <row r="31" spans="1:3">
      <c r="A31" s="2001" t="s">
        <v>757</v>
      </c>
      <c r="B31" s="2001" t="s">
        <v>757</v>
      </c>
      <c r="C31" s="2002"/>
    </row>
    <row r="32" spans="1:3">
      <c r="A32" s="2001" t="s">
        <v>757</v>
      </c>
      <c r="B32" s="2001" t="s">
        <v>757</v>
      </c>
      <c r="C32" s="2002"/>
    </row>
    <row r="33" spans="1:3">
      <c r="A33" s="2001" t="s">
        <v>757</v>
      </c>
      <c r="B33" s="2001" t="s">
        <v>757</v>
      </c>
      <c r="C33" s="2002"/>
    </row>
    <row r="34" spans="1:3">
      <c r="A34" s="2001" t="s">
        <v>757</v>
      </c>
      <c r="B34" s="2001" t="s">
        <v>757</v>
      </c>
      <c r="C34" s="2002"/>
    </row>
    <row r="35" spans="1:3">
      <c r="A35" s="2001" t="s">
        <v>757</v>
      </c>
      <c r="B35" s="2001" t="s">
        <v>757</v>
      </c>
      <c r="C35" s="2002"/>
    </row>
    <row r="36" spans="1:3">
      <c r="A36" s="2001" t="s">
        <v>757</v>
      </c>
      <c r="B36" s="2001" t="s">
        <v>757</v>
      </c>
      <c r="C36" s="2002"/>
    </row>
    <row r="37" spans="1:3">
      <c r="A37" s="2001" t="s">
        <v>757</v>
      </c>
      <c r="B37" s="2001" t="s">
        <v>757</v>
      </c>
      <c r="C37" s="2002"/>
    </row>
    <row r="38" spans="1:3">
      <c r="A38" s="2001" t="s">
        <v>757</v>
      </c>
      <c r="B38" s="2001" t="s">
        <v>757</v>
      </c>
      <c r="C38" s="2002"/>
    </row>
    <row r="39" spans="1:3">
      <c r="A39" s="2001" t="s">
        <v>757</v>
      </c>
      <c r="B39" s="2001" t="s">
        <v>757</v>
      </c>
      <c r="C39" s="2002"/>
    </row>
    <row r="40" spans="1:3">
      <c r="A40" s="2001" t="s">
        <v>757</v>
      </c>
      <c r="B40" s="2001" t="s">
        <v>757</v>
      </c>
      <c r="C40" s="2002"/>
    </row>
    <row r="41" spans="1:3">
      <c r="A41" s="2001" t="s">
        <v>757</v>
      </c>
      <c r="B41" s="2001" t="s">
        <v>757</v>
      </c>
      <c r="C41" s="2002"/>
    </row>
    <row r="42" spans="1:3">
      <c r="A42" s="2001" t="s">
        <v>757</v>
      </c>
      <c r="B42" s="2001" t="s">
        <v>757</v>
      </c>
      <c r="C42" s="2002"/>
    </row>
    <row r="43" spans="1:3">
      <c r="A43" s="2001" t="s">
        <v>757</v>
      </c>
      <c r="B43" s="2001" t="s">
        <v>757</v>
      </c>
      <c r="C43" s="2002"/>
    </row>
    <row r="44" spans="1:3">
      <c r="A44" s="2001" t="s">
        <v>757</v>
      </c>
      <c r="B44" s="2001" t="s">
        <v>757</v>
      </c>
      <c r="C44" s="2002"/>
    </row>
    <row r="45" spans="1:3">
      <c r="A45" s="2001" t="s">
        <v>757</v>
      </c>
      <c r="B45" s="2001" t="s">
        <v>757</v>
      </c>
      <c r="C45" s="2002"/>
    </row>
    <row r="46" spans="1:3">
      <c r="A46" s="2001" t="s">
        <v>757</v>
      </c>
      <c r="B46" s="2001" t="s">
        <v>757</v>
      </c>
      <c r="C46" s="2002"/>
    </row>
    <row r="47" spans="1:3">
      <c r="A47" s="2001" t="s">
        <v>757</v>
      </c>
      <c r="B47" s="2001" t="s">
        <v>757</v>
      </c>
      <c r="C47" s="2002"/>
    </row>
    <row r="48" spans="1:3">
      <c r="A48" s="2001" t="s">
        <v>757</v>
      </c>
      <c r="B48" s="2001" t="s">
        <v>757</v>
      </c>
      <c r="C48" s="2002"/>
    </row>
    <row r="49" spans="1:4">
      <c r="A49" s="2001" t="s">
        <v>757</v>
      </c>
      <c r="B49" s="2001" t="s">
        <v>757</v>
      </c>
      <c r="C49" s="2002"/>
    </row>
    <row r="50" spans="1:4">
      <c r="A50" s="2001" t="s">
        <v>757</v>
      </c>
      <c r="B50" s="2001" t="s">
        <v>757</v>
      </c>
      <c r="C50" s="2002"/>
    </row>
    <row r="51" spans="1:4">
      <c r="A51" s="2008" t="s">
        <v>857</v>
      </c>
      <c r="B51" s="20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09" t="s">
        <v>1284</v>
      </c>
    </row>
    <row r="52" spans="1:4">
      <c r="A52" s="2008" t="s">
        <v>858</v>
      </c>
      <c r="B52" s="2008" t="s">
        <v>859</v>
      </c>
      <c r="C52" s="2006" t="s">
        <v>860</v>
      </c>
      <c r="D52" s="2006" t="s">
        <v>861</v>
      </c>
    </row>
    <row r="53" spans="1:4">
      <c r="A53" s="3122" t="s">
        <v>862</v>
      </c>
      <c r="B53" s="2009" t="s">
        <v>863</v>
      </c>
      <c r="C53" s="20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2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22"/>
      <c r="B54" s="2009" t="s">
        <v>864</v>
      </c>
      <c r="C54" s="2006" t="s">
        <v>1281</v>
      </c>
    </row>
    <row r="55" spans="1:4">
      <c r="A55" s="3122"/>
      <c r="B55" s="2009" t="s">
        <v>865</v>
      </c>
      <c r="C55" s="2006" t="s">
        <v>1282</v>
      </c>
    </row>
    <row r="56" spans="1:4">
      <c r="A56" s="3122"/>
      <c r="B56" s="2009" t="s">
        <v>866</v>
      </c>
      <c r="C56" s="2006" t="s">
        <v>1286</v>
      </c>
    </row>
    <row r="57" spans="1:4">
      <c r="A57" s="3122"/>
      <c r="B57" s="2009" t="s">
        <v>867</v>
      </c>
      <c r="C57" s="2006" t="s">
        <v>1283</v>
      </c>
    </row>
    <row r="58" spans="1:4">
      <c r="A58" s="2010"/>
      <c r="B58" s="2006"/>
    </row>
    <row r="59" spans="1:4">
      <c r="A59" s="2010"/>
      <c r="B59" s="2006"/>
    </row>
    <row r="60" spans="1:4">
      <c r="A60" s="2010"/>
      <c r="B60" s="2006"/>
    </row>
    <row r="61" spans="1:4">
      <c r="A61" s="2010"/>
      <c r="B61" s="2006"/>
    </row>
    <row r="62" spans="1:4">
      <c r="A62" s="2010"/>
      <c r="B62" s="2006"/>
    </row>
    <row r="63" spans="1:4">
      <c r="A63" s="2010"/>
      <c r="B63" s="2006"/>
    </row>
    <row r="64" spans="1:4">
      <c r="A64" s="2010"/>
      <c r="B64" s="2006"/>
    </row>
    <row r="65" spans="1:2">
      <c r="A65" s="2010"/>
      <c r="B65" s="2006"/>
    </row>
    <row r="66" spans="1:2">
      <c r="A66" s="2010"/>
      <c r="B66" s="2006"/>
    </row>
    <row r="67" spans="1:2">
      <c r="A67" s="2010"/>
      <c r="B67" s="2006"/>
    </row>
    <row r="68" spans="1:2">
      <c r="A68" s="2010"/>
      <c r="B68" s="2006"/>
    </row>
    <row r="69" spans="1:2">
      <c r="A69" s="2010"/>
      <c r="B69" s="2006"/>
    </row>
    <row r="70" spans="1:2">
      <c r="A70" s="2010"/>
      <c r="B70" s="2006"/>
    </row>
    <row r="71" spans="1:2">
      <c r="A71" s="2010"/>
      <c r="B71" s="2006"/>
    </row>
    <row r="72" spans="1:2">
      <c r="A72" s="2010"/>
      <c r="B72" s="2006"/>
    </row>
    <row r="73" spans="1:2">
      <c r="A73" s="2010"/>
      <c r="B73" s="2006"/>
    </row>
    <row r="74" spans="1:2">
      <c r="A74" s="2010"/>
      <c r="B74" s="2006"/>
    </row>
    <row r="75" spans="1:2">
      <c r="A75" s="2010"/>
      <c r="B75" s="2006"/>
    </row>
    <row r="76" spans="1:2">
      <c r="A76" s="2010"/>
      <c r="B76" s="2006"/>
    </row>
    <row r="77" spans="1:2">
      <c r="A77" s="2010"/>
      <c r="B77" s="2006"/>
    </row>
    <row r="78" spans="1:2">
      <c r="A78" s="2010"/>
      <c r="B78" s="2006"/>
    </row>
    <row r="79" spans="1:2">
      <c r="A79" s="2010"/>
      <c r="B79" s="2006"/>
    </row>
    <row r="80" spans="1:2">
      <c r="A80" s="2010"/>
      <c r="B80" s="2006"/>
    </row>
    <row r="81" spans="1:2">
      <c r="A81" s="2010"/>
      <c r="B81" s="2006"/>
    </row>
    <row r="82" spans="1:2">
      <c r="A82" s="2010"/>
      <c r="B82" s="2006"/>
    </row>
    <row r="83" spans="1:2">
      <c r="A83" s="2010"/>
      <c r="B83" s="2006"/>
    </row>
    <row r="84" spans="1:2">
      <c r="A84" s="2010"/>
      <c r="B84" s="2006"/>
    </row>
    <row r="85" spans="1:2">
      <c r="A85" s="2010"/>
      <c r="B85" s="2006"/>
    </row>
    <row r="86" spans="1:2">
      <c r="A86" s="2010"/>
      <c r="B86" s="2006"/>
    </row>
    <row r="87" spans="1:2">
      <c r="A87" s="2010"/>
      <c r="B87" s="2006"/>
    </row>
    <row r="88" spans="1:2">
      <c r="A88" s="2010"/>
      <c r="B88" s="2006"/>
    </row>
    <row r="89" spans="1:2">
      <c r="A89" s="2010"/>
      <c r="B89" s="2006"/>
    </row>
    <row r="90" spans="1:2">
      <c r="A90" s="2010"/>
      <c r="B90" s="2006"/>
    </row>
    <row r="91" spans="1:2">
      <c r="A91" s="2010"/>
      <c r="B91" s="2006"/>
    </row>
    <row r="92" spans="1:2">
      <c r="A92" s="2010"/>
      <c r="B92" s="2006"/>
    </row>
    <row r="93" spans="1:2">
      <c r="A93" s="2010"/>
      <c r="B93" s="2006"/>
    </row>
    <row r="94" spans="1:2">
      <c r="A94" s="2010"/>
      <c r="B94" s="2006"/>
    </row>
    <row r="95" spans="1:2">
      <c r="A95" s="2010"/>
      <c r="B95" s="2006"/>
    </row>
    <row r="96" spans="1:2">
      <c r="A96" s="2010"/>
      <c r="B96" s="2006"/>
    </row>
    <row r="97" spans="1:2">
      <c r="A97" s="2010"/>
      <c r="B97" s="2006"/>
    </row>
    <row r="98" spans="1:2">
      <c r="A98" s="2010"/>
      <c r="B98" s="2006"/>
    </row>
    <row r="99" spans="1:2">
      <c r="A99" s="2010"/>
      <c r="B99" s="2006"/>
    </row>
    <row r="100" spans="1:2">
      <c r="A100" s="2010"/>
      <c r="B100" s="2006"/>
    </row>
    <row r="101" spans="1:2">
      <c r="A101" s="2010"/>
      <c r="B101" s="2006"/>
    </row>
    <row r="102" spans="1:2">
      <c r="A102" s="2010"/>
      <c r="B102" s="2006"/>
    </row>
    <row r="103" spans="1:2">
      <c r="A103" s="2010"/>
      <c r="B103" s="2006"/>
    </row>
    <row r="104" spans="1:2">
      <c r="A104" s="2010"/>
      <c r="B104" s="2006"/>
    </row>
    <row r="105" spans="1:2">
      <c r="A105" s="2010"/>
      <c r="B105" s="2006"/>
    </row>
    <row r="106" spans="1:2">
      <c r="A106" s="2010"/>
      <c r="B106" s="2006"/>
    </row>
    <row r="107" spans="1:2">
      <c r="A107" s="2010"/>
      <c r="B107" s="2006"/>
    </row>
    <row r="108" spans="1:2">
      <c r="A108" s="2010"/>
      <c r="B108" s="2006"/>
    </row>
    <row r="109" spans="1:2">
      <c r="A109" s="2010"/>
      <c r="B109" s="2006"/>
    </row>
    <row r="110" spans="1:2">
      <c r="A110" s="2010"/>
      <c r="B110" s="2006"/>
    </row>
    <row r="111" spans="1:2">
      <c r="A111" s="2010"/>
      <c r="B111" s="2006"/>
    </row>
    <row r="112" spans="1:2">
      <c r="A112" s="2010"/>
      <c r="B112" s="2006"/>
    </row>
    <row r="113" spans="1:2">
      <c r="A113" s="2010"/>
      <c r="B113" s="2006"/>
    </row>
    <row r="114" spans="1:2">
      <c r="A114" s="2010"/>
      <c r="B114" s="2006"/>
    </row>
    <row r="115" spans="1:2">
      <c r="A115" s="2010"/>
      <c r="B115" s="2006"/>
    </row>
    <row r="116" spans="1:2">
      <c r="A116" s="2010"/>
      <c r="B116" s="2006"/>
    </row>
    <row r="117" spans="1:2">
      <c r="A117" s="2010"/>
      <c r="B117" s="2006"/>
    </row>
    <row r="118" spans="1:2">
      <c r="A118" s="2010"/>
      <c r="B118" s="2006"/>
    </row>
    <row r="119" spans="1:2">
      <c r="A119" s="2010"/>
      <c r="B119" s="2006"/>
    </row>
    <row r="120" spans="1:2">
      <c r="A120" s="2010"/>
      <c r="B120" s="2006"/>
    </row>
    <row r="121" spans="1:2">
      <c r="A121" s="2010"/>
      <c r="B121" s="2006"/>
    </row>
    <row r="122" spans="1:2">
      <c r="A122" s="2010"/>
      <c r="B122" s="2006"/>
    </row>
    <row r="123" spans="1:2">
      <c r="A123" s="2010"/>
      <c r="B123" s="2006"/>
    </row>
    <row r="124" spans="1:2">
      <c r="A124" s="2010"/>
      <c r="B124" s="2006"/>
    </row>
    <row r="125" spans="1:2">
      <c r="A125" s="2010"/>
      <c r="B125" s="2006"/>
    </row>
    <row r="126" spans="1:2">
      <c r="A126" s="2010"/>
      <c r="B126" s="2006"/>
    </row>
    <row r="127" spans="1:2">
      <c r="A127" s="2010"/>
      <c r="B127" s="200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7" sqref="E17:I17"/>
    </sheetView>
  </sheetViews>
  <sheetFormatPr defaultColWidth="10" defaultRowHeight="18" customHeight="1"/>
  <cols>
    <col min="1" max="1" width="14.875" style="2019" customWidth="1"/>
    <col min="2" max="2" width="13.625" style="2019" bestFit="1" customWidth="1"/>
    <col min="3" max="3" width="11.5" style="2019" customWidth="1"/>
    <col min="4" max="4" width="16.375" style="2019" bestFit="1" customWidth="1"/>
    <col min="5" max="6" width="10" style="2019" customWidth="1"/>
    <col min="7" max="7" width="10.75" style="2019" customWidth="1"/>
    <col min="8" max="8" width="10" style="2019" customWidth="1"/>
    <col min="9" max="9" width="11.125" style="2147" customWidth="1"/>
    <col min="10" max="10" width="10" style="2019" customWidth="1"/>
    <col min="11" max="11" width="10" style="2148" customWidth="1"/>
    <col min="12" max="13" width="10" style="2149" customWidth="1"/>
    <col min="14" max="14" width="10" style="2019" customWidth="1"/>
    <col min="15" max="15" width="10" style="2147" customWidth="1"/>
    <col min="16" max="17" width="10" style="2019"/>
    <col min="18" max="18" width="10" style="2019" customWidth="1"/>
    <col min="19" max="16384" width="10" style="2019"/>
  </cols>
  <sheetData>
    <row r="1" spans="1:19" ht="38.25" customHeight="1" thickBot="1">
      <c r="A1" s="2012" t="s">
        <v>1776</v>
      </c>
      <c r="B1" s="3123" t="str">
        <f>IF(B10="北京市","北京市",C10)&amp;F10&amp;IF(结果表!G1="在建","出让国有建设用地使用权及在建建筑物",IF(结果表!G1="土地","出让国有建设用地使用权",))&amp;B9&amp;"预评估"</f>
        <v>出让国有建设用地使用权及在建建筑物预评估</v>
      </c>
      <c r="C1" s="3124"/>
      <c r="D1" s="3124"/>
      <c r="E1" s="3124"/>
      <c r="F1" s="3124"/>
      <c r="G1" s="3124"/>
      <c r="H1" s="3124"/>
      <c r="I1" s="3125"/>
      <c r="J1" s="2013"/>
      <c r="K1" s="2014"/>
      <c r="L1" s="2015"/>
      <c r="M1" s="2015"/>
      <c r="N1" s="2016"/>
      <c r="O1" s="2017"/>
      <c r="P1" s="2016"/>
      <c r="Q1" s="2016"/>
      <c r="R1" s="2016"/>
      <c r="S1" s="2018"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13" t="s">
        <v>1777</v>
      </c>
      <c r="B2" s="1027"/>
      <c r="C2" s="2020"/>
      <c r="D2" s="2013"/>
      <c r="E2" s="2021"/>
      <c r="F2" s="2021"/>
      <c r="G2" s="2013"/>
      <c r="H2" s="2013"/>
      <c r="I2" s="2013"/>
      <c r="J2" s="2013"/>
      <c r="K2" s="2014"/>
      <c r="L2" s="2015"/>
      <c r="M2" s="2015"/>
      <c r="N2" s="2016"/>
      <c r="O2" s="2017"/>
      <c r="P2" s="2016"/>
      <c r="Q2" s="2016"/>
      <c r="R2" s="2016"/>
      <c r="S2" s="2018"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22" t="s">
        <v>1778</v>
      </c>
      <c r="B3" s="2023">
        <v>43515</v>
      </c>
      <c r="C3" s="2024" t="s">
        <v>1779</v>
      </c>
      <c r="D3" s="2023">
        <v>43515</v>
      </c>
      <c r="E3" s="2013"/>
      <c r="F3" s="2013"/>
      <c r="G3" s="2013"/>
      <c r="H3" s="2013"/>
      <c r="I3" s="2013"/>
      <c r="J3" s="2013"/>
      <c r="K3" s="2014"/>
      <c r="L3" s="2015"/>
      <c r="M3" s="2015"/>
      <c r="N3" s="2016"/>
      <c r="O3" s="2017"/>
      <c r="P3" s="2016"/>
      <c r="Q3" s="2016"/>
      <c r="R3" s="2016"/>
      <c r="S3" s="2018"/>
    </row>
    <row r="4" spans="1:19" ht="18" customHeight="1" thickBot="1">
      <c r="A4" s="2025" t="s">
        <v>1780</v>
      </c>
      <c r="B4" s="2026"/>
      <c r="C4" s="1025">
        <f>SUMIF(注册房地产估价师,B4,估价师及机构信息!B3:B24)</f>
        <v>0</v>
      </c>
      <c r="D4" s="2026"/>
      <c r="E4" s="1026">
        <f>SUMIF(注册房地产估价师,D4,估价师及机构信息!B3:B24)</f>
        <v>0</v>
      </c>
      <c r="F4" s="2026" t="s">
        <v>70</v>
      </c>
      <c r="G4" s="2027">
        <f>SUMIF(注册房地产估价师,F4,估价师及机构信息!B3:B24)</f>
        <v>0</v>
      </c>
      <c r="H4" s="2026" t="s">
        <v>70</v>
      </c>
      <c r="I4" s="2028">
        <f>SUMIF(注册房地产估价师,H4,估价师及机构信息!B3:B24)</f>
        <v>0</v>
      </c>
      <c r="J4" s="2029"/>
      <c r="K4" s="2030" t="str">
        <f>CONCATENATE(B4,"（注册号：",C4,")、",D4,"（注册号：",E4,")")</f>
        <v>（注册号：0)、（注册号：0)</v>
      </c>
      <c r="L4" s="2015"/>
      <c r="M4" s="2015"/>
      <c r="N4" s="2016"/>
      <c r="O4" s="2017"/>
      <c r="P4" s="2016"/>
      <c r="Q4" s="2016"/>
      <c r="R4" s="2016"/>
      <c r="S4" s="2018"/>
    </row>
    <row r="5" spans="1:19" ht="18" customHeight="1" thickTop="1">
      <c r="A5" s="2031" t="s">
        <v>1781</v>
      </c>
      <c r="B5" s="2032"/>
      <c r="C5" s="2033"/>
      <c r="D5" s="2034"/>
      <c r="E5" s="2029"/>
      <c r="F5" s="2029"/>
      <c r="G5" s="2029"/>
      <c r="H5" s="2029"/>
      <c r="I5" s="2029"/>
      <c r="J5" s="2029"/>
      <c r="K5" s="2030" t="str">
        <f>IF(F4="——","",IF(H4="——",F4&amp;"（注册号："&amp;G4&amp;")",CONCATENATE(F4,"（注册号：",G4,")、",H4,"（注册号：",I4,")")))</f>
        <v/>
      </c>
      <c r="L5" s="2015"/>
      <c r="M5" s="2015"/>
      <c r="N5" s="2016"/>
      <c r="O5" s="2017"/>
      <c r="P5" s="2016"/>
      <c r="Q5" s="2016"/>
      <c r="R5" s="2016"/>
    </row>
    <row r="6" spans="1:19" ht="18" customHeight="1">
      <c r="A6" s="2035" t="s">
        <v>1782</v>
      </c>
      <c r="B6" s="2036"/>
      <c r="C6" s="2037"/>
      <c r="D6" s="2038"/>
      <c r="E6" s="2021"/>
      <c r="F6" s="2029"/>
      <c r="G6" s="2029"/>
      <c r="H6" s="2029"/>
      <c r="I6" s="2029"/>
      <c r="J6" s="2029"/>
      <c r="K6" s="2039" t="str">
        <f>IF(COUNTIF(B6,"*上海银行*"),"上海银行","")</f>
        <v/>
      </c>
      <c r="L6" s="2015"/>
      <c r="M6" s="2015"/>
      <c r="N6" s="2016"/>
      <c r="O6" s="2017"/>
      <c r="P6" s="2016"/>
      <c r="Q6" s="2016"/>
      <c r="R6" s="2016"/>
    </row>
    <row r="7" spans="1:19" ht="18" customHeight="1">
      <c r="A7" s="2035" t="s">
        <v>1783</v>
      </c>
      <c r="B7" s="2040"/>
      <c r="C7" s="2037"/>
      <c r="D7" s="2038"/>
      <c r="E7" s="2021"/>
      <c r="F7" s="2029"/>
      <c r="G7" s="2029"/>
      <c r="H7" s="2029"/>
      <c r="I7" s="2029"/>
      <c r="J7" s="2029"/>
      <c r="K7" s="2041"/>
      <c r="L7" s="2015"/>
      <c r="M7" s="2015"/>
      <c r="N7" s="2016"/>
      <c r="O7" s="2017"/>
      <c r="P7" s="2016"/>
      <c r="Q7" s="2016"/>
      <c r="R7" s="2016"/>
    </row>
    <row r="8" spans="1:19" ht="18" customHeight="1">
      <c r="A8" s="2035" t="s">
        <v>1784</v>
      </c>
      <c r="B8" s="2042"/>
      <c r="C8" s="2043"/>
      <c r="D8" s="3126" t="s">
        <v>1785</v>
      </c>
      <c r="E8" s="2044"/>
      <c r="F8" s="2045"/>
      <c r="G8" s="2013"/>
      <c r="H8" s="2013"/>
      <c r="I8" s="2013"/>
      <c r="J8" s="2029"/>
      <c r="K8" s="2030"/>
      <c r="L8" s="2015"/>
      <c r="M8" s="2015"/>
      <c r="N8" s="2016"/>
      <c r="O8" s="2017"/>
      <c r="P8" s="2016"/>
      <c r="Q8" s="2016"/>
      <c r="R8" s="2016"/>
    </row>
    <row r="9" spans="1:19" ht="18" customHeight="1" thickBot="1">
      <c r="A9" s="2027" t="s">
        <v>1786</v>
      </c>
      <c r="B9" s="2046"/>
      <c r="C9" s="2047"/>
      <c r="D9" s="3127"/>
      <c r="E9" s="2046"/>
      <c r="F9" s="2048"/>
      <c r="G9" s="2049"/>
      <c r="H9" s="2049"/>
      <c r="I9" s="2049"/>
      <c r="J9" s="2029"/>
      <c r="K9" s="2041"/>
      <c r="L9" s="2015"/>
      <c r="M9" s="2015"/>
      <c r="N9" s="2016"/>
      <c r="O9" s="2017"/>
      <c r="P9" s="2016"/>
      <c r="Q9" s="2016"/>
      <c r="R9" s="2016"/>
    </row>
    <row r="10" spans="1:19" ht="18" customHeight="1" thickTop="1">
      <c r="A10" s="2050" t="s">
        <v>1787</v>
      </c>
      <c r="B10" s="2051"/>
      <c r="C10" s="2052"/>
      <c r="D10" s="2034"/>
      <c r="E10" s="2053" t="s">
        <v>1788</v>
      </c>
      <c r="F10" s="2054"/>
      <c r="G10" s="2055"/>
      <c r="H10" s="2056"/>
      <c r="I10" s="2034"/>
      <c r="J10" s="2029"/>
      <c r="K10" s="2041"/>
      <c r="L10" s="2015"/>
      <c r="M10" s="2015"/>
      <c r="N10" s="2016"/>
      <c r="O10" s="2017"/>
      <c r="P10" s="2016"/>
      <c r="Q10" s="2016"/>
      <c r="R10" s="2016"/>
    </row>
    <row r="11" spans="1:19" ht="18" customHeight="1">
      <c r="A11" s="2057" t="s">
        <v>1789</v>
      </c>
      <c r="B11" s="2058"/>
      <c r="C11" s="2059"/>
      <c r="D11" s="2060"/>
      <c r="E11" s="2029"/>
      <c r="F11" s="2029"/>
      <c r="G11" s="2029"/>
      <c r="H11" s="2029"/>
      <c r="I11" s="2029"/>
      <c r="J11" s="2029"/>
      <c r="K11" s="2041"/>
      <c r="L11" s="2015"/>
      <c r="M11" s="2015"/>
      <c r="N11" s="2016"/>
      <c r="O11" s="2017"/>
      <c r="P11" s="2016"/>
      <c r="Q11" s="2016"/>
      <c r="R11" s="2016"/>
    </row>
    <row r="12" spans="1:19" ht="18" customHeight="1">
      <c r="A12" s="2061" t="s">
        <v>1790</v>
      </c>
      <c r="B12" s="2058" t="s">
        <v>3037</v>
      </c>
      <c r="C12" s="2062" t="s">
        <v>1791</v>
      </c>
      <c r="D12" s="2063" t="s">
        <v>1792</v>
      </c>
      <c r="E12" s="2063" t="s">
        <v>1793</v>
      </c>
      <c r="F12" s="2063" t="s">
        <v>1794</v>
      </c>
      <c r="G12" s="2063" t="s">
        <v>1795</v>
      </c>
      <c r="H12" s="2063" t="s">
        <v>1796</v>
      </c>
      <c r="I12" s="2063" t="s">
        <v>1797</v>
      </c>
      <c r="J12" s="2029"/>
      <c r="K12" s="2041"/>
      <c r="L12" s="2015"/>
      <c r="M12" s="2015"/>
      <c r="N12" s="2016"/>
      <c r="O12" s="2017"/>
      <c r="P12" s="2016"/>
      <c r="Q12" s="2016"/>
      <c r="R12" s="2016"/>
    </row>
    <row r="13" spans="1:19" ht="18" customHeight="1">
      <c r="A13" s="2064"/>
      <c r="B13" s="2065"/>
      <c r="C13" s="2066" t="s">
        <v>1798</v>
      </c>
      <c r="D13" s="2067">
        <v>66781</v>
      </c>
      <c r="E13" s="2067">
        <v>55824</v>
      </c>
      <c r="F13" s="2067"/>
      <c r="G13" s="2067">
        <v>59476</v>
      </c>
      <c r="H13" s="2067"/>
      <c r="I13" s="1035"/>
      <c r="J13" s="2029"/>
      <c r="K13" s="2041"/>
      <c r="L13" s="2015"/>
      <c r="M13" s="2015"/>
      <c r="N13" s="2016"/>
      <c r="O13" s="2017"/>
      <c r="P13" s="2016"/>
      <c r="Q13" s="2016"/>
      <c r="R13" s="2016"/>
    </row>
    <row r="14" spans="1:19" ht="18" customHeight="1">
      <c r="A14" s="2064"/>
      <c r="B14" s="2065"/>
      <c r="C14" s="2066" t="s">
        <v>1799</v>
      </c>
      <c r="D14" s="1038">
        <v>70</v>
      </c>
      <c r="E14" s="1038">
        <v>40</v>
      </c>
      <c r="F14" s="1038"/>
      <c r="G14" s="1038">
        <v>50</v>
      </c>
      <c r="H14" s="1038"/>
      <c r="I14" s="1038"/>
      <c r="J14" s="2029"/>
      <c r="K14" s="2068"/>
      <c r="L14" s="2015"/>
      <c r="M14" s="2015"/>
      <c r="N14" s="2016"/>
      <c r="O14" s="2017"/>
      <c r="P14" s="2016"/>
      <c r="Q14" s="2016"/>
      <c r="R14" s="2016"/>
    </row>
    <row r="15" spans="1:19" ht="18" customHeight="1">
      <c r="A15" s="2050"/>
      <c r="B15" s="2069"/>
      <c r="C15" s="2066" t="s">
        <v>1800</v>
      </c>
      <c r="D15" s="1037">
        <f>IF(B12="出让",IF(D13="","",ROUNDDOWN(MIN((D13-$D$3)/365,D14),2)),D14)</f>
        <v>63.74</v>
      </c>
      <c r="E15" s="1037">
        <f>IF(B12="出让",IF(E13="","",ROUNDDOWN(MIN((E13-$D$3)/365,E14),2)),E14)</f>
        <v>33.72</v>
      </c>
      <c r="F15" s="1037" t="str">
        <f>IF(B12="出让",IF(F13="","",ROUNDDOWN(MIN((F13-$D$3)/365,F14),2)),F14)</f>
        <v/>
      </c>
      <c r="G15" s="1037">
        <f>IF(B12="出让",IF(G13="","",ROUNDDOWN(MIN((G13-$D$3)/365,G14),2)),G14)</f>
        <v>43.72</v>
      </c>
      <c r="H15" s="1037" t="str">
        <f>IF(B12="出让",IF(H13="","",ROUNDDOWN(MIN((H13-$D$3)/365,H14),2)),H14)</f>
        <v/>
      </c>
      <c r="I15" s="1037" t="str">
        <f>IF(B12="出让",IF(I13="","",ROUNDDOWN(MIN((I13-$D$3)/365,I14),2)),I14)</f>
        <v/>
      </c>
      <c r="J15" s="2029"/>
      <c r="K15" s="2070"/>
      <c r="L15" s="2071"/>
      <c r="M15" s="2071"/>
      <c r="N15" s="2072"/>
      <c r="O15" s="2071"/>
      <c r="P15" s="2072"/>
      <c r="Q15" s="2016"/>
      <c r="R15" s="2016"/>
    </row>
    <row r="16" spans="1:19" ht="30.75" customHeight="1">
      <c r="A16" s="2053" t="s">
        <v>1801</v>
      </c>
      <c r="B16" s="3133"/>
      <c r="C16" s="3134"/>
      <c r="D16" s="3135"/>
      <c r="E16" s="2073" t="s">
        <v>1802</v>
      </c>
      <c r="F16" s="3136" t="s">
        <v>3203</v>
      </c>
      <c r="G16" s="3137"/>
      <c r="H16" s="3137"/>
      <c r="I16" s="3138"/>
      <c r="J16" s="2016"/>
      <c r="K16" s="2070"/>
      <c r="L16" s="2071"/>
      <c r="M16" s="2071"/>
      <c r="N16" s="2072"/>
      <c r="O16" s="2071"/>
      <c r="P16" s="2072"/>
      <c r="Q16" s="2016"/>
      <c r="R16" s="2016"/>
    </row>
    <row r="17" spans="1:22" ht="18" customHeight="1">
      <c r="A17" s="2074" t="s">
        <v>1803</v>
      </c>
      <c r="B17" s="2022" t="s">
        <v>1804</v>
      </c>
      <c r="C17" s="1042">
        <f>'数据-汇总表'!E3</f>
        <v>20428.607999999997</v>
      </c>
      <c r="D17" s="2075" t="s">
        <v>1805</v>
      </c>
      <c r="E17" s="3139" t="s">
        <v>1806</v>
      </c>
      <c r="F17" s="3140"/>
      <c r="G17" s="3140"/>
      <c r="H17" s="3140"/>
      <c r="I17" s="3141"/>
      <c r="J17" s="2016"/>
      <c r="K17" s="2076"/>
      <c r="L17" s="2071"/>
      <c r="M17" s="2071"/>
      <c r="N17" s="2072"/>
      <c r="O17" s="2071"/>
      <c r="P17" s="2072"/>
      <c r="Q17" s="2016"/>
      <c r="R17" s="2016"/>
      <c r="S17" s="2016"/>
      <c r="T17" s="2016"/>
      <c r="U17" s="2016"/>
      <c r="V17" s="2016"/>
    </row>
    <row r="18" spans="1:22" ht="36" customHeight="1" thickBot="1">
      <c r="A18" s="2077" t="s">
        <v>1807</v>
      </c>
      <c r="B18" s="2025" t="s">
        <v>1808</v>
      </c>
      <c r="C18" s="1432">
        <f>'数据-汇总表'!D3</f>
        <v>8573.39</v>
      </c>
      <c r="D18" s="2078" t="s">
        <v>1805</v>
      </c>
      <c r="E18" s="3142" t="s">
        <v>1809</v>
      </c>
      <c r="F18" s="3143"/>
      <c r="G18" s="3143"/>
      <c r="H18" s="3143"/>
      <c r="I18" s="3144"/>
      <c r="J18" s="2016"/>
      <c r="K18" s="2076"/>
      <c r="L18" s="2071"/>
      <c r="M18" s="2071"/>
      <c r="N18" s="2072"/>
      <c r="O18" s="2071"/>
      <c r="P18" s="2072"/>
      <c r="Q18" s="2016"/>
      <c r="R18" s="2016"/>
      <c r="S18" s="2016"/>
      <c r="T18" s="2016"/>
      <c r="U18" s="2016"/>
      <c r="V18" s="2016"/>
    </row>
    <row r="19" spans="1:22" ht="37.5" customHeight="1" thickTop="1" thickBot="1">
      <c r="A19" s="364" t="s">
        <v>1810</v>
      </c>
      <c r="B19" s="343" t="s">
        <v>1811</v>
      </c>
      <c r="C19" s="2079"/>
      <c r="D19" s="2080" t="s">
        <v>1812</v>
      </c>
      <c r="E19" s="2081"/>
      <c r="F19" s="2082" t="str">
        <f>IF(AND(C19="是",E19="否"),"是否提供他项权证或相关说明","")</f>
        <v/>
      </c>
      <c r="G19" s="2083"/>
      <c r="H19" s="2029"/>
      <c r="I19" s="2029"/>
      <c r="J19" s="2029"/>
      <c r="K19" s="2041"/>
      <c r="L19" s="2015"/>
      <c r="M19" s="2015"/>
      <c r="N19" s="2072"/>
      <c r="O19" s="2071"/>
      <c r="P19" s="2072"/>
      <c r="Q19" s="2016"/>
      <c r="R19" s="2016"/>
      <c r="S19" s="2016"/>
      <c r="T19" s="2016"/>
      <c r="U19" s="2016"/>
      <c r="V19" s="2016"/>
    </row>
    <row r="20" spans="1:22" ht="18" customHeight="1">
      <c r="A20" s="2084" t="s">
        <v>1813</v>
      </c>
      <c r="B20" s="3129" t="s">
        <v>1814</v>
      </c>
      <c r="C20" s="3130"/>
      <c r="D20" s="3131" t="s">
        <v>1815</v>
      </c>
      <c r="E20" s="3132"/>
      <c r="F20" s="2085" t="s">
        <v>1816</v>
      </c>
      <c r="G20" s="2029"/>
      <c r="H20" s="2029"/>
      <c r="I20" s="2029"/>
      <c r="J20" s="2029"/>
      <c r="K20" s="3128" t="s">
        <v>1817</v>
      </c>
      <c r="L20" s="73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5"/>
      <c r="N20" s="2072"/>
      <c r="O20" s="2071"/>
      <c r="P20" s="2072"/>
      <c r="Q20" s="2016"/>
      <c r="R20" s="2016"/>
      <c r="S20" s="2016"/>
      <c r="T20" s="2016"/>
      <c r="U20" s="2016"/>
      <c r="V20" s="2016"/>
    </row>
    <row r="21" spans="1:22" ht="24.75" customHeight="1">
      <c r="A21" s="2084"/>
      <c r="B21" s="2086" t="s">
        <v>1818</v>
      </c>
      <c r="C21" s="2087" t="s">
        <v>1819</v>
      </c>
      <c r="D21" s="2088" t="s">
        <v>1820</v>
      </c>
      <c r="E21" s="2089" t="s">
        <v>1819</v>
      </c>
      <c r="F21" s="2090"/>
      <c r="G21" s="2029"/>
      <c r="H21" s="2029"/>
      <c r="I21" s="2029"/>
      <c r="J21" s="2029"/>
      <c r="K21" s="3128"/>
      <c r="L21" s="73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5"/>
      <c r="N21" s="2072"/>
      <c r="O21" s="2071"/>
      <c r="P21" s="2072"/>
      <c r="Q21" s="2016"/>
      <c r="R21" s="2016"/>
      <c r="S21" s="2016"/>
      <c r="T21" s="2016"/>
      <c r="U21" s="2016"/>
      <c r="V21" s="2016"/>
    </row>
    <row r="22" spans="1:22" ht="24.75" customHeight="1" thickBot="1">
      <c r="A22" s="2084"/>
      <c r="B22" s="2091" t="s">
        <v>1821</v>
      </c>
      <c r="C22" s="2087" t="s">
        <v>1822</v>
      </c>
      <c r="D22" s="2013"/>
      <c r="E22" s="2013"/>
      <c r="F22" s="2092"/>
      <c r="G22" s="2029"/>
      <c r="H22" s="2029"/>
      <c r="I22" s="2029"/>
      <c r="J22" s="2029"/>
      <c r="K22" s="3128"/>
      <c r="L22" s="73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5"/>
      <c r="N22" s="2072"/>
      <c r="O22" s="2071"/>
      <c r="P22" s="2072"/>
      <c r="Q22" s="2016"/>
      <c r="R22" s="2016"/>
      <c r="S22" s="2016"/>
      <c r="T22" s="2016"/>
      <c r="U22" s="2016"/>
      <c r="V22" s="2016"/>
    </row>
    <row r="23" spans="1:22" ht="18" customHeight="1">
      <c r="A23" s="2093" t="s">
        <v>1823</v>
      </c>
      <c r="B23" s="174" t="s">
        <v>1824</v>
      </c>
      <c r="C23" s="2094"/>
      <c r="D23" s="2095" t="s">
        <v>1824</v>
      </c>
      <c r="E23" s="2096"/>
      <c r="F23" s="2092"/>
      <c r="G23" s="2029"/>
      <c r="H23" s="2029"/>
      <c r="I23" s="2029"/>
      <c r="J23" s="2029"/>
      <c r="K23" s="2097"/>
      <c r="L23" s="739"/>
      <c r="M23" s="2015"/>
      <c r="N23" s="2072"/>
      <c r="O23" s="2071"/>
      <c r="P23" s="2072"/>
      <c r="Q23" s="2016"/>
      <c r="R23" s="2016"/>
      <c r="S23" s="2016"/>
      <c r="T23" s="2016"/>
      <c r="U23" s="2016"/>
      <c r="V23" s="2016"/>
    </row>
    <row r="24" spans="1:22" ht="18" customHeight="1">
      <c r="A24" s="2098"/>
      <c r="B24" s="174" t="s">
        <v>1825</v>
      </c>
      <c r="C24" s="2099"/>
      <c r="D24" s="2093" t="s">
        <v>1825</v>
      </c>
      <c r="E24" s="2100"/>
      <c r="F24" s="2092"/>
      <c r="G24" s="2029"/>
      <c r="H24" s="2029"/>
      <c r="I24" s="2029"/>
      <c r="J24" s="2029"/>
      <c r="K24" s="2097"/>
      <c r="L24" s="739"/>
      <c r="M24" s="2015"/>
      <c r="N24" s="2072"/>
      <c r="O24" s="2071"/>
      <c r="P24" s="2072"/>
      <c r="Q24" s="2016"/>
      <c r="R24" s="2016"/>
      <c r="S24" s="2016"/>
      <c r="T24" s="2016"/>
      <c r="U24" s="2016"/>
      <c r="V24" s="2016"/>
    </row>
    <row r="25" spans="1:22" ht="18" customHeight="1">
      <c r="A25" s="2098"/>
      <c r="B25" s="174" t="s">
        <v>1826</v>
      </c>
      <c r="C25" s="2099"/>
      <c r="D25" s="2093" t="s">
        <v>1826</v>
      </c>
      <c r="E25" s="2100"/>
      <c r="F25" s="2092"/>
      <c r="G25" s="2029"/>
      <c r="H25" s="2029"/>
      <c r="I25" s="2029"/>
      <c r="J25" s="2029"/>
      <c r="K25" s="2041"/>
      <c r="L25" s="2015"/>
      <c r="M25" s="2015"/>
      <c r="N25" s="2072"/>
      <c r="O25" s="2071"/>
      <c r="P25" s="2072"/>
      <c r="Q25" s="2016"/>
      <c r="R25" s="2016"/>
      <c r="S25" s="2016"/>
      <c r="T25" s="2016"/>
      <c r="U25" s="2016"/>
      <c r="V25" s="2016"/>
    </row>
    <row r="26" spans="1:22" ht="18" customHeight="1" thickBot="1">
      <c r="A26" s="2101"/>
      <c r="B26" s="2102" t="s">
        <v>1827</v>
      </c>
      <c r="C26" s="2103"/>
      <c r="D26" s="2104" t="s">
        <v>1828</v>
      </c>
      <c r="E26" s="2105"/>
      <c r="F26" s="2106"/>
      <c r="G26" s="2049"/>
      <c r="H26" s="2049"/>
      <c r="I26" s="2049"/>
      <c r="J26" s="2029"/>
      <c r="K26" s="2041"/>
      <c r="L26" s="2015"/>
      <c r="M26" s="2015"/>
      <c r="N26" s="2072"/>
      <c r="O26" s="2071"/>
      <c r="P26" s="2072"/>
      <c r="Q26" s="2016"/>
      <c r="R26" s="2016"/>
      <c r="S26" s="2016"/>
      <c r="T26" s="2016"/>
      <c r="U26" s="2016"/>
      <c r="V26" s="2016"/>
    </row>
    <row r="27" spans="1:22" ht="18" customHeight="1" thickTop="1">
      <c r="A27" s="3146" t="s">
        <v>1829</v>
      </c>
      <c r="B27" s="2050" t="s">
        <v>1830</v>
      </c>
      <c r="C27" s="2107"/>
      <c r="D27" s="2108"/>
      <c r="E27" s="2029"/>
      <c r="F27" s="2029"/>
      <c r="G27" s="2029"/>
      <c r="H27" s="2029"/>
      <c r="I27" s="2029"/>
      <c r="J27" s="2016"/>
      <c r="K27" s="2070"/>
      <c r="L27" s="2071"/>
      <c r="M27" s="2071"/>
      <c r="N27" s="2072"/>
      <c r="O27" s="2071"/>
      <c r="P27" s="2072"/>
      <c r="Q27" s="2016"/>
      <c r="R27" s="2016"/>
      <c r="S27" s="2016"/>
      <c r="T27" s="2016"/>
      <c r="U27" s="2016"/>
      <c r="V27" s="2016"/>
    </row>
    <row r="28" spans="1:22" ht="18" customHeight="1">
      <c r="A28" s="3146"/>
      <c r="B28" s="2022" t="s">
        <v>1831</v>
      </c>
      <c r="C28" s="2109"/>
      <c r="D28" s="2110"/>
      <c r="E28" s="2029"/>
      <c r="F28" s="2029"/>
      <c r="G28" s="2029"/>
      <c r="H28" s="2029"/>
      <c r="I28" s="2029"/>
      <c r="J28" s="2016"/>
      <c r="K28" s="2111"/>
      <c r="L28" s="2015"/>
      <c r="M28" s="2015"/>
      <c r="N28" s="2016"/>
      <c r="O28" s="2017"/>
      <c r="P28" s="2016"/>
      <c r="Q28" s="2016"/>
      <c r="R28" s="2016"/>
      <c r="S28" s="2016"/>
      <c r="T28" s="2016"/>
      <c r="U28" s="2016"/>
      <c r="V28" s="2016"/>
    </row>
    <row r="29" spans="1:22" ht="18" customHeight="1">
      <c r="A29" s="3146"/>
      <c r="B29" s="2022" t="s">
        <v>1832</v>
      </c>
      <c r="C29" s="2112"/>
      <c r="D29" s="2113"/>
      <c r="E29" s="2029"/>
      <c r="F29" s="2029"/>
      <c r="G29" s="2029"/>
      <c r="H29" s="2029"/>
      <c r="I29" s="2029"/>
      <c r="J29" s="2016"/>
      <c r="K29" s="2111"/>
      <c r="L29" s="2015"/>
      <c r="M29" s="2015"/>
      <c r="N29" s="2016"/>
      <c r="O29" s="2017"/>
      <c r="P29" s="2016"/>
      <c r="Q29" s="2016"/>
      <c r="R29" s="2016"/>
      <c r="S29" s="2016"/>
      <c r="T29" s="2016"/>
      <c r="U29" s="2016"/>
      <c r="V29" s="2016"/>
    </row>
    <row r="30" spans="1:22" ht="18" customHeight="1">
      <c r="A30" s="3147"/>
      <c r="B30" s="2022" t="s">
        <v>1833</v>
      </c>
      <c r="C30" s="3148"/>
      <c r="D30" s="3149"/>
      <c r="E30" s="2029"/>
      <c r="F30" s="2029"/>
      <c r="G30" s="2029"/>
      <c r="H30" s="2029"/>
      <c r="I30" s="2029"/>
      <c r="J30" s="2016"/>
      <c r="K30" s="2111"/>
      <c r="L30" s="2015"/>
      <c r="M30" s="2015"/>
      <c r="N30" s="2016"/>
      <c r="O30" s="2017"/>
      <c r="P30" s="2016"/>
      <c r="Q30" s="2016"/>
      <c r="R30" s="2016"/>
      <c r="S30" s="2016"/>
      <c r="T30" s="2016"/>
      <c r="U30" s="2016"/>
      <c r="V30" s="2016"/>
    </row>
    <row r="31" spans="1:22" ht="18" customHeight="1">
      <c r="A31" s="3150" t="s">
        <v>1834</v>
      </c>
      <c r="B31" s="2114"/>
      <c r="C31" s="2115" t="str">
        <f>IF(B31="现房","成新及维护状况正常否",IF(B31="在建","工程状态是否正常",IF(B31="土地","是否闲置","-")))</f>
        <v>-</v>
      </c>
      <c r="D31" s="2116"/>
      <c r="E31" s="2117"/>
      <c r="F31" s="2029"/>
      <c r="G31" s="2029"/>
      <c r="H31" s="2029"/>
      <c r="I31" s="2029"/>
      <c r="J31" s="2029"/>
      <c r="K31" s="2039"/>
      <c r="L31" s="2015"/>
      <c r="M31" s="2015"/>
      <c r="N31" s="2016"/>
      <c r="O31" s="2017"/>
      <c r="P31" s="2016"/>
      <c r="Q31" s="2016"/>
      <c r="R31" s="2016"/>
      <c r="S31" s="2016"/>
      <c r="T31" s="2016"/>
      <c r="U31" s="2016"/>
      <c r="V31" s="2016"/>
    </row>
    <row r="32" spans="1:22" ht="18" customHeight="1">
      <c r="A32" s="3151"/>
      <c r="B32" s="2114"/>
      <c r="C32" s="2115" t="str">
        <f>IF(B32="现房","成新及维护状况是否正常",IF(B32="在建","工程状态是否正常",IF(B32="土地","是否闲置","-")))</f>
        <v>-</v>
      </c>
      <c r="D32" s="2116"/>
      <c r="E32" s="2117"/>
      <c r="F32" s="2029"/>
      <c r="G32" s="2029"/>
      <c r="H32" s="2029"/>
      <c r="I32" s="2029"/>
      <c r="J32" s="2029"/>
      <c r="K32" s="2041"/>
      <c r="L32" s="2015"/>
      <c r="M32" s="2015"/>
      <c r="N32" s="2016"/>
      <c r="O32" s="2017"/>
      <c r="P32" s="2016"/>
      <c r="Q32" s="2016"/>
      <c r="R32" s="2016"/>
      <c r="S32" s="2016"/>
      <c r="T32" s="2016"/>
      <c r="U32" s="2016"/>
      <c r="V32" s="2016"/>
    </row>
    <row r="33" spans="1:22" ht="18" customHeight="1">
      <c r="A33" s="3151"/>
      <c r="B33" s="2118"/>
      <c r="C33" s="2057" t="str">
        <f>IF(B33="现房","成新及维护状况是否正常",IF(B33="在建","工程状态是否正常",IF(B33="土地","是否闲置","-")))</f>
        <v>-</v>
      </c>
      <c r="D33" s="2119"/>
      <c r="E33" s="2120"/>
      <c r="F33" s="2029"/>
      <c r="G33" s="2029"/>
      <c r="H33" s="2029"/>
      <c r="I33" s="2029"/>
      <c r="J33" s="2029"/>
      <c r="K33" s="2041"/>
      <c r="L33" s="2015"/>
      <c r="M33" s="2015"/>
      <c r="N33" s="2016"/>
      <c r="O33" s="2017"/>
      <c r="P33" s="2016"/>
      <c r="Q33" s="2016"/>
      <c r="R33" s="2016"/>
      <c r="S33" s="2016"/>
      <c r="T33" s="2016"/>
      <c r="U33" s="2016"/>
      <c r="V33" s="2016"/>
    </row>
    <row r="34" spans="1:22" ht="18" customHeight="1">
      <c r="A34" s="2022" t="s">
        <v>1835</v>
      </c>
      <c r="B34" s="2121"/>
      <c r="C34" s="2121"/>
      <c r="D34" s="2121"/>
      <c r="E34" s="2121"/>
      <c r="F34" s="2121"/>
      <c r="G34" s="2121"/>
      <c r="H34" s="2121"/>
      <c r="I34" s="2029"/>
      <c r="J34" s="2029"/>
      <c r="K34" s="1782">
        <f>COUNTIF(B34:H34,"——")</f>
        <v>0</v>
      </c>
      <c r="L34" s="2062" t="s">
        <v>1836</v>
      </c>
      <c r="M34" s="2062" t="s">
        <v>1837</v>
      </c>
      <c r="N34" s="2062" t="s">
        <v>1838</v>
      </c>
      <c r="O34" s="2062" t="s">
        <v>1839</v>
      </c>
      <c r="P34" s="2062" t="s">
        <v>1840</v>
      </c>
      <c r="Q34" s="2062" t="s">
        <v>1841</v>
      </c>
      <c r="R34" s="2062" t="s">
        <v>1842</v>
      </c>
      <c r="S34" s="3145" t="s">
        <v>1843</v>
      </c>
      <c r="T34" s="2122" t="str">
        <f>NUMBERSTRING(7-K34,1)&amp;"通"</f>
        <v>七通</v>
      </c>
      <c r="U34" s="2016"/>
      <c r="V34" s="2016"/>
    </row>
    <row r="35" spans="1:22" ht="18" customHeight="1">
      <c r="A35" s="2123"/>
      <c r="B35" s="3152" t="s">
        <v>1844</v>
      </c>
      <c r="C35" s="3152"/>
      <c r="D35" s="3152"/>
      <c r="E35" s="3152"/>
      <c r="F35" s="2124">
        <f>C10</f>
        <v>0</v>
      </c>
      <c r="G35" s="2029"/>
      <c r="H35" s="2029"/>
      <c r="I35" s="2029"/>
      <c r="J35" s="2029"/>
      <c r="K35" s="2062"/>
      <c r="L35" s="2062">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145"/>
      <c r="T35" s="48" t="str">
        <f>IF(T34="一通",L35,IF(T34="二通",M35,IF(T34="三通",N35,IF(T34="四通",O35,IF(T34="五通",P35,IF(T34="六通",Q35,R35))))))</f>
        <v>、、、、、、</v>
      </c>
      <c r="U35" s="2016"/>
      <c r="V35" s="2016"/>
    </row>
    <row r="36" spans="1:22" ht="18" customHeight="1">
      <c r="A36" s="2125"/>
      <c r="B36" s="2124" t="s">
        <v>1845</v>
      </c>
      <c r="C36" s="2124" t="s">
        <v>1846</v>
      </c>
      <c r="D36" s="2947" t="s">
        <v>3146</v>
      </c>
      <c r="E36" s="2124" t="s">
        <v>1847</v>
      </c>
      <c r="F36" s="2126"/>
      <c r="G36" s="2029"/>
      <c r="H36" s="2029"/>
      <c r="I36" s="2029"/>
      <c r="J36" s="2029"/>
      <c r="K36" s="2041"/>
      <c r="L36" s="2015"/>
      <c r="M36" s="2015"/>
      <c r="N36" s="2016"/>
      <c r="O36" s="2017"/>
      <c r="P36" s="2016"/>
      <c r="Q36" s="2016"/>
      <c r="R36" s="2016"/>
      <c r="S36" s="2016"/>
      <c r="T36" s="2016"/>
      <c r="U36" s="2016"/>
      <c r="V36" s="2016"/>
    </row>
    <row r="37" spans="1:22" ht="18" customHeight="1">
      <c r="A37" s="2127" t="s">
        <v>1848</v>
      </c>
      <c r="B37" s="2128"/>
      <c r="C37" s="2128"/>
      <c r="D37" s="2128"/>
      <c r="E37" s="2128"/>
      <c r="F37" s="2126"/>
      <c r="G37" s="2029"/>
      <c r="H37" s="2029"/>
      <c r="I37" s="2029"/>
      <c r="J37" s="2029"/>
      <c r="K37" s="2041"/>
      <c r="L37" s="2015"/>
      <c r="M37" s="2015"/>
      <c r="N37" s="2016"/>
      <c r="O37" s="2017"/>
      <c r="P37" s="2016"/>
      <c r="Q37" s="2016"/>
      <c r="R37" s="2016"/>
      <c r="S37" s="2016"/>
      <c r="T37" s="2016"/>
      <c r="U37" s="2016"/>
      <c r="V37" s="2016"/>
    </row>
    <row r="38" spans="1:22" ht="18" customHeight="1" thickBot="1">
      <c r="A38" s="2129" t="s">
        <v>1849</v>
      </c>
      <c r="B38" s="2130"/>
      <c r="C38" s="2130"/>
      <c r="D38" s="2130"/>
      <c r="E38" s="2130"/>
      <c r="F38" s="2131"/>
      <c r="G38" s="2049"/>
      <c r="H38" s="2049"/>
      <c r="I38" s="2049"/>
      <c r="J38" s="2029"/>
      <c r="K38" s="2041"/>
      <c r="L38" s="2015"/>
      <c r="M38" s="2015"/>
      <c r="N38" s="2016"/>
      <c r="O38" s="2017"/>
      <c r="P38" s="2016"/>
      <c r="Q38" s="2016"/>
      <c r="R38" s="2016"/>
      <c r="S38" s="2016"/>
      <c r="T38" s="2016"/>
      <c r="U38" s="2016"/>
      <c r="V38" s="2016"/>
    </row>
    <row r="39" spans="1:22" s="2136" customFormat="1" ht="18" customHeight="1" thickTop="1" thickBot="1">
      <c r="A39" s="2132" t="s">
        <v>1850</v>
      </c>
      <c r="B39" s="2133"/>
      <c r="C39" s="2133"/>
      <c r="D39" s="2133"/>
      <c r="E39" s="2133"/>
      <c r="F39" s="2133"/>
      <c r="G39" s="2133"/>
      <c r="H39" s="2133"/>
      <c r="I39" s="2133"/>
      <c r="J39" s="2133"/>
      <c r="K39" s="2134"/>
      <c r="L39" s="2133"/>
      <c r="M39" s="2133"/>
      <c r="N39" s="2133"/>
      <c r="O39" s="2135"/>
      <c r="P39" s="2133"/>
      <c r="Q39" s="2133"/>
      <c r="R39" s="2133"/>
      <c r="S39" s="2133"/>
      <c r="T39" s="2133"/>
      <c r="U39" s="2133"/>
      <c r="V39" s="2133"/>
    </row>
    <row r="40" spans="1:22" ht="18" customHeight="1">
      <c r="A40" s="2016"/>
      <c r="B40" s="2016"/>
      <c r="C40" s="2016"/>
      <c r="D40" s="2016"/>
      <c r="E40" s="2016"/>
      <c r="F40" s="2016"/>
      <c r="G40" s="2016"/>
      <c r="H40" s="2016"/>
      <c r="I40" s="2137"/>
      <c r="J40" s="2072"/>
      <c r="K40" s="657"/>
      <c r="L40" s="2071"/>
      <c r="M40" s="2071"/>
      <c r="N40" s="2072"/>
      <c r="O40" s="2071"/>
      <c r="P40" s="2016"/>
      <c r="Q40" s="2016"/>
      <c r="R40" s="2016"/>
      <c r="S40" s="2016"/>
      <c r="T40" s="2016"/>
      <c r="U40" s="2016"/>
      <c r="V40" s="2016"/>
    </row>
    <row r="41" spans="1:22" ht="18" customHeight="1">
      <c r="A41" s="8" t="s">
        <v>1851</v>
      </c>
      <c r="B41" s="2138"/>
      <c r="C41" s="2139"/>
      <c r="D41" s="2016"/>
      <c r="E41" s="2016"/>
      <c r="F41" s="2016"/>
      <c r="G41" s="2016"/>
      <c r="H41" s="2016"/>
      <c r="I41" s="2017"/>
      <c r="J41" s="2016"/>
      <c r="K41" s="2111"/>
      <c r="L41" s="2015"/>
      <c r="M41" s="2015"/>
      <c r="N41" s="2016"/>
      <c r="O41" s="2017"/>
      <c r="P41" s="2016"/>
      <c r="Q41" s="2016"/>
      <c r="R41" s="2016"/>
      <c r="S41" s="2016"/>
      <c r="T41" s="2016"/>
      <c r="U41" s="2016"/>
      <c r="V41" s="2016"/>
    </row>
    <row r="42" spans="1:22" ht="18" customHeight="1">
      <c r="A42" s="2062" t="s">
        <v>1852</v>
      </c>
      <c r="B42" s="1782" t="s">
        <v>1853</v>
      </c>
      <c r="C42" s="1782" t="s">
        <v>1854</v>
      </c>
      <c r="D42" s="1782" t="s">
        <v>1855</v>
      </c>
      <c r="E42" s="1782" t="s">
        <v>1856</v>
      </c>
      <c r="F42" s="1782" t="s">
        <v>1857</v>
      </c>
      <c r="G42" s="1782" t="s">
        <v>1858</v>
      </c>
      <c r="H42" s="1782" t="s">
        <v>1859</v>
      </c>
      <c r="I42" s="1782" t="s">
        <v>1860</v>
      </c>
      <c r="J42" s="2140" t="s">
        <v>1861</v>
      </c>
      <c r="K42" s="2063" t="s">
        <v>1862</v>
      </c>
      <c r="L42" s="2063" t="s">
        <v>1863</v>
      </c>
      <c r="M42" s="2063" t="s">
        <v>1864</v>
      </c>
      <c r="N42" s="1782" t="s">
        <v>1865</v>
      </c>
      <c r="O42" s="1782" t="s">
        <v>1866</v>
      </c>
      <c r="P42" s="1782" t="s">
        <v>1867</v>
      </c>
      <c r="Q42" s="2062" t="s">
        <v>1868</v>
      </c>
      <c r="R42" s="2062" t="s">
        <v>1869</v>
      </c>
      <c r="S42" s="2016"/>
      <c r="T42" s="2016"/>
      <c r="U42" s="2016"/>
      <c r="V42" s="2016"/>
    </row>
    <row r="43" spans="1:22" s="2145" customFormat="1" ht="18" customHeight="1">
      <c r="A43" s="2141"/>
      <c r="B43" s="1260"/>
      <c r="C43" s="1260"/>
      <c r="D43" s="1260"/>
      <c r="E43" s="1260"/>
      <c r="F43" s="1260"/>
      <c r="G43" s="1260"/>
      <c r="H43" s="9"/>
      <c r="I43" s="9"/>
      <c r="J43" s="2142"/>
      <c r="K43" s="2143"/>
      <c r="L43" s="2143"/>
      <c r="M43" s="9"/>
      <c r="N43" s="1260"/>
      <c r="O43" s="9"/>
      <c r="P43" s="1260"/>
      <c r="Q43" s="1260"/>
      <c r="R43" s="1260"/>
      <c r="S43" s="2144"/>
      <c r="T43" s="2144"/>
      <c r="U43" s="2144"/>
      <c r="V43" s="2144"/>
    </row>
    <row r="44" spans="1:22" s="2145" customFormat="1" ht="18" customHeight="1">
      <c r="A44" s="2141"/>
      <c r="B44" s="2141"/>
      <c r="C44" s="1260"/>
      <c r="D44" s="1260"/>
      <c r="E44" s="1260"/>
      <c r="F44" s="1260"/>
      <c r="G44" s="1260"/>
      <c r="H44" s="9"/>
      <c r="I44" s="9"/>
      <c r="J44" s="2142"/>
      <c r="K44" s="2143"/>
      <c r="L44" s="2143"/>
      <c r="M44" s="9"/>
      <c r="N44" s="1260"/>
      <c r="O44" s="9"/>
      <c r="P44" s="1260"/>
      <c r="Q44" s="1260"/>
      <c r="R44" s="1260"/>
      <c r="S44" s="2144"/>
      <c r="T44" s="2144"/>
      <c r="U44" s="2144"/>
      <c r="V44" s="2144"/>
    </row>
    <row r="45" spans="1:22" s="2145" customFormat="1" ht="18" customHeight="1">
      <c r="A45" s="2141"/>
      <c r="B45" s="2141"/>
      <c r="C45" s="1260"/>
      <c r="D45" s="1260"/>
      <c r="E45" s="1260"/>
      <c r="F45" s="1260"/>
      <c r="G45" s="1260"/>
      <c r="H45" s="9"/>
      <c r="I45" s="9"/>
      <c r="J45" s="2142"/>
      <c r="K45" s="2143"/>
      <c r="L45" s="2143"/>
      <c r="M45" s="9"/>
      <c r="N45" s="1260"/>
      <c r="O45" s="9"/>
      <c r="P45" s="1260"/>
      <c r="Q45" s="1260"/>
      <c r="R45" s="1260"/>
      <c r="S45" s="2144"/>
      <c r="T45" s="2144"/>
      <c r="U45" s="2144"/>
      <c r="V45" s="2144"/>
    </row>
    <row r="46" spans="1:22" s="2145" customFormat="1" ht="18" customHeight="1">
      <c r="A46" s="2141"/>
      <c r="B46" s="2141"/>
      <c r="C46" s="1260"/>
      <c r="D46" s="1260"/>
      <c r="E46" s="1260"/>
      <c r="F46" s="1260"/>
      <c r="G46" s="1260"/>
      <c r="H46" s="9"/>
      <c r="I46" s="9"/>
      <c r="J46" s="2142"/>
      <c r="K46" s="2143"/>
      <c r="L46" s="2143"/>
      <c r="M46" s="9"/>
      <c r="N46" s="1260"/>
      <c r="O46" s="9"/>
      <c r="P46" s="1260"/>
      <c r="Q46" s="1260"/>
      <c r="R46" s="1260"/>
      <c r="S46" s="2144"/>
      <c r="T46" s="2144"/>
      <c r="U46" s="2144"/>
      <c r="V46" s="2144"/>
    </row>
    <row r="47" spans="1:22" s="2145" customFormat="1" ht="18" customHeight="1">
      <c r="A47" s="2141"/>
      <c r="B47" s="2141"/>
      <c r="C47" s="1260"/>
      <c r="D47" s="1260"/>
      <c r="E47" s="1260"/>
      <c r="F47" s="1260"/>
      <c r="G47" s="1260"/>
      <c r="H47" s="9"/>
      <c r="I47" s="9"/>
      <c r="J47" s="2142"/>
      <c r="K47" s="2143"/>
      <c r="L47" s="2143"/>
      <c r="M47" s="9"/>
      <c r="N47" s="1260"/>
      <c r="O47" s="9"/>
      <c r="P47" s="1260"/>
      <c r="Q47" s="1260"/>
      <c r="R47" s="1260"/>
      <c r="S47" s="2144"/>
      <c r="T47" s="2144"/>
      <c r="U47" s="2144"/>
      <c r="V47" s="2144"/>
    </row>
    <row r="48" spans="1:22" s="2145" customFormat="1" ht="18" customHeight="1">
      <c r="A48" s="2141"/>
      <c r="B48" s="2141"/>
      <c r="C48" s="1260"/>
      <c r="D48" s="1260"/>
      <c r="E48" s="1260"/>
      <c r="F48" s="1260"/>
      <c r="G48" s="1260"/>
      <c r="H48" s="9"/>
      <c r="I48" s="9"/>
      <c r="J48" s="2142"/>
      <c r="K48" s="2143"/>
      <c r="L48" s="2143"/>
      <c r="M48" s="9"/>
      <c r="N48" s="1260"/>
      <c r="O48" s="9"/>
      <c r="P48" s="1260"/>
      <c r="Q48" s="1260"/>
      <c r="R48" s="1260"/>
      <c r="S48" s="2144"/>
      <c r="T48" s="2144"/>
      <c r="U48" s="2144"/>
      <c r="V48" s="2144"/>
    </row>
    <row r="49" spans="1:22" s="2145" customFormat="1" ht="18" customHeight="1">
      <c r="A49" s="2141"/>
      <c r="B49" s="2141"/>
      <c r="C49" s="1260"/>
      <c r="D49" s="1260"/>
      <c r="E49" s="1260"/>
      <c r="F49" s="1260"/>
      <c r="G49" s="1260"/>
      <c r="H49" s="9"/>
      <c r="I49" s="9"/>
      <c r="J49" s="2142"/>
      <c r="K49" s="2143"/>
      <c r="L49" s="2143"/>
      <c r="M49" s="9"/>
      <c r="N49" s="1260"/>
      <c r="O49" s="9"/>
      <c r="P49" s="1260"/>
      <c r="Q49" s="1260"/>
      <c r="R49" s="1260"/>
      <c r="S49" s="2144"/>
      <c r="T49" s="2144"/>
      <c r="U49" s="2144"/>
      <c r="V49" s="2144"/>
    </row>
    <row r="50" spans="1:22" s="2145" customFormat="1" ht="18" customHeight="1">
      <c r="A50" s="2141"/>
      <c r="B50" s="2141"/>
      <c r="C50" s="1260"/>
      <c r="D50" s="1260"/>
      <c r="E50" s="1260"/>
      <c r="F50" s="1260"/>
      <c r="G50" s="1260"/>
      <c r="H50" s="9"/>
      <c r="I50" s="9"/>
      <c r="J50" s="2142"/>
      <c r="K50" s="2143"/>
      <c r="L50" s="2143"/>
      <c r="M50" s="9"/>
      <c r="N50" s="1260"/>
      <c r="O50" s="9"/>
      <c r="P50" s="1260"/>
      <c r="Q50" s="1260"/>
      <c r="R50" s="1260"/>
      <c r="S50" s="2144"/>
      <c r="T50" s="2144"/>
      <c r="U50" s="2144"/>
      <c r="V50" s="2144"/>
    </row>
    <row r="51" spans="1:22" s="2145" customFormat="1" ht="18" customHeight="1">
      <c r="A51" s="2141"/>
      <c r="B51" s="2141"/>
      <c r="C51" s="1260"/>
      <c r="D51" s="1260"/>
      <c r="E51" s="1260"/>
      <c r="F51" s="1260"/>
      <c r="G51" s="1260"/>
      <c r="H51" s="9"/>
      <c r="I51" s="9"/>
      <c r="J51" s="2142"/>
      <c r="K51" s="2143"/>
      <c r="L51" s="2143"/>
      <c r="M51" s="9"/>
      <c r="N51" s="1260"/>
      <c r="O51" s="9"/>
      <c r="P51" s="1260"/>
      <c r="Q51" s="1260"/>
      <c r="R51" s="1260"/>
    </row>
    <row r="52" spans="1:22" s="2145" customFormat="1" ht="18" customHeight="1">
      <c r="A52" s="10"/>
      <c r="B52" s="10"/>
      <c r="C52" s="10"/>
      <c r="D52" s="10"/>
      <c r="E52" s="10"/>
      <c r="F52" s="9"/>
      <c r="G52" s="10"/>
      <c r="H52" s="10"/>
      <c r="I52" s="10"/>
      <c r="J52" s="2146"/>
      <c r="K52" s="2143"/>
      <c r="L52" s="2143"/>
      <c r="M52" s="2143"/>
      <c r="N52" s="10"/>
      <c r="O52" s="10"/>
      <c r="P52" s="10"/>
      <c r="Q52" s="10"/>
      <c r="R52" s="10"/>
    </row>
    <row r="53" spans="1:22" s="2145" customFormat="1" ht="18" customHeight="1">
      <c r="A53" s="10"/>
      <c r="B53" s="10"/>
      <c r="C53" s="10"/>
      <c r="D53" s="10"/>
      <c r="E53" s="10"/>
      <c r="F53" s="9"/>
      <c r="G53" s="10"/>
      <c r="H53" s="10"/>
      <c r="I53" s="10"/>
      <c r="J53" s="2146"/>
      <c r="K53" s="2143"/>
      <c r="L53" s="2143"/>
      <c r="M53" s="2143"/>
      <c r="N53" s="10"/>
      <c r="O53" s="10"/>
      <c r="P53" s="10"/>
      <c r="Q53" s="10"/>
      <c r="R53" s="10"/>
    </row>
    <row r="54" spans="1:22" s="2145" customFormat="1" ht="18" customHeight="1">
      <c r="A54" s="10"/>
      <c r="B54" s="10"/>
      <c r="C54" s="10"/>
      <c r="D54" s="10"/>
      <c r="E54" s="10"/>
      <c r="F54" s="9"/>
      <c r="G54" s="10"/>
      <c r="H54" s="10"/>
      <c r="I54" s="10"/>
      <c r="J54" s="2146"/>
      <c r="K54" s="2143"/>
      <c r="L54" s="2143"/>
      <c r="M54" s="2143"/>
      <c r="N54" s="10"/>
      <c r="O54" s="10"/>
      <c r="P54" s="10"/>
      <c r="Q54" s="10"/>
      <c r="R54" s="10"/>
    </row>
    <row r="55" spans="1:22" s="2145" customFormat="1" ht="18" customHeight="1">
      <c r="A55" s="10"/>
      <c r="B55" s="10"/>
      <c r="C55" s="10"/>
      <c r="D55" s="10"/>
      <c r="E55" s="10"/>
      <c r="F55" s="9"/>
      <c r="G55" s="10"/>
      <c r="H55" s="10"/>
      <c r="I55" s="10"/>
      <c r="J55" s="2146"/>
      <c r="K55" s="2143"/>
      <c r="L55" s="2143"/>
      <c r="M55" s="2143"/>
      <c r="N55" s="10"/>
      <c r="O55" s="10"/>
      <c r="P55" s="10"/>
      <c r="Q55" s="10"/>
      <c r="R55" s="10"/>
    </row>
    <row r="56" spans="1:22" s="2145" customFormat="1" ht="18" customHeight="1">
      <c r="A56" s="10"/>
      <c r="B56" s="10"/>
      <c r="C56" s="10"/>
      <c r="D56" s="10"/>
      <c r="E56" s="10"/>
      <c r="F56" s="9"/>
      <c r="G56" s="10"/>
      <c r="H56" s="10"/>
      <c r="I56" s="10"/>
      <c r="J56" s="2146"/>
      <c r="K56" s="2143"/>
      <c r="L56" s="2143"/>
      <c r="M56" s="214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workbookViewId="0">
      <selection activeCell="I19" sqref="I19"/>
    </sheetView>
  </sheetViews>
  <sheetFormatPr defaultRowHeight="13.5"/>
  <cols>
    <col min="1" max="1" width="11" style="3037" bestFit="1" customWidth="1"/>
    <col min="2" max="2" width="12.75" style="3037" bestFit="1" customWidth="1"/>
    <col min="3" max="3" width="10.5" style="3037" bestFit="1" customWidth="1"/>
    <col min="4" max="4" width="9" style="3037"/>
    <col min="5" max="5" width="11.25" style="3037" bestFit="1" customWidth="1"/>
    <col min="6" max="6" width="13" style="3037" bestFit="1" customWidth="1"/>
    <col min="7" max="7" width="10.5" style="3037" bestFit="1" customWidth="1"/>
    <col min="8" max="9" width="9" style="3037"/>
    <col min="10" max="10" width="14.125" style="3037" bestFit="1" customWidth="1"/>
    <col min="11" max="11" width="10.5" style="3037" bestFit="1" customWidth="1"/>
    <col min="12" max="16384" width="9" style="3037"/>
  </cols>
  <sheetData>
    <row r="1" spans="1:14" ht="27">
      <c r="A1" s="3034" t="s">
        <v>3678</v>
      </c>
      <c r="B1" s="3035"/>
      <c r="C1" s="3035"/>
      <c r="D1" s="3035"/>
      <c r="E1" s="3036" t="s">
        <v>3679</v>
      </c>
      <c r="F1" s="3034" t="s">
        <v>3680</v>
      </c>
      <c r="G1" s="3034" t="s">
        <v>3681</v>
      </c>
      <c r="H1" s="3034" t="s">
        <v>3682</v>
      </c>
      <c r="I1" s="3036" t="s">
        <v>3683</v>
      </c>
      <c r="J1" s="3036" t="s">
        <v>3684</v>
      </c>
      <c r="K1" s="3034" t="s">
        <v>3680</v>
      </c>
      <c r="L1" s="3034" t="s">
        <v>3681</v>
      </c>
      <c r="M1" s="3034" t="s">
        <v>3682</v>
      </c>
      <c r="N1" s="3036" t="s">
        <v>3683</v>
      </c>
    </row>
    <row r="2" spans="1:14">
      <c r="A2" s="3035"/>
      <c r="B2" s="3038" t="s">
        <v>3680</v>
      </c>
      <c r="C2" s="3038" t="s">
        <v>3681</v>
      </c>
      <c r="D2" s="3038" t="s">
        <v>3685</v>
      </c>
      <c r="E2" s="3034"/>
      <c r="F2" s="3039"/>
      <c r="G2" s="3039"/>
      <c r="H2" s="3040"/>
      <c r="I2" s="3039"/>
      <c r="J2" s="3041" t="s">
        <v>3686</v>
      </c>
      <c r="K2" s="3042"/>
      <c r="L2" s="3042">
        <v>16458.990000000002</v>
      </c>
      <c r="M2" s="3041" t="s">
        <v>3687</v>
      </c>
      <c r="N2" s="3042"/>
    </row>
    <row r="3" spans="1:14">
      <c r="A3" s="3035"/>
      <c r="B3" s="3035">
        <v>113936.34</v>
      </c>
      <c r="C3" s="3035">
        <v>250659.86</v>
      </c>
      <c r="D3" s="3035">
        <f>C3/B3</f>
        <v>2.1999992276388727</v>
      </c>
      <c r="E3" s="3043" t="s">
        <v>3688</v>
      </c>
      <c r="F3" s="3035"/>
      <c r="G3" s="3035">
        <v>21239.3</v>
      </c>
      <c r="H3" s="3044" t="s">
        <v>3689</v>
      </c>
      <c r="I3" s="3035">
        <v>1532.48</v>
      </c>
      <c r="J3" s="3041" t="s">
        <v>3690</v>
      </c>
      <c r="K3" s="3042"/>
      <c r="L3" s="3042">
        <v>16458.990000000002</v>
      </c>
      <c r="M3" s="3041" t="s">
        <v>3687</v>
      </c>
      <c r="N3" s="3042"/>
    </row>
    <row r="4" spans="1:14">
      <c r="A4" s="3035"/>
      <c r="B4" s="3035">
        <v>68846.7</v>
      </c>
      <c r="C4" s="3035">
        <v>151462.74</v>
      </c>
      <c r="D4" s="3035">
        <f>C4/B4</f>
        <v>2.2000000000000002</v>
      </c>
      <c r="E4" s="3043" t="s">
        <v>3691</v>
      </c>
      <c r="F4" s="3035"/>
      <c r="G4" s="3035">
        <v>31583.88</v>
      </c>
      <c r="H4" s="3044" t="s">
        <v>3689</v>
      </c>
      <c r="I4" s="3035">
        <v>2412.48</v>
      </c>
      <c r="J4" s="3041" t="s">
        <v>3692</v>
      </c>
      <c r="K4" s="3042"/>
      <c r="L4" s="3045">
        <v>13647.52</v>
      </c>
      <c r="M4" s="3041" t="s">
        <v>3693</v>
      </c>
      <c r="N4" s="3042"/>
    </row>
    <row r="5" spans="1:14">
      <c r="A5" s="3046" t="s">
        <v>3694</v>
      </c>
      <c r="B5" s="3046">
        <f>B3+B4</f>
        <v>182783.03999999998</v>
      </c>
      <c r="C5" s="3046">
        <f>C3+C4</f>
        <v>402122.6</v>
      </c>
      <c r="D5" s="3046">
        <f>C5/B5</f>
        <v>2.1999995185548946</v>
      </c>
      <c r="E5" s="3047" t="s">
        <v>3695</v>
      </c>
      <c r="F5" s="3035"/>
      <c r="G5" s="3035">
        <v>21362.240000000002</v>
      </c>
      <c r="H5" s="3044" t="s">
        <v>3689</v>
      </c>
      <c r="I5" s="3035">
        <v>1655.42</v>
      </c>
      <c r="J5" s="3041" t="s">
        <v>3696</v>
      </c>
      <c r="K5" s="3042"/>
      <c r="L5" s="3045">
        <v>15215.88</v>
      </c>
      <c r="M5" s="3048" t="s">
        <v>3697</v>
      </c>
      <c r="N5" s="3042"/>
    </row>
    <row r="6" spans="1:14">
      <c r="A6" s="3038" t="s">
        <v>3698</v>
      </c>
      <c r="B6" s="3035">
        <f>B5/666.67</f>
        <v>274.17318913405433</v>
      </c>
      <c r="C6" s="3035"/>
      <c r="D6" s="3035"/>
      <c r="E6" s="3047" t="s">
        <v>3699</v>
      </c>
      <c r="F6" s="3035"/>
      <c r="G6" s="3035">
        <v>6501.98</v>
      </c>
      <c r="H6" s="3044" t="s">
        <v>3700</v>
      </c>
      <c r="I6" s="3035"/>
      <c r="J6" s="3041" t="s">
        <v>3701</v>
      </c>
      <c r="K6" s="3042"/>
      <c r="L6" s="3045">
        <v>15215.88</v>
      </c>
      <c r="M6" s="3048" t="s">
        <v>3702</v>
      </c>
      <c r="N6" s="3042"/>
    </row>
    <row r="7" spans="1:14">
      <c r="A7" s="3035"/>
      <c r="B7" s="3035"/>
      <c r="C7" s="3035"/>
      <c r="D7" s="3035"/>
      <c r="E7" s="3047" t="s">
        <v>3703</v>
      </c>
      <c r="F7" s="3035"/>
      <c r="G7" s="3035">
        <v>1702.28</v>
      </c>
      <c r="H7" s="3044" t="s">
        <v>3704</v>
      </c>
      <c r="I7" s="3035">
        <v>911.14</v>
      </c>
      <c r="J7" s="3041" t="s">
        <v>3705</v>
      </c>
      <c r="K7" s="3042"/>
      <c r="L7" s="3045">
        <v>15730</v>
      </c>
      <c r="M7" s="3042"/>
      <c r="N7" s="3042"/>
    </row>
    <row r="8" spans="1:14" ht="27">
      <c r="A8" s="3036" t="s">
        <v>3706</v>
      </c>
      <c r="B8" s="3035"/>
      <c r="C8" s="3035"/>
      <c r="D8" s="3035"/>
      <c r="E8" s="3047" t="s">
        <v>3707</v>
      </c>
      <c r="F8" s="3035"/>
      <c r="G8" s="3035">
        <v>1299.18</v>
      </c>
      <c r="H8" s="3044" t="s">
        <v>3708</v>
      </c>
      <c r="I8" s="3035">
        <v>642.59</v>
      </c>
      <c r="J8" s="3049" t="s">
        <v>3709</v>
      </c>
      <c r="K8" s="3050">
        <v>182783.04</v>
      </c>
      <c r="L8" s="3050">
        <f>SUM(L2:L7)</f>
        <v>92727.26</v>
      </c>
      <c r="M8" s="3050"/>
      <c r="N8" s="3050"/>
    </row>
    <row r="9" spans="1:14" ht="27">
      <c r="A9" s="3035"/>
      <c r="B9" s="3038" t="s">
        <v>3710</v>
      </c>
      <c r="C9" s="3038" t="s">
        <v>3711</v>
      </c>
      <c r="D9" s="3038" t="s">
        <v>3712</v>
      </c>
      <c r="E9" s="3051" t="s">
        <v>3713</v>
      </c>
      <c r="F9" s="3035"/>
      <c r="G9" s="3035">
        <v>3210.9</v>
      </c>
      <c r="H9" s="3035"/>
      <c r="I9" s="3035"/>
      <c r="J9" s="3034" t="s">
        <v>3714</v>
      </c>
      <c r="K9" s="3034" t="s">
        <v>3710</v>
      </c>
      <c r="L9" s="3034" t="s">
        <v>3711</v>
      </c>
      <c r="M9" s="3034" t="s">
        <v>3715</v>
      </c>
      <c r="N9" s="3036" t="s">
        <v>3716</v>
      </c>
    </row>
    <row r="10" spans="1:14">
      <c r="A10" s="3046" t="s">
        <v>3717</v>
      </c>
      <c r="B10" s="3046"/>
      <c r="C10" s="3046">
        <v>455614.77</v>
      </c>
      <c r="D10" s="3046"/>
      <c r="E10" s="3046" t="s">
        <v>3718</v>
      </c>
      <c r="F10" s="3046">
        <v>113936.34</v>
      </c>
      <c r="G10" s="3046">
        <f>SUM(G3:G9)</f>
        <v>86899.75999999998</v>
      </c>
      <c r="H10" s="3052" t="s">
        <v>3719</v>
      </c>
      <c r="I10" s="3046"/>
      <c r="J10" s="3043" t="s">
        <v>3720</v>
      </c>
      <c r="K10" s="3035"/>
      <c r="L10" s="3045">
        <v>14664.26</v>
      </c>
      <c r="M10" s="3038" t="s">
        <v>3721</v>
      </c>
      <c r="N10" s="3035">
        <v>1854.59</v>
      </c>
    </row>
    <row r="11" spans="1:14">
      <c r="A11" s="3038" t="s">
        <v>3722</v>
      </c>
      <c r="B11" s="3035"/>
      <c r="C11" s="3035">
        <v>368332.27</v>
      </c>
      <c r="D11" s="3053"/>
      <c r="E11" s="3036" t="s">
        <v>3723</v>
      </c>
      <c r="F11" s="3034" t="s">
        <v>3710</v>
      </c>
      <c r="G11" s="3034" t="s">
        <v>3711</v>
      </c>
      <c r="H11" s="3034" t="s">
        <v>3715</v>
      </c>
      <c r="I11" s="3036"/>
      <c r="J11" s="3035"/>
      <c r="K11" s="3054" t="s">
        <v>3722</v>
      </c>
      <c r="L11" s="3045">
        <v>11098.71</v>
      </c>
      <c r="M11" s="3035"/>
      <c r="N11" s="3035"/>
    </row>
    <row r="12" spans="1:14">
      <c r="A12" s="3038" t="s">
        <v>3724</v>
      </c>
      <c r="B12" s="3035"/>
      <c r="C12" s="3035">
        <v>29016.48</v>
      </c>
      <c r="D12" s="3053"/>
      <c r="E12" s="3043" t="s">
        <v>3725</v>
      </c>
      <c r="F12" s="3035"/>
      <c r="G12" s="3035">
        <v>6594</v>
      </c>
      <c r="H12" s="3038" t="s">
        <v>3726</v>
      </c>
      <c r="I12" s="3035"/>
      <c r="J12" s="3035"/>
      <c r="K12" s="3038" t="s">
        <v>3724</v>
      </c>
      <c r="L12" s="3045">
        <v>3565.56</v>
      </c>
      <c r="M12" s="3035"/>
      <c r="N12" s="3035"/>
    </row>
    <row r="13" spans="1:14">
      <c r="A13" s="3038" t="s">
        <v>3727</v>
      </c>
      <c r="B13" s="3035"/>
      <c r="C13" s="3035">
        <v>3666.77</v>
      </c>
      <c r="D13" s="3053"/>
      <c r="E13" s="3035"/>
      <c r="F13" s="3038" t="s">
        <v>3724</v>
      </c>
      <c r="G13" s="3035">
        <v>772</v>
      </c>
      <c r="H13" s="3035"/>
      <c r="I13" s="3035"/>
      <c r="J13" s="3043" t="s">
        <v>3728</v>
      </c>
      <c r="K13" s="3035"/>
      <c r="L13" s="3045">
        <v>12414.38</v>
      </c>
      <c r="M13" s="3038" t="s">
        <v>3721</v>
      </c>
      <c r="N13" s="3035">
        <v>954.63</v>
      </c>
    </row>
    <row r="14" spans="1:14">
      <c r="A14" s="3038" t="s">
        <v>3729</v>
      </c>
      <c r="B14" s="3035"/>
      <c r="C14" s="3035">
        <v>13412.68</v>
      </c>
      <c r="D14" s="3053"/>
      <c r="E14" s="3035"/>
      <c r="F14" s="3038" t="s">
        <v>3730</v>
      </c>
      <c r="G14" s="3035">
        <v>5822</v>
      </c>
      <c r="H14" s="3035"/>
      <c r="I14" s="3035"/>
      <c r="J14" s="3035"/>
      <c r="K14" s="3038" t="s">
        <v>3730</v>
      </c>
      <c r="L14" s="3045">
        <v>11886.64</v>
      </c>
      <c r="M14" s="3035"/>
      <c r="N14" s="3035"/>
    </row>
    <row r="15" spans="1:14">
      <c r="A15" s="3038" t="s">
        <v>3731</v>
      </c>
      <c r="B15" s="3035"/>
      <c r="C15" s="3035">
        <v>419570.38</v>
      </c>
      <c r="D15" s="3053"/>
      <c r="E15" s="3043" t="s">
        <v>3732</v>
      </c>
      <c r="F15" s="3035"/>
      <c r="G15" s="3035">
        <v>10977.96</v>
      </c>
      <c r="H15" s="3038" t="s">
        <v>3733</v>
      </c>
      <c r="I15" s="3035"/>
      <c r="J15" s="3035"/>
      <c r="K15" s="3048" t="s">
        <v>3734</v>
      </c>
      <c r="L15" s="3045">
        <v>527.74</v>
      </c>
      <c r="M15" s="3035"/>
      <c r="N15" s="3035"/>
    </row>
    <row r="16" spans="1:14">
      <c r="A16" s="3038" t="s">
        <v>3705</v>
      </c>
      <c r="B16" s="3035"/>
      <c r="C16" s="3035">
        <v>36044.39</v>
      </c>
      <c r="D16" s="3053"/>
      <c r="E16" s="3035"/>
      <c r="F16" s="3038" t="s">
        <v>3734</v>
      </c>
      <c r="G16" s="3035">
        <v>1085.21</v>
      </c>
      <c r="H16" s="3035"/>
      <c r="I16" s="3035"/>
      <c r="J16" s="3050" t="s">
        <v>3709</v>
      </c>
      <c r="K16" s="3050">
        <v>182783.04</v>
      </c>
      <c r="L16" s="3050">
        <f>SUM(L10+L13)</f>
        <v>27078.639999999999</v>
      </c>
      <c r="M16" s="3042"/>
      <c r="N16" s="3042"/>
    </row>
    <row r="17" spans="1:14" ht="27">
      <c r="A17" s="3035"/>
      <c r="B17" s="3035"/>
      <c r="C17" s="3035">
        <f>C10-C16</f>
        <v>419570.38</v>
      </c>
      <c r="D17" s="3053"/>
      <c r="E17" s="3035"/>
      <c r="F17" s="3038" t="s">
        <v>3730</v>
      </c>
      <c r="G17" s="3035">
        <v>9892.75</v>
      </c>
      <c r="H17" s="3035"/>
      <c r="I17" s="3035"/>
      <c r="J17" s="3055" t="s">
        <v>3735</v>
      </c>
      <c r="K17" s="3056" t="s">
        <v>3736</v>
      </c>
      <c r="L17" s="3056" t="s">
        <v>3737</v>
      </c>
      <c r="M17" s="3056" t="s">
        <v>3738</v>
      </c>
      <c r="N17" s="3057" t="s">
        <v>3739</v>
      </c>
    </row>
    <row r="18" spans="1:14">
      <c r="A18" s="3038" t="s">
        <v>3740</v>
      </c>
      <c r="B18" s="3035"/>
      <c r="C18" s="3035"/>
      <c r="D18" s="3053"/>
      <c r="E18" s="3043" t="s">
        <v>3741</v>
      </c>
      <c r="F18" s="3035"/>
      <c r="G18" s="3035">
        <v>12649.77</v>
      </c>
      <c r="H18" s="3038" t="s">
        <v>3733</v>
      </c>
      <c r="I18" s="3035"/>
      <c r="J18" s="3043" t="s">
        <v>3742</v>
      </c>
      <c r="K18" s="3035"/>
      <c r="L18" s="3045">
        <v>13654.45</v>
      </c>
      <c r="M18" s="3038" t="s">
        <v>3733</v>
      </c>
      <c r="N18" s="3035">
        <v>1336.31</v>
      </c>
    </row>
    <row r="19" spans="1:14">
      <c r="E19" s="3035"/>
      <c r="F19" s="3038" t="s">
        <v>3734</v>
      </c>
      <c r="G19" s="3035">
        <v>1350.6</v>
      </c>
      <c r="H19" s="3035"/>
      <c r="I19" s="3035"/>
      <c r="J19" s="3035"/>
      <c r="K19" s="3038" t="s">
        <v>3730</v>
      </c>
      <c r="L19" s="3045">
        <v>12312.19</v>
      </c>
      <c r="M19" s="3035"/>
      <c r="N19" s="3035"/>
    </row>
    <row r="20" spans="1:14">
      <c r="A20" s="3034" t="s">
        <v>3743</v>
      </c>
      <c r="B20" s="3058" t="s">
        <v>3737</v>
      </c>
      <c r="C20" s="3042"/>
      <c r="E20" s="3035"/>
      <c r="F20" s="3038" t="s">
        <v>3730</v>
      </c>
      <c r="G20" s="3035">
        <v>10927.37</v>
      </c>
      <c r="H20" s="3035"/>
      <c r="I20" s="3035"/>
      <c r="J20" s="3035"/>
      <c r="K20" s="3048" t="s">
        <v>3734</v>
      </c>
      <c r="L20" s="3045">
        <v>1342.26</v>
      </c>
      <c r="M20" s="3035"/>
      <c r="N20" s="3035"/>
    </row>
    <row r="21" spans="1:14">
      <c r="A21" s="3048" t="s">
        <v>3744</v>
      </c>
      <c r="B21" s="3042">
        <v>22311.95</v>
      </c>
      <c r="C21" s="3042"/>
      <c r="E21" s="3035"/>
      <c r="F21" s="3038" t="s">
        <v>3745</v>
      </c>
      <c r="G21" s="3035">
        <v>371.8</v>
      </c>
      <c r="H21" s="3035"/>
      <c r="I21" s="3035"/>
      <c r="J21" s="3043" t="s">
        <v>3746</v>
      </c>
      <c r="K21" s="3035"/>
      <c r="L21" s="3045">
        <v>15330.87</v>
      </c>
      <c r="M21" s="3038" t="s">
        <v>3747</v>
      </c>
      <c r="N21" s="3035">
        <v>2220.2399999999998</v>
      </c>
    </row>
    <row r="22" spans="1:14">
      <c r="A22" s="3048" t="s">
        <v>3748</v>
      </c>
      <c r="B22" s="3042">
        <v>33304.39</v>
      </c>
      <c r="C22" s="3042"/>
      <c r="E22" s="3043" t="s">
        <v>3749</v>
      </c>
      <c r="F22" s="3035"/>
      <c r="G22" s="3035">
        <v>12626.29</v>
      </c>
      <c r="H22" s="3038" t="s">
        <v>3733</v>
      </c>
      <c r="I22" s="3035"/>
      <c r="J22" s="3035"/>
      <c r="K22" s="3038" t="s">
        <v>3730</v>
      </c>
      <c r="L22" s="3045">
        <v>11144.23</v>
      </c>
      <c r="M22" s="3035"/>
      <c r="N22" s="3035"/>
    </row>
    <row r="23" spans="1:14">
      <c r="A23" s="3048" t="s">
        <v>3750</v>
      </c>
      <c r="B23" s="3042">
        <v>22424.02</v>
      </c>
      <c r="C23" s="3042"/>
      <c r="E23" s="3035"/>
      <c r="F23" s="3038" t="s">
        <v>3734</v>
      </c>
      <c r="G23" s="3035">
        <v>1250</v>
      </c>
      <c r="H23" s="3035"/>
      <c r="I23" s="3035"/>
      <c r="J23" s="3035"/>
      <c r="K23" s="3038" t="s">
        <v>3734</v>
      </c>
      <c r="L23" s="3045">
        <v>4186.6400000000003</v>
      </c>
      <c r="M23" s="3035"/>
      <c r="N23" s="3035"/>
    </row>
    <row r="24" spans="1:14">
      <c r="A24" s="3048" t="s">
        <v>3751</v>
      </c>
      <c r="B24" s="3042">
        <v>6664.21</v>
      </c>
      <c r="C24" s="3042"/>
      <c r="E24" s="3035"/>
      <c r="F24" s="3038" t="s">
        <v>3730</v>
      </c>
      <c r="G24" s="3035">
        <v>10911.39</v>
      </c>
      <c r="H24" s="3035"/>
      <c r="I24" s="3035"/>
      <c r="J24" s="3050" t="s">
        <v>3709</v>
      </c>
      <c r="K24" s="3050"/>
      <c r="L24" s="3050">
        <f>L18+L21</f>
        <v>28985.32</v>
      </c>
      <c r="M24" s="3042"/>
      <c r="N24" s="3042"/>
    </row>
    <row r="25" spans="1:14" ht="27">
      <c r="A25" s="3048" t="s">
        <v>3752</v>
      </c>
      <c r="B25" s="3042">
        <v>11063.59</v>
      </c>
      <c r="C25" s="3042"/>
      <c r="E25" s="3035"/>
      <c r="F25" s="3038" t="s">
        <v>3753</v>
      </c>
      <c r="G25" s="3035">
        <v>340.4</v>
      </c>
      <c r="H25" s="3035"/>
      <c r="I25" s="3035"/>
      <c r="J25" s="3058" t="s">
        <v>3754</v>
      </c>
      <c r="K25" s="3034" t="s">
        <v>3736</v>
      </c>
      <c r="L25" s="3034" t="s">
        <v>3737</v>
      </c>
      <c r="M25" s="3034" t="s">
        <v>3738</v>
      </c>
      <c r="N25" s="3036" t="s">
        <v>3739</v>
      </c>
    </row>
    <row r="26" spans="1:14">
      <c r="A26" s="3048" t="s">
        <v>3755</v>
      </c>
      <c r="B26" s="3042">
        <v>12782.76</v>
      </c>
      <c r="C26" s="3042"/>
      <c r="E26" s="3035"/>
      <c r="F26" s="3038" t="s">
        <v>3756</v>
      </c>
      <c r="G26" s="3035">
        <v>124.5</v>
      </c>
      <c r="H26" s="3035"/>
      <c r="I26" s="3035"/>
      <c r="J26" s="3048" t="s">
        <v>3757</v>
      </c>
      <c r="K26" s="3046">
        <v>113936.34</v>
      </c>
      <c r="L26" s="3045">
        <v>2157.65</v>
      </c>
      <c r="M26" s="3041" t="s">
        <v>3708</v>
      </c>
      <c r="N26" s="3042"/>
    </row>
    <row r="27" spans="1:14">
      <c r="A27" s="3041" t="s">
        <v>3758</v>
      </c>
      <c r="B27" s="3042">
        <v>12774.65</v>
      </c>
      <c r="C27" s="3042"/>
      <c r="E27" s="3043" t="s">
        <v>3759</v>
      </c>
      <c r="F27" s="3035"/>
      <c r="G27" s="3035">
        <v>6520.74</v>
      </c>
      <c r="H27" s="3038" t="s">
        <v>3733</v>
      </c>
      <c r="I27" s="3035"/>
    </row>
    <row r="28" spans="1:14" ht="27">
      <c r="A28" s="3041" t="s">
        <v>3760</v>
      </c>
      <c r="B28" s="3042">
        <v>6589.01</v>
      </c>
      <c r="C28" s="3042"/>
      <c r="E28" s="3035"/>
      <c r="F28" s="3038" t="s">
        <v>3734</v>
      </c>
      <c r="G28" s="3035">
        <v>698.9</v>
      </c>
      <c r="H28" s="3035"/>
      <c r="I28" s="3035"/>
      <c r="J28" s="3059" t="s">
        <v>3761</v>
      </c>
      <c r="K28" s="3060"/>
      <c r="L28" s="3060">
        <f>G10+G33+L8+L16+L24+G43</f>
        <v>435533.89</v>
      </c>
      <c r="M28" s="3060"/>
      <c r="N28" s="3060"/>
    </row>
    <row r="29" spans="1:14">
      <c r="A29" s="3041" t="s">
        <v>3762</v>
      </c>
      <c r="B29" s="3042">
        <v>10780.5</v>
      </c>
      <c r="C29" s="3042"/>
      <c r="E29" s="3035"/>
      <c r="F29" s="3038" t="s">
        <v>3730</v>
      </c>
      <c r="G29" s="3035">
        <v>5821.84</v>
      </c>
      <c r="H29" s="3035"/>
      <c r="I29" s="3035"/>
    </row>
    <row r="30" spans="1:14">
      <c r="A30" s="3042"/>
      <c r="B30" s="3042"/>
      <c r="C30" s="3042"/>
      <c r="E30" s="3043" t="s">
        <v>3763</v>
      </c>
      <c r="F30" s="3035"/>
      <c r="G30" s="3035">
        <v>10694.5</v>
      </c>
      <c r="H30" s="3038" t="s">
        <v>3733</v>
      </c>
      <c r="I30" s="3035"/>
      <c r="J30" s="3037" t="s">
        <v>3793</v>
      </c>
      <c r="L30" s="3037">
        <f>G9+G42+L7</f>
        <v>34764.880000000005</v>
      </c>
    </row>
    <row r="31" spans="1:14">
      <c r="A31" s="3058" t="s">
        <v>3764</v>
      </c>
      <c r="B31" s="3058" t="s">
        <v>3737</v>
      </c>
      <c r="C31" s="3042"/>
      <c r="E31" s="3035"/>
      <c r="F31" s="3038" t="s">
        <v>3734</v>
      </c>
      <c r="G31" s="3035">
        <v>802.5</v>
      </c>
      <c r="H31" s="3035"/>
      <c r="I31" s="3035"/>
      <c r="J31" s="3037" t="s">
        <v>3792</v>
      </c>
      <c r="L31" s="3037">
        <f>L28-L30</f>
        <v>400769.01</v>
      </c>
    </row>
    <row r="32" spans="1:14">
      <c r="A32" s="3041" t="s">
        <v>3765</v>
      </c>
      <c r="B32" s="3042">
        <v>1719.46</v>
      </c>
      <c r="C32" s="3042"/>
      <c r="E32" s="3035"/>
      <c r="F32" s="3038" t="s">
        <v>3730</v>
      </c>
      <c r="G32" s="3035">
        <v>9892</v>
      </c>
      <c r="H32" s="3035"/>
      <c r="I32" s="3035"/>
      <c r="J32" s="3037" t="s">
        <v>3794</v>
      </c>
      <c r="L32" s="3037">
        <f>L31/B5</f>
        <v>2.1925940721852535</v>
      </c>
    </row>
    <row r="33" spans="1:9">
      <c r="A33" s="3041" t="s">
        <v>3766</v>
      </c>
      <c r="B33" s="3042">
        <v>1312.7</v>
      </c>
      <c r="C33" s="3042"/>
      <c r="E33" s="3046" t="s">
        <v>3709</v>
      </c>
      <c r="F33" s="3046">
        <v>113636.34</v>
      </c>
      <c r="G33" s="3046">
        <f>G12+G15+G18+G22+G27+G30</f>
        <v>60063.26</v>
      </c>
      <c r="H33" s="3046" t="s">
        <v>3767</v>
      </c>
      <c r="I33" s="3046"/>
    </row>
    <row r="34" spans="1:9">
      <c r="A34" s="3041" t="s">
        <v>3768</v>
      </c>
      <c r="B34" s="3042">
        <v>14723.45</v>
      </c>
      <c r="C34" s="3042"/>
      <c r="E34" s="3034" t="s">
        <v>3769</v>
      </c>
      <c r="F34" s="3034" t="s">
        <v>3736</v>
      </c>
      <c r="G34" s="3034" t="s">
        <v>3737</v>
      </c>
      <c r="H34" s="3034" t="s">
        <v>3738</v>
      </c>
      <c r="I34" s="3036"/>
    </row>
    <row r="35" spans="1:9">
      <c r="A35" s="3042"/>
      <c r="B35" s="3042">
        <v>11043.48</v>
      </c>
      <c r="C35" s="3041" t="s">
        <v>3730</v>
      </c>
      <c r="E35" s="3048" t="s">
        <v>3770</v>
      </c>
      <c r="F35" s="3035"/>
      <c r="G35" s="3045">
        <v>23704.36</v>
      </c>
      <c r="H35" s="3048" t="s">
        <v>3771</v>
      </c>
      <c r="I35" s="3035"/>
    </row>
    <row r="36" spans="1:9">
      <c r="A36" s="3042"/>
      <c r="B36" s="3042">
        <v>3679.97</v>
      </c>
      <c r="C36" s="3041" t="s">
        <v>3772</v>
      </c>
      <c r="E36" s="3038" t="s">
        <v>3773</v>
      </c>
      <c r="F36" s="3035"/>
      <c r="G36" s="3045">
        <v>23704.36</v>
      </c>
      <c r="H36" s="3035"/>
      <c r="I36" s="3035"/>
    </row>
    <row r="37" spans="1:9">
      <c r="A37" s="3041" t="s">
        <v>3774</v>
      </c>
      <c r="B37" s="3042">
        <v>12585.47</v>
      </c>
      <c r="C37" s="3042"/>
      <c r="E37" s="3038" t="s">
        <v>3775</v>
      </c>
      <c r="F37" s="3035"/>
      <c r="G37" s="3045">
        <v>14901.58</v>
      </c>
      <c r="H37" s="3048" t="s">
        <v>3776</v>
      </c>
      <c r="I37" s="3035"/>
    </row>
    <row r="38" spans="1:9">
      <c r="A38" s="3042"/>
      <c r="B38" s="3042">
        <v>12034.94</v>
      </c>
      <c r="C38" s="3041" t="s">
        <v>3730</v>
      </c>
      <c r="E38" s="3038" t="s">
        <v>3777</v>
      </c>
      <c r="F38" s="3035"/>
      <c r="G38" s="3045">
        <v>16356.84</v>
      </c>
      <c r="H38" s="3048" t="s">
        <v>3771</v>
      </c>
      <c r="I38" s="3035"/>
    </row>
    <row r="39" spans="1:9">
      <c r="A39" s="3042"/>
      <c r="B39" s="3042">
        <v>542.19000000000005</v>
      </c>
      <c r="C39" s="3041" t="s">
        <v>3772</v>
      </c>
      <c r="E39" s="3038" t="s">
        <v>3778</v>
      </c>
      <c r="F39" s="3035"/>
      <c r="G39" s="3045">
        <v>16356.84</v>
      </c>
      <c r="H39" s="3048" t="s">
        <v>3771</v>
      </c>
      <c r="I39" s="3035"/>
    </row>
    <row r="40" spans="1:9">
      <c r="A40" s="3042"/>
      <c r="B40" s="3042">
        <v>8.34</v>
      </c>
      <c r="C40" s="3041" t="s">
        <v>3779</v>
      </c>
      <c r="E40" s="3043" t="s">
        <v>3780</v>
      </c>
      <c r="F40" s="3035"/>
      <c r="G40" s="3045">
        <v>14633.2</v>
      </c>
      <c r="H40" s="3035">
        <v>16</v>
      </c>
      <c r="I40" s="3035"/>
    </row>
    <row r="41" spans="1:9">
      <c r="A41" s="3041" t="s">
        <v>3781</v>
      </c>
      <c r="B41" s="3042">
        <v>7072.53</v>
      </c>
      <c r="C41" s="3042"/>
      <c r="E41" s="3043" t="s">
        <v>3782</v>
      </c>
      <c r="F41" s="3035"/>
      <c r="G41" s="3045">
        <v>14298.49</v>
      </c>
      <c r="H41" s="3035">
        <v>16</v>
      </c>
      <c r="I41" s="3035"/>
    </row>
    <row r="42" spans="1:9">
      <c r="A42" s="3041" t="s">
        <v>3783</v>
      </c>
      <c r="B42" s="3042">
        <v>13820.33</v>
      </c>
      <c r="C42" s="3042"/>
      <c r="E42" s="3038" t="s">
        <v>3705</v>
      </c>
      <c r="F42" s="3035"/>
      <c r="G42" s="3045">
        <v>15823.98</v>
      </c>
      <c r="H42" s="3038" t="s">
        <v>3784</v>
      </c>
      <c r="I42" s="3035"/>
    </row>
    <row r="43" spans="1:9">
      <c r="A43" s="3041" t="s">
        <v>3785</v>
      </c>
      <c r="B43" s="3042">
        <v>15472.96</v>
      </c>
      <c r="C43" s="3042"/>
      <c r="E43" s="3046" t="s">
        <v>3709</v>
      </c>
      <c r="F43" s="3046">
        <v>172783.04</v>
      </c>
      <c r="G43" s="3046">
        <f>SUM(G35:G42)</f>
        <v>139779.65</v>
      </c>
      <c r="H43" s="3046"/>
      <c r="I43" s="3046"/>
    </row>
    <row r="44" spans="1:9">
      <c r="A44" s="3042"/>
      <c r="B44" s="3042">
        <v>11147.78</v>
      </c>
      <c r="C44" s="3041" t="s">
        <v>3730</v>
      </c>
    </row>
    <row r="45" spans="1:9">
      <c r="A45" s="3042"/>
      <c r="B45" s="3042">
        <v>4325.18</v>
      </c>
      <c r="C45" s="3041" t="s">
        <v>3772</v>
      </c>
    </row>
    <row r="46" spans="1:9">
      <c r="A46" s="3041" t="s">
        <v>3786</v>
      </c>
      <c r="B46" s="3042">
        <v>14418.72</v>
      </c>
      <c r="C46" s="3042"/>
    </row>
    <row r="47" spans="1:9">
      <c r="A47" s="3042"/>
      <c r="B47" s="3042">
        <v>11666.48</v>
      </c>
      <c r="C47" s="3041" t="s">
        <v>3730</v>
      </c>
    </row>
    <row r="48" spans="1:9">
      <c r="A48" s="3042"/>
      <c r="B48" s="3042">
        <v>2752.24</v>
      </c>
      <c r="C48" s="3041" t="s">
        <v>3772</v>
      </c>
    </row>
    <row r="49" spans="1:3">
      <c r="A49" s="3041" t="s">
        <v>3787</v>
      </c>
      <c r="B49" s="3042">
        <v>14414.82</v>
      </c>
      <c r="C49" s="3042"/>
    </row>
    <row r="50" spans="1:3">
      <c r="A50" s="3042"/>
      <c r="B50" s="3042">
        <v>11666.48</v>
      </c>
      <c r="C50" s="3041" t="s">
        <v>3730</v>
      </c>
    </row>
    <row r="51" spans="1:3">
      <c r="A51" s="3042"/>
      <c r="B51" s="3042">
        <v>2748.34</v>
      </c>
      <c r="C51" s="3041" t="s">
        <v>3772</v>
      </c>
    </row>
  </sheetData>
  <phoneticPr fontId="143"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27" sqref="G27"/>
    </sheetView>
  </sheetViews>
  <sheetFormatPr defaultColWidth="8.875" defaultRowHeight="14.25"/>
  <cols>
    <col min="1" max="1" width="10.625" style="2147" customWidth="1"/>
    <col min="2" max="2" width="11" style="2147" customWidth="1"/>
    <col min="3" max="3" width="10.375" style="2147" customWidth="1"/>
    <col min="4" max="4" width="9.125" style="2147" customWidth="1"/>
    <col min="5" max="6" width="10" style="2210" customWidth="1"/>
    <col min="7" max="8" width="10" style="2147" customWidth="1"/>
    <col min="9" max="9" width="10.625" style="2147" customWidth="1"/>
    <col min="10" max="10" width="9.5" style="2147" customWidth="1"/>
    <col min="11" max="11" width="11" style="2147" customWidth="1"/>
    <col min="12" max="14" width="9.5" style="2147" customWidth="1"/>
    <col min="15" max="15" width="9.875" style="2147" customWidth="1"/>
    <col min="16" max="16" width="9.75" style="2147" customWidth="1"/>
    <col min="17" max="17" width="9.375" style="2147" hidden="1" customWidth="1"/>
    <col min="18" max="18" width="9.25" style="2147" hidden="1" customWidth="1"/>
    <col min="19" max="19" width="10.875" style="2147" hidden="1" customWidth="1"/>
    <col min="20" max="21" width="10.75" style="2147" hidden="1" customWidth="1"/>
    <col min="22" max="22" width="10.875" style="2147" hidden="1" customWidth="1"/>
    <col min="23" max="27" width="10.75" style="2147" hidden="1" customWidth="1"/>
    <col min="28" max="28" width="10.875" style="2147" hidden="1" customWidth="1"/>
    <col min="29" max="29" width="11" style="2147" bestFit="1" customWidth="1"/>
    <col min="30" max="30" width="10" style="2147" hidden="1" customWidth="1"/>
    <col min="31" max="31" width="9.75" style="2147" hidden="1" customWidth="1"/>
    <col min="32" max="37" width="9.5" style="2147" hidden="1" customWidth="1"/>
    <col min="38" max="45" width="9.5" style="2147" customWidth="1"/>
    <col min="46" max="46" width="9.5" style="2147" hidden="1" customWidth="1"/>
    <col min="47" max="47" width="18.125" style="2147" hidden="1" customWidth="1"/>
    <col min="48" max="50" width="9.75" style="2147" customWidth="1"/>
    <col min="51" max="55" width="10.5" style="2147" bestFit="1" customWidth="1"/>
    <col min="56" max="56" width="9.5" style="2147" bestFit="1" customWidth="1"/>
    <col min="57" max="63" width="9.125" style="2147" bestFit="1" customWidth="1"/>
    <col min="64" max="64" width="9.5" style="2147" bestFit="1" customWidth="1"/>
    <col min="65" max="65" width="9.125" style="2147" bestFit="1" customWidth="1"/>
    <col min="66" max="66" width="9.5" style="2147" bestFit="1" customWidth="1"/>
    <col min="67" max="69" width="9.125" style="2147" bestFit="1" customWidth="1"/>
    <col min="70" max="70" width="9.5" style="2147" bestFit="1" customWidth="1"/>
    <col min="71" max="71" width="9" style="2147" customWidth="1"/>
    <col min="72" max="72" width="9.125" style="2147" bestFit="1" customWidth="1"/>
    <col min="73" max="16384" width="8.875" style="2147"/>
  </cols>
  <sheetData>
    <row r="1" spans="1:72" ht="20.25">
      <c r="A1" s="2150" t="s">
        <v>1870</v>
      </c>
      <c r="B1" s="2017"/>
      <c r="C1" s="2017"/>
      <c r="D1" s="2017"/>
      <c r="E1" s="2017"/>
      <c r="F1" s="2017"/>
      <c r="G1" s="2017"/>
      <c r="H1" s="2017"/>
      <c r="I1" s="2017"/>
      <c r="J1" s="2017"/>
      <c r="K1" s="2017"/>
      <c r="L1" s="2017"/>
      <c r="M1" s="2017"/>
      <c r="N1" s="2017"/>
      <c r="O1" s="2017"/>
      <c r="P1" s="2017"/>
      <c r="Q1" s="2017"/>
      <c r="R1" s="2017"/>
      <c r="S1" s="2017"/>
      <c r="T1" s="2017"/>
      <c r="U1" s="2017"/>
      <c r="V1" s="2017"/>
      <c r="W1" s="2017"/>
      <c r="X1" s="2017"/>
      <c r="Y1" s="2017"/>
      <c r="Z1" s="2017"/>
      <c r="AA1" s="2017"/>
      <c r="AB1" s="2017"/>
      <c r="AC1" s="2017"/>
      <c r="AD1" s="2017"/>
      <c r="AE1" s="2017"/>
      <c r="AF1" s="2017"/>
      <c r="AG1" s="2017"/>
      <c r="AH1" s="2017"/>
      <c r="AI1" s="2017"/>
      <c r="AJ1" s="2017"/>
      <c r="AK1" s="2017"/>
      <c r="AL1" s="2017"/>
      <c r="AM1" s="2017"/>
      <c r="AN1" s="2017"/>
      <c r="AO1" s="2017"/>
      <c r="AP1" s="2017"/>
      <c r="AQ1" s="2017"/>
      <c r="AR1" s="2017"/>
      <c r="AS1" s="2017"/>
      <c r="AT1" s="2017"/>
      <c r="AU1" s="2017"/>
      <c r="AV1" s="2151" t="s">
        <v>1871</v>
      </c>
      <c r="AW1" s="2017"/>
      <c r="AX1" s="2017"/>
      <c r="AY1" s="2017"/>
      <c r="AZ1" s="2017"/>
      <c r="BA1" s="2017"/>
      <c r="BB1" s="2017"/>
      <c r="BC1" s="2017"/>
      <c r="BD1" s="2017"/>
      <c r="BE1" s="2017"/>
      <c r="BF1" s="2017"/>
      <c r="BG1" s="2017"/>
      <c r="BH1" s="2017"/>
      <c r="BI1" s="2017"/>
      <c r="BJ1" s="2017"/>
      <c r="BK1" s="2017"/>
      <c r="BL1" s="2017"/>
      <c r="BM1" s="2017"/>
      <c r="BN1" s="2017"/>
      <c r="BO1" s="2017"/>
      <c r="BP1" s="2017"/>
      <c r="BQ1" s="2017"/>
      <c r="BR1" s="2017"/>
      <c r="BS1" s="2017"/>
      <c r="BT1" s="2017"/>
    </row>
    <row r="2" spans="1:72" s="2155" customFormat="1" ht="24">
      <c r="A2" s="11" t="s">
        <v>1872</v>
      </c>
      <c r="B2" s="11" t="s">
        <v>1873</v>
      </c>
      <c r="C2" s="11" t="s">
        <v>1874</v>
      </c>
      <c r="D2" s="2152"/>
      <c r="E2" s="2153"/>
      <c r="F2" s="2154"/>
      <c r="G2" s="2152"/>
      <c r="H2" s="2152"/>
      <c r="I2" s="2152"/>
      <c r="J2" s="2152"/>
      <c r="K2" s="2152"/>
      <c r="L2" s="2152"/>
      <c r="M2" s="2152"/>
      <c r="N2" s="2152"/>
      <c r="O2" s="2152"/>
      <c r="P2" s="2152"/>
      <c r="Q2" s="2152"/>
      <c r="R2" s="2152"/>
      <c r="S2" s="2152"/>
      <c r="T2" s="2152"/>
      <c r="U2" s="2152"/>
      <c r="V2" s="2152"/>
      <c r="W2" s="2152"/>
      <c r="X2" s="2152"/>
      <c r="Y2" s="2152"/>
      <c r="Z2" s="2152"/>
      <c r="AA2" s="2152"/>
      <c r="AB2" s="2152"/>
      <c r="AC2" s="2152"/>
      <c r="AD2" s="2152"/>
      <c r="AE2" s="2152"/>
      <c r="AF2" s="2152"/>
      <c r="AG2" s="2152"/>
      <c r="AH2" s="2152"/>
      <c r="AI2" s="2152"/>
      <c r="AJ2" s="2152"/>
      <c r="AK2" s="2152"/>
      <c r="AL2" s="2152"/>
      <c r="AM2" s="2152"/>
      <c r="AN2" s="2152"/>
      <c r="AO2" s="2152"/>
      <c r="AP2" s="2152"/>
      <c r="AQ2" s="2152"/>
      <c r="AR2" s="2152"/>
      <c r="AS2" s="2152"/>
      <c r="AT2" s="2152"/>
      <c r="AU2" s="2152"/>
      <c r="AV2" s="2152"/>
      <c r="AW2" s="2152"/>
      <c r="AX2" s="2152"/>
      <c r="AY2" s="1257" t="s">
        <v>1875</v>
      </c>
      <c r="AZ2" s="1258" t="s">
        <v>1876</v>
      </c>
      <c r="BA2" s="11" t="s">
        <v>1877</v>
      </c>
      <c r="BB2" s="2152"/>
      <c r="BC2" s="2152"/>
      <c r="BD2" s="2152"/>
      <c r="BE2" s="2152"/>
      <c r="BF2" s="2152"/>
      <c r="BG2" s="2152"/>
      <c r="BH2" s="2152"/>
      <c r="BI2" s="2152"/>
      <c r="BJ2" s="2152"/>
      <c r="BK2" s="2152"/>
      <c r="BL2" s="2152"/>
      <c r="BM2" s="2152"/>
      <c r="BN2" s="2152"/>
      <c r="BO2" s="2152"/>
      <c r="BP2" s="2152"/>
      <c r="BQ2" s="2152"/>
      <c r="BR2" s="2152"/>
      <c r="BS2" s="2152"/>
      <c r="BT2" s="2152"/>
    </row>
    <row r="3" spans="1:72" s="2155" customFormat="1" ht="12.75">
      <c r="A3" s="13">
        <f>面积清单!B3+面积清单!B4</f>
        <v>182783.03999999998</v>
      </c>
      <c r="B3" s="14">
        <f>IF(C3="否",G5-AT5,G5)</f>
        <v>435533.89</v>
      </c>
      <c r="C3" s="2156" t="s">
        <v>1878</v>
      </c>
      <c r="D3" s="2152"/>
      <c r="E3" s="2152"/>
      <c r="F3" s="2152"/>
      <c r="G3" s="2152"/>
      <c r="H3" s="2152"/>
      <c r="I3" s="2152"/>
      <c r="J3" s="2152"/>
      <c r="K3" s="2152"/>
      <c r="L3" s="2152"/>
      <c r="M3" s="2152"/>
      <c r="N3" s="2152"/>
      <c r="O3" s="2152"/>
      <c r="P3" s="2152"/>
      <c r="Q3" s="2152"/>
      <c r="R3" s="2152"/>
      <c r="S3" s="2152"/>
      <c r="T3" s="2152"/>
      <c r="U3" s="2152"/>
      <c r="V3" s="2152"/>
      <c r="W3" s="2152"/>
      <c r="X3" s="2152"/>
      <c r="Y3" s="2152"/>
      <c r="Z3" s="2152"/>
      <c r="AA3" s="2152"/>
      <c r="AB3" s="2152"/>
      <c r="AC3" s="2152"/>
      <c r="AD3" s="2152"/>
      <c r="AE3" s="2152"/>
      <c r="AF3" s="2152"/>
      <c r="AG3" s="2152"/>
      <c r="AH3" s="2152"/>
      <c r="AI3" s="2152"/>
      <c r="AJ3" s="2152"/>
      <c r="AK3" s="2152"/>
      <c r="AL3" s="2152"/>
      <c r="AM3" s="2152"/>
      <c r="AN3" s="2152"/>
      <c r="AO3" s="2152"/>
      <c r="AP3" s="2152"/>
      <c r="AQ3" s="2152"/>
      <c r="AR3" s="2152"/>
      <c r="AS3" s="2152"/>
      <c r="AT3" s="2152"/>
      <c r="AU3" s="2152"/>
      <c r="AV3" s="2152"/>
      <c r="AW3" s="2152"/>
      <c r="AX3" s="2152"/>
      <c r="AY3" s="1259"/>
      <c r="AZ3" s="1260"/>
      <c r="BA3" s="1261"/>
      <c r="BB3" s="2152"/>
      <c r="BC3" s="2152"/>
      <c r="BD3" s="2152"/>
      <c r="BE3" s="2152"/>
      <c r="BF3" s="2152"/>
      <c r="BG3" s="2152"/>
      <c r="BH3" s="2152"/>
      <c r="BI3" s="2152"/>
      <c r="BJ3" s="2152"/>
      <c r="BK3" s="2152"/>
      <c r="BL3" s="2152"/>
      <c r="BM3" s="2152"/>
      <c r="BN3" s="2152"/>
      <c r="BO3" s="2152"/>
      <c r="BP3" s="2152"/>
      <c r="BQ3" s="2152"/>
      <c r="BR3" s="2152"/>
      <c r="BS3" s="2152"/>
      <c r="BT3" s="2152"/>
    </row>
    <row r="4" spans="1:72" s="2161" customFormat="1" ht="13.5" thickBot="1">
      <c r="A4" s="2157"/>
      <c r="B4" s="2158"/>
      <c r="C4" s="2159"/>
      <c r="D4" s="2152"/>
      <c r="E4" s="2152"/>
      <c r="F4" s="2152"/>
      <c r="G4" s="2152"/>
      <c r="H4" s="2152"/>
      <c r="I4" s="2152"/>
      <c r="J4" s="2152"/>
      <c r="K4" s="2152"/>
      <c r="L4" s="2152"/>
      <c r="M4" s="2152"/>
      <c r="N4" s="2152"/>
      <c r="O4" s="2152"/>
      <c r="P4" s="2152"/>
      <c r="Q4" s="2152"/>
      <c r="R4" s="2152"/>
      <c r="S4" s="2152"/>
      <c r="T4" s="2152"/>
      <c r="U4" s="2152"/>
      <c r="V4" s="2152"/>
      <c r="W4" s="2152"/>
      <c r="X4" s="2152"/>
      <c r="Y4" s="2152"/>
      <c r="Z4" s="2152"/>
      <c r="AA4" s="2152"/>
      <c r="AB4" s="2152"/>
      <c r="AC4" s="2152"/>
      <c r="AD4" s="2152"/>
      <c r="AE4" s="2152"/>
      <c r="AF4" s="2152"/>
      <c r="AG4" s="2152"/>
      <c r="AH4" s="2152"/>
      <c r="AI4" s="2152"/>
      <c r="AJ4" s="2152"/>
      <c r="AK4" s="2152"/>
      <c r="AL4" s="2152"/>
      <c r="AM4" s="2152"/>
      <c r="AN4" s="2152"/>
      <c r="AO4" s="2152"/>
      <c r="AP4" s="2152"/>
      <c r="AQ4" s="2152"/>
      <c r="AR4" s="2152"/>
      <c r="AS4" s="2152"/>
      <c r="AT4" s="2152"/>
      <c r="AU4" s="2152"/>
      <c r="AV4" s="2152"/>
      <c r="AW4" s="2152"/>
      <c r="AX4" s="2152"/>
      <c r="AY4" s="2152"/>
      <c r="AZ4" s="2152"/>
      <c r="BA4" s="2160"/>
      <c r="BB4" s="2152"/>
      <c r="BC4" s="2152"/>
      <c r="BD4" s="2152"/>
      <c r="BE4" s="2152"/>
      <c r="BF4" s="2152"/>
      <c r="BG4" s="2152"/>
      <c r="BH4" s="2152"/>
      <c r="BI4" s="2152"/>
      <c r="BJ4" s="2152"/>
      <c r="BK4" s="2152"/>
      <c r="BL4" s="2152"/>
      <c r="BM4" s="2152"/>
      <c r="BN4" s="2152"/>
      <c r="BO4" s="2152"/>
      <c r="BP4" s="2152"/>
      <c r="BQ4" s="2152"/>
      <c r="BR4" s="2152"/>
      <c r="BS4" s="2152"/>
      <c r="BT4" s="2152"/>
    </row>
    <row r="5" spans="1:72" s="2155" customFormat="1" ht="12.75">
      <c r="A5" s="15" t="s">
        <v>1879</v>
      </c>
      <c r="B5" s="1790"/>
      <c r="C5" s="1790"/>
      <c r="D5" s="1793"/>
      <c r="E5" s="16" t="s">
        <v>1</v>
      </c>
      <c r="F5" s="16">
        <f>SUM(F13:F587)</f>
        <v>0</v>
      </c>
      <c r="G5" s="16">
        <f>SUM(G13:G587)</f>
        <v>435533.89</v>
      </c>
      <c r="H5" s="16">
        <f t="shared" ref="H5:AT5" si="0">SUM(H13:H656)</f>
        <v>435533.89</v>
      </c>
      <c r="I5" s="16">
        <f t="shared" si="0"/>
        <v>435533.89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89"/>
      <c r="AV5" s="15" t="s">
        <v>1879</v>
      </c>
      <c r="AW5" s="1790"/>
      <c r="AX5" s="1790"/>
      <c r="AY5" s="17" t="s">
        <v>3</v>
      </c>
      <c r="AZ5" s="18">
        <f t="shared" ref="AZ5:BT5" si="1">SUM(AZ13:AZ656)</f>
        <v>20428.607999999997</v>
      </c>
      <c r="BA5" s="18">
        <f t="shared" si="1"/>
        <v>20428.607999999997</v>
      </c>
      <c r="BB5" s="18">
        <f t="shared" si="1"/>
        <v>20428.607999999997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5" customFormat="1" ht="12.75">
      <c r="A6" s="15" t="s">
        <v>1880</v>
      </c>
      <c r="B6" s="2162"/>
      <c r="C6" s="2162"/>
      <c r="D6" s="2163"/>
      <c r="E6" s="16">
        <f>H6+AC6+AT6</f>
        <v>182783.04</v>
      </c>
      <c r="F6" s="16" t="s">
        <v>1</v>
      </c>
      <c r="G6" s="16" t="s">
        <v>2</v>
      </c>
      <c r="H6" s="20">
        <f>SUMIF(I$12:AB$12,"总值",I6:AB6)</f>
        <v>182783.04</v>
      </c>
      <c r="I6" s="16">
        <f t="shared" ref="I6:AB6" si="2">ROUND($A$3*I5/$B$3,2)</f>
        <v>182783.04</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4"/>
      <c r="AV6" s="15" t="s">
        <v>1880</v>
      </c>
      <c r="AW6" s="2162"/>
      <c r="AX6" s="2162"/>
      <c r="AY6" s="21">
        <f>IF(AY3&gt;0,AY3,ROUND($A$3*AZ5/$B$3,2))</f>
        <v>8573.39</v>
      </c>
      <c r="AZ6" s="16" t="s">
        <v>3</v>
      </c>
      <c r="BA6" s="16">
        <f>ROUND($AY$6*BA5/$AZ$5,2)</f>
        <v>8573.39</v>
      </c>
      <c r="BB6" s="16">
        <f>ROUND($AY$6*BB5/$AZ$5,2)</f>
        <v>8573.39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5" customFormat="1" ht="24.75">
      <c r="A7" s="2097" t="s">
        <v>1881</v>
      </c>
      <c r="B7" s="2097" t="s">
        <v>1882</v>
      </c>
      <c r="C7" s="2097" t="s">
        <v>1883</v>
      </c>
      <c r="D7" s="2097" t="s">
        <v>1884</v>
      </c>
      <c r="E7" s="2097" t="s">
        <v>1885</v>
      </c>
      <c r="F7" s="2097" t="s">
        <v>1886</v>
      </c>
      <c r="G7" s="2166" t="s">
        <v>1887</v>
      </c>
      <c r="H7" s="2167"/>
      <c r="I7" s="2167"/>
      <c r="J7" s="2167"/>
      <c r="K7" s="2167"/>
      <c r="L7" s="2167"/>
      <c r="M7" s="2167"/>
      <c r="N7" s="2167"/>
      <c r="O7" s="2167"/>
      <c r="P7" s="2167"/>
      <c r="Q7" s="2167"/>
      <c r="R7" s="2167"/>
      <c r="S7" s="2167"/>
      <c r="T7" s="2167"/>
      <c r="U7" s="2167"/>
      <c r="V7" s="2167"/>
      <c r="W7" s="2167"/>
      <c r="X7" s="2167"/>
      <c r="Y7" s="2167"/>
      <c r="Z7" s="2167"/>
      <c r="AA7" s="2167"/>
      <c r="AB7" s="2167"/>
      <c r="AC7" s="2167"/>
      <c r="AD7" s="2167"/>
      <c r="AE7" s="2167"/>
      <c r="AF7" s="2167"/>
      <c r="AG7" s="2167"/>
      <c r="AH7" s="2167"/>
      <c r="AI7" s="2167"/>
      <c r="AJ7" s="2167"/>
      <c r="AK7" s="2167"/>
      <c r="AL7" s="2167"/>
      <c r="AM7" s="2167"/>
      <c r="AN7" s="2167"/>
      <c r="AO7" s="2167"/>
      <c r="AP7" s="2167"/>
      <c r="AQ7" s="2167"/>
      <c r="AR7" s="2167"/>
      <c r="AS7" s="2167"/>
      <c r="AT7" s="1793"/>
      <c r="AU7" s="2167" t="s">
        <v>1888</v>
      </c>
      <c r="AV7" s="23" t="s">
        <v>1889</v>
      </c>
      <c r="AW7" s="2154" t="s">
        <v>1890</v>
      </c>
      <c r="AX7" s="23" t="s">
        <v>1883</v>
      </c>
      <c r="AY7" s="1790" t="s">
        <v>1891</v>
      </c>
      <c r="AZ7" s="2168"/>
      <c r="BA7" s="2167"/>
      <c r="BB7" s="2167"/>
      <c r="BC7" s="2167"/>
      <c r="BD7" s="2167"/>
      <c r="BE7" s="2167"/>
      <c r="BF7" s="2167"/>
      <c r="BG7" s="2167"/>
      <c r="BH7" s="2167"/>
      <c r="BI7" s="2167"/>
      <c r="BJ7" s="2167"/>
      <c r="BK7" s="2167"/>
      <c r="BL7" s="2167"/>
      <c r="BM7" s="2167"/>
      <c r="BN7" s="2167"/>
      <c r="BO7" s="2167"/>
      <c r="BP7" s="2167"/>
      <c r="BQ7" s="2167"/>
      <c r="BR7" s="2167"/>
      <c r="BS7" s="2167"/>
      <c r="BT7" s="2169"/>
    </row>
    <row r="8" spans="1:72" s="2177" customFormat="1" ht="24">
      <c r="A8" s="2170"/>
      <c r="B8" s="2170"/>
      <c r="C8" s="2170"/>
      <c r="D8" s="2170"/>
      <c r="E8" s="2170"/>
      <c r="F8" s="2170"/>
      <c r="G8" s="2171" t="s">
        <v>1892</v>
      </c>
      <c r="H8" s="2172" t="s">
        <v>1893</v>
      </c>
      <c r="I8" s="2173"/>
      <c r="J8" s="1805"/>
      <c r="K8" s="1805"/>
      <c r="L8" s="1805"/>
      <c r="M8" s="1805"/>
      <c r="N8" s="1805"/>
      <c r="O8" s="1805"/>
      <c r="P8" s="1805"/>
      <c r="Q8" s="1805"/>
      <c r="R8" s="1805"/>
      <c r="S8" s="1805"/>
      <c r="T8" s="1805"/>
      <c r="U8" s="1805"/>
      <c r="V8" s="2174"/>
      <c r="W8" s="1805"/>
      <c r="X8" s="1805"/>
      <c r="Y8" s="1805"/>
      <c r="Z8" s="1805"/>
      <c r="AA8" s="2174"/>
      <c r="AB8" s="2175"/>
      <c r="AC8" s="970" t="s">
        <v>1894</v>
      </c>
      <c r="AD8" s="2176"/>
      <c r="AE8" s="2168"/>
      <c r="AF8" s="1805"/>
      <c r="AG8" s="1805"/>
      <c r="AH8" s="1805"/>
      <c r="AI8" s="1805"/>
      <c r="AJ8" s="1805"/>
      <c r="AK8" s="1805"/>
      <c r="AL8" s="1805"/>
      <c r="AM8" s="1805"/>
      <c r="AN8" s="1805"/>
      <c r="AO8" s="1805"/>
      <c r="AP8" s="1805"/>
      <c r="AQ8" s="1805"/>
      <c r="AR8" s="1805"/>
      <c r="AS8" s="1805"/>
      <c r="AT8" s="1280" t="s">
        <v>1895</v>
      </c>
      <c r="AU8" s="2170" t="s">
        <v>1896</v>
      </c>
      <c r="AV8" s="1280"/>
      <c r="AW8" s="2153"/>
      <c r="AX8" s="1280"/>
      <c r="AY8" s="2154" t="s">
        <v>1897</v>
      </c>
      <c r="AZ8" s="1804" t="s">
        <v>1898</v>
      </c>
      <c r="BA8" s="1805"/>
      <c r="BB8" s="1805"/>
      <c r="BC8" s="1805"/>
      <c r="BD8" s="1805"/>
      <c r="BE8" s="1805"/>
      <c r="BF8" s="1805"/>
      <c r="BG8" s="1805"/>
      <c r="BH8" s="1805"/>
      <c r="BI8" s="1805"/>
      <c r="BJ8" s="1805"/>
      <c r="BK8" s="1805"/>
      <c r="BL8" s="1805"/>
      <c r="BM8" s="1805"/>
      <c r="BN8" s="1805"/>
      <c r="BO8" s="1805"/>
      <c r="BP8" s="1805"/>
      <c r="BQ8" s="1805"/>
      <c r="BR8" s="1805"/>
      <c r="BS8" s="1805"/>
      <c r="BT8" s="26"/>
    </row>
    <row r="9" spans="1:72" s="2177" customFormat="1" ht="12.75">
      <c r="A9" s="2170"/>
      <c r="B9" s="2170"/>
      <c r="C9" s="2170"/>
      <c r="D9" s="2170"/>
      <c r="E9" s="2170"/>
      <c r="F9" s="2170"/>
      <c r="G9" s="1280"/>
      <c r="H9" s="2178" t="s">
        <v>1899</v>
      </c>
      <c r="I9" s="2179" t="s">
        <v>3040</v>
      </c>
      <c r="J9" s="970"/>
      <c r="K9" s="2179"/>
      <c r="L9" s="970"/>
      <c r="M9" s="2179"/>
      <c r="N9" s="970"/>
      <c r="O9" s="2179"/>
      <c r="P9" s="970"/>
      <c r="Q9" s="2179"/>
      <c r="R9" s="970"/>
      <c r="S9" s="2179"/>
      <c r="T9" s="970"/>
      <c r="U9" s="2179"/>
      <c r="V9" s="970"/>
      <c r="W9" s="2179"/>
      <c r="X9" s="2180"/>
      <c r="Y9" s="2179"/>
      <c r="Z9" s="970"/>
      <c r="AA9" s="2179"/>
      <c r="AB9" s="970"/>
      <c r="AC9" s="2171" t="s">
        <v>1899</v>
      </c>
      <c r="AD9" s="15" t="s">
        <v>1900</v>
      </c>
      <c r="AE9" s="1286"/>
      <c r="AF9" s="15" t="s">
        <v>1901</v>
      </c>
      <c r="AG9" s="1286"/>
      <c r="AH9" s="15" t="s">
        <v>1900</v>
      </c>
      <c r="AI9" s="1286"/>
      <c r="AJ9" s="15" t="s">
        <v>1901</v>
      </c>
      <c r="AK9" s="1286"/>
      <c r="AL9" s="15" t="s">
        <v>1900</v>
      </c>
      <c r="AM9" s="1286"/>
      <c r="AN9" s="15" t="s">
        <v>1901</v>
      </c>
      <c r="AO9" s="1286"/>
      <c r="AP9" s="15" t="s">
        <v>1900</v>
      </c>
      <c r="AQ9" s="1286"/>
      <c r="AR9" s="15" t="s">
        <v>1901</v>
      </c>
      <c r="AS9" s="2181"/>
      <c r="AT9" s="2170"/>
      <c r="AU9" s="2170" t="s">
        <v>1902</v>
      </c>
      <c r="AV9" s="1280"/>
      <c r="AW9" s="2153"/>
      <c r="AX9" s="1280"/>
      <c r="AY9" s="28"/>
      <c r="AZ9" s="28" t="s">
        <v>1892</v>
      </c>
      <c r="BA9" s="2182" t="s">
        <v>1903</v>
      </c>
      <c r="BB9" s="2183"/>
      <c r="BC9" s="1326"/>
      <c r="BD9" s="1326"/>
      <c r="BE9" s="1326"/>
      <c r="BF9" s="1326"/>
      <c r="BG9" s="1326"/>
      <c r="BH9" s="1326"/>
      <c r="BI9" s="1326"/>
      <c r="BJ9" s="1326"/>
      <c r="BK9" s="2184"/>
      <c r="BL9" s="15" t="s">
        <v>1904</v>
      </c>
      <c r="BM9" s="1805"/>
      <c r="BN9" s="2173"/>
      <c r="BO9" s="1805"/>
      <c r="BP9" s="1805"/>
      <c r="BQ9" s="1805"/>
      <c r="BR9" s="1805"/>
      <c r="BS9" s="1805"/>
      <c r="BT9" s="26"/>
    </row>
    <row r="10" spans="1:72" s="2177" customFormat="1" ht="12.75">
      <c r="A10" s="2170"/>
      <c r="B10" s="2170"/>
      <c r="C10" s="2170"/>
      <c r="D10" s="2170"/>
      <c r="E10" s="2170"/>
      <c r="F10" s="2170"/>
      <c r="G10" s="1280"/>
      <c r="H10" s="28"/>
      <c r="I10" s="2179" t="s">
        <v>1377</v>
      </c>
      <c r="J10" s="970"/>
      <c r="K10" s="2185"/>
      <c r="L10" s="970"/>
      <c r="M10" s="2185"/>
      <c r="N10" s="970"/>
      <c r="O10" s="2185"/>
      <c r="P10" s="970"/>
      <c r="Q10" s="2185"/>
      <c r="R10" s="970"/>
      <c r="S10" s="2185"/>
      <c r="T10" s="970"/>
      <c r="U10" s="2185"/>
      <c r="V10" s="970"/>
      <c r="W10" s="2185"/>
      <c r="X10" s="970"/>
      <c r="Y10" s="2185"/>
      <c r="Z10" s="970"/>
      <c r="AA10" s="2185"/>
      <c r="AB10" s="970"/>
      <c r="AC10" s="1280"/>
      <c r="AD10" s="15" t="s">
        <v>1905</v>
      </c>
      <c r="AE10" s="2186"/>
      <c r="AF10" s="15" t="s">
        <v>1905</v>
      </c>
      <c r="AG10" s="2186"/>
      <c r="AH10" s="15" t="s">
        <v>1906</v>
      </c>
      <c r="AI10" s="2186"/>
      <c r="AJ10" s="15" t="s">
        <v>1906</v>
      </c>
      <c r="AK10" s="2186"/>
      <c r="AL10" s="15" t="s">
        <v>1907</v>
      </c>
      <c r="AM10" s="1286"/>
      <c r="AN10" s="15" t="s">
        <v>1907</v>
      </c>
      <c r="AO10" s="1286"/>
      <c r="AP10" s="15" t="s">
        <v>1908</v>
      </c>
      <c r="AQ10" s="1286"/>
      <c r="AR10" s="15" t="s">
        <v>1908</v>
      </c>
      <c r="AS10" s="1286"/>
      <c r="AT10" s="2170"/>
      <c r="AU10" s="2170"/>
      <c r="AV10" s="1280"/>
      <c r="AW10" s="2153"/>
      <c r="AX10" s="1280"/>
      <c r="AY10" s="28"/>
      <c r="AZ10" s="28"/>
      <c r="BA10" s="2187" t="s">
        <v>1899</v>
      </c>
      <c r="BB10" s="2188" t="str">
        <f>I9</f>
        <v>地上</v>
      </c>
      <c r="BC10" s="29">
        <f>K9</f>
        <v>0</v>
      </c>
      <c r="BD10" s="29">
        <f>M9</f>
        <v>0</v>
      </c>
      <c r="BE10" s="29">
        <f>O9</f>
        <v>0</v>
      </c>
      <c r="BF10" s="29">
        <f>Q9</f>
        <v>0</v>
      </c>
      <c r="BG10" s="29">
        <f>S9</f>
        <v>0</v>
      </c>
      <c r="BH10" s="29">
        <f>U9</f>
        <v>0</v>
      </c>
      <c r="BI10" s="29">
        <f>W9</f>
        <v>0</v>
      </c>
      <c r="BJ10" s="29">
        <f>Y9</f>
        <v>0</v>
      </c>
      <c r="BK10" s="29">
        <f>AA9</f>
        <v>0</v>
      </c>
      <c r="BL10" s="25" t="s">
        <v>1899</v>
      </c>
      <c r="BM10" s="1804" t="str">
        <f>AD9</f>
        <v>地上</v>
      </c>
      <c r="BN10" s="29" t="str">
        <f>AF9</f>
        <v>地下</v>
      </c>
      <c r="BO10" s="1804" t="str">
        <f>AH9</f>
        <v>地上</v>
      </c>
      <c r="BP10" s="29" t="str">
        <f>AJ9</f>
        <v>地下</v>
      </c>
      <c r="BQ10" s="1804" t="str">
        <f>AL9</f>
        <v>地上</v>
      </c>
      <c r="BR10" s="29" t="str">
        <f>AN9</f>
        <v>地下</v>
      </c>
      <c r="BS10" s="1804" t="str">
        <f>AP9</f>
        <v>地上</v>
      </c>
      <c r="BT10" s="2189" t="str">
        <f>AR9</f>
        <v>地下</v>
      </c>
    </row>
    <row r="11" spans="1:72" s="2177" customFormat="1" ht="12.75">
      <c r="A11" s="2170"/>
      <c r="B11" s="2170"/>
      <c r="C11" s="2170"/>
      <c r="D11" s="2170"/>
      <c r="E11" s="2170"/>
      <c r="F11" s="2170"/>
      <c r="G11" s="1280"/>
      <c r="H11" s="2187"/>
      <c r="I11" s="2190"/>
      <c r="J11" s="2191"/>
      <c r="K11" s="2190"/>
      <c r="L11" s="2191"/>
      <c r="M11" s="2190"/>
      <c r="N11" s="2191"/>
      <c r="O11" s="2190"/>
      <c r="P11" s="2191"/>
      <c r="Q11" s="2190"/>
      <c r="R11" s="2191"/>
      <c r="S11" s="2190"/>
      <c r="T11" s="2191"/>
      <c r="U11" s="2190"/>
      <c r="V11" s="2191"/>
      <c r="W11" s="2190"/>
      <c r="X11" s="2191"/>
      <c r="Y11" s="2190"/>
      <c r="Z11" s="2191"/>
      <c r="AA11" s="2190"/>
      <c r="AB11" s="2191"/>
      <c r="AC11" s="1280"/>
      <c r="AD11" s="2192" t="s">
        <v>1909</v>
      </c>
      <c r="AE11" s="1806"/>
      <c r="AF11" s="2192" t="s">
        <v>1909</v>
      </c>
      <c r="AG11" s="1806"/>
      <c r="AH11" s="2192" t="s">
        <v>1910</v>
      </c>
      <c r="AI11" s="2193"/>
      <c r="AJ11" s="2192" t="s">
        <v>1910</v>
      </c>
      <c r="AK11" s="1806"/>
      <c r="AL11" s="1804"/>
      <c r="AM11" s="1806"/>
      <c r="AN11" s="1804"/>
      <c r="AO11" s="1806"/>
      <c r="AP11" s="1804"/>
      <c r="AQ11" s="1806"/>
      <c r="AR11" s="1804"/>
      <c r="AS11" s="1806"/>
      <c r="AT11" s="2153"/>
      <c r="AU11" s="2170"/>
      <c r="AV11" s="1280"/>
      <c r="AW11" s="2153"/>
      <c r="AX11" s="1280"/>
      <c r="AY11" s="28"/>
      <c r="AZ11" s="28"/>
      <c r="BA11" s="28"/>
      <c r="BB11" s="2175" t="str">
        <f>I10</f>
        <v>商业</v>
      </c>
      <c r="BC11" s="2175">
        <f>K10</f>
        <v>0</v>
      </c>
      <c r="BD11" s="2175">
        <f>M10</f>
        <v>0</v>
      </c>
      <c r="BE11" s="2175">
        <f>O10</f>
        <v>0</v>
      </c>
      <c r="BF11" s="2175">
        <f>Q10</f>
        <v>0</v>
      </c>
      <c r="BG11" s="2175">
        <f>S10</f>
        <v>0</v>
      </c>
      <c r="BH11" s="2175">
        <f>U10</f>
        <v>0</v>
      </c>
      <c r="BI11" s="2175">
        <f>W10</f>
        <v>0</v>
      </c>
      <c r="BJ11" s="2175">
        <f>Y10</f>
        <v>0</v>
      </c>
      <c r="BK11" s="2175">
        <f>AA10</f>
        <v>0</v>
      </c>
      <c r="BL11" s="1280"/>
      <c r="BM11" s="1804" t="str">
        <f>AD10</f>
        <v>公共配套设施</v>
      </c>
      <c r="BN11" s="1804" t="str">
        <f>AF10</f>
        <v>公共配套设施</v>
      </c>
      <c r="BO11" s="24" t="str">
        <f>AH10</f>
        <v>物业管理用房</v>
      </c>
      <c r="BP11" s="24" t="str">
        <f>AJ10</f>
        <v>物业管理用房</v>
      </c>
      <c r="BQ11" s="24" t="str">
        <f>AL10</f>
        <v>设备及其他</v>
      </c>
      <c r="BR11" s="24" t="str">
        <f>AN10</f>
        <v>设备及其他</v>
      </c>
      <c r="BS11" s="25" t="str">
        <f>AP10</f>
        <v>未注明</v>
      </c>
      <c r="BT11" s="2194" t="str">
        <f>AR10</f>
        <v>未注明</v>
      </c>
    </row>
    <row r="12" spans="1:72" s="2155" customFormat="1" ht="12.75">
      <c r="A12" s="2195"/>
      <c r="B12" s="2195"/>
      <c r="C12" s="2195"/>
      <c r="D12" s="2195"/>
      <c r="E12" s="2195"/>
      <c r="F12" s="2195"/>
      <c r="G12" s="30"/>
      <c r="H12" s="2196"/>
      <c r="I12" s="1793"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789" t="s">
        <v>1912</v>
      </c>
      <c r="W12" s="11" t="s">
        <v>1911</v>
      </c>
      <c r="X12" s="11" t="s">
        <v>1912</v>
      </c>
      <c r="Y12" s="11" t="s">
        <v>1911</v>
      </c>
      <c r="Z12" s="11" t="s">
        <v>1912</v>
      </c>
      <c r="AA12" s="11" t="s">
        <v>1911</v>
      </c>
      <c r="AB12" s="11" t="s">
        <v>1912</v>
      </c>
      <c r="AC12" s="2197"/>
      <c r="AD12" s="1793"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195" t="s">
        <v>1912</v>
      </c>
      <c r="AT12" s="2198"/>
      <c r="AU12" s="2195"/>
      <c r="AV12" s="31"/>
      <c r="AW12" s="2154"/>
      <c r="AX12" s="31"/>
      <c r="AY12" s="2199"/>
      <c r="AZ12" s="28"/>
      <c r="BA12" s="2187"/>
      <c r="BB12" s="24">
        <f>I11</f>
        <v>0</v>
      </c>
      <c r="BC12" s="2200">
        <f>K11</f>
        <v>0</v>
      </c>
      <c r="BD12" s="2200">
        <f>M11</f>
        <v>0</v>
      </c>
      <c r="BE12" s="2175">
        <f>O11</f>
        <v>0</v>
      </c>
      <c r="BF12" s="2175">
        <f>Q11</f>
        <v>0</v>
      </c>
      <c r="BG12" s="2175">
        <f>S11</f>
        <v>0</v>
      </c>
      <c r="BH12" s="2175">
        <f>U11</f>
        <v>0</v>
      </c>
      <c r="BI12" s="2175">
        <f>W11</f>
        <v>0</v>
      </c>
      <c r="BJ12" s="2175">
        <f>Y11</f>
        <v>0</v>
      </c>
      <c r="BK12" s="2175">
        <f>AA11</f>
        <v>0</v>
      </c>
      <c r="BL12" s="1280"/>
      <c r="BM12" s="1804" t="str">
        <f>AD11</f>
        <v>（住宅）</v>
      </c>
      <c r="BN12" s="1804" t="str">
        <f>AF11</f>
        <v>（住宅）</v>
      </c>
      <c r="BO12" s="24" t="str">
        <f>AH11</f>
        <v>（住宅、计出让金）</v>
      </c>
      <c r="BP12" s="24" t="str">
        <f>AJ11</f>
        <v>（住宅、计出让金）</v>
      </c>
      <c r="BQ12" s="24">
        <f>AL11</f>
        <v>0</v>
      </c>
      <c r="BR12" s="24">
        <f>AN11</f>
        <v>0</v>
      </c>
      <c r="BS12" s="25">
        <f>AP11</f>
        <v>0</v>
      </c>
      <c r="BT12" s="2194">
        <f>AR11</f>
        <v>0</v>
      </c>
    </row>
    <row r="13" spans="1:72" s="2155" customFormat="1" ht="12.75">
      <c r="A13" s="1260"/>
      <c r="B13" s="1260"/>
      <c r="C13" s="2988" t="s">
        <v>3789</v>
      </c>
      <c r="D13" s="2201" t="s">
        <v>3039</v>
      </c>
      <c r="E13" s="16">
        <f>IF($C$3="是",ROUND($A$3*G13/$B$3,2),ROUND($A$3*(G13-AT13)/$B$3,2))</f>
        <v>8573.39</v>
      </c>
      <c r="F13" s="32"/>
      <c r="G13" s="33">
        <f>H13+AC13+AT13</f>
        <v>20428.607999999997</v>
      </c>
      <c r="H13" s="20">
        <f>SUMIF(I$12:AB$12,"总值",I13:AB13)</f>
        <v>20428.607999999997</v>
      </c>
      <c r="I13" s="2976">
        <f>抵押物清单!E230</f>
        <v>20428.607999999997</v>
      </c>
      <c r="J13" s="2976"/>
      <c r="K13" s="2976"/>
      <c r="L13" s="2976"/>
      <c r="M13" s="2976"/>
      <c r="N13" s="2976"/>
      <c r="O13" s="2976"/>
      <c r="P13" s="2976"/>
      <c r="Q13" s="2202"/>
      <c r="R13" s="2202"/>
      <c r="S13" s="2202"/>
      <c r="T13" s="2202"/>
      <c r="U13" s="2202"/>
      <c r="V13" s="2202"/>
      <c r="W13" s="2202"/>
      <c r="X13" s="2202"/>
      <c r="Y13" s="2202"/>
      <c r="Z13" s="2202"/>
      <c r="AA13" s="2202"/>
      <c r="AB13" s="2202"/>
      <c r="AC13" s="16">
        <f>SUMIF(AD$12:AS$12,"总值",AD13:AS13)</f>
        <v>0</v>
      </c>
      <c r="AD13" s="2203"/>
      <c r="AE13" s="2203"/>
      <c r="AF13" s="2203"/>
      <c r="AG13" s="2203"/>
      <c r="AH13" s="2203"/>
      <c r="AI13" s="2203"/>
      <c r="AJ13" s="2203"/>
      <c r="AK13" s="2203"/>
      <c r="AL13" s="2978"/>
      <c r="AM13" s="2978"/>
      <c r="AN13" s="2978"/>
      <c r="AO13" s="2978"/>
      <c r="AP13" s="2978"/>
      <c r="AQ13" s="2978"/>
      <c r="AR13" s="2978"/>
      <c r="AS13" s="2203"/>
      <c r="AT13" s="2204"/>
      <c r="AU13" s="2205"/>
      <c r="AV13" s="11">
        <f t="shared" ref="AV13:AX17" si="6">A13</f>
        <v>0</v>
      </c>
      <c r="AW13" s="11">
        <f t="shared" si="6"/>
        <v>0</v>
      </c>
      <c r="AX13" s="11" t="str">
        <f t="shared" si="6"/>
        <v>抵押物商业</v>
      </c>
      <c r="AY13" s="1793">
        <f>ROUND($AY$6*AZ13/$AZ$5,2)</f>
        <v>8573.39</v>
      </c>
      <c r="AZ13" s="16">
        <f>BA13+BL13</f>
        <v>20428.607999999997</v>
      </c>
      <c r="BA13" s="16">
        <f>SUM(BB13:BK13)</f>
        <v>20428.607999999997</v>
      </c>
      <c r="BB13" s="16">
        <f>IF($D13="是",I13-J13,0)</f>
        <v>20428.607999999997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5" customFormat="1" ht="12.75">
      <c r="A14" s="1260"/>
      <c r="B14" s="1260"/>
      <c r="C14" s="2988" t="s">
        <v>3790</v>
      </c>
      <c r="D14" s="2201" t="s">
        <v>3791</v>
      </c>
      <c r="E14" s="16">
        <f>IF($C$3="是",ROUND($A$3*G14/$B$3,2),ROUND($A$3*(G14-AT14)/$B$3,2))</f>
        <v>174209.65</v>
      </c>
      <c r="F14" s="32"/>
      <c r="G14" s="33">
        <f>H14+AC14+AT14</f>
        <v>415105.28200000001</v>
      </c>
      <c r="H14" s="20">
        <f>SUMIF(I$12:AB$12,"总值",I14:AB14)</f>
        <v>415105.28200000001</v>
      </c>
      <c r="I14" s="2976">
        <f>面积清单!L28-I13</f>
        <v>415105.28200000001</v>
      </c>
      <c r="J14" s="2976"/>
      <c r="K14" s="2976"/>
      <c r="L14" s="2976"/>
      <c r="M14" s="2976"/>
      <c r="N14" s="2976"/>
      <c r="O14" s="2976"/>
      <c r="P14" s="2976"/>
      <c r="Q14" s="2202"/>
      <c r="R14" s="2202"/>
      <c r="S14" s="2202"/>
      <c r="T14" s="2202"/>
      <c r="U14" s="2202"/>
      <c r="V14" s="2202"/>
      <c r="W14" s="2202"/>
      <c r="X14" s="2202"/>
      <c r="Y14" s="2202"/>
      <c r="Z14" s="2202"/>
      <c r="AA14" s="2202"/>
      <c r="AB14" s="2202"/>
      <c r="AC14" s="16">
        <f>SUMIF(AD$12:AS$12,"总值",AD14:AS14)</f>
        <v>0</v>
      </c>
      <c r="AD14" s="2203"/>
      <c r="AE14" s="2203"/>
      <c r="AF14" s="2203"/>
      <c r="AG14" s="2203"/>
      <c r="AH14" s="2203"/>
      <c r="AI14" s="2203"/>
      <c r="AJ14" s="2203"/>
      <c r="AK14" s="2203"/>
      <c r="AL14" s="2978"/>
      <c r="AM14" s="2978"/>
      <c r="AN14" s="2978"/>
      <c r="AO14" s="2978"/>
      <c r="AP14" s="2978"/>
      <c r="AQ14" s="2978"/>
      <c r="AR14" s="2978"/>
      <c r="AS14" s="2203"/>
      <c r="AT14" s="2204"/>
      <c r="AU14" s="2205"/>
      <c r="AV14" s="11">
        <f t="shared" si="6"/>
        <v>0</v>
      </c>
      <c r="AW14" s="11">
        <f t="shared" si="6"/>
        <v>0</v>
      </c>
      <c r="AX14" s="11" t="str">
        <f t="shared" si="6"/>
        <v>其余面积</v>
      </c>
      <c r="AY14" s="179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5" customFormat="1" ht="12.75">
      <c r="A15" s="1260"/>
      <c r="B15" s="1260"/>
      <c r="C15" s="2988"/>
      <c r="D15" s="2201"/>
      <c r="E15" s="16">
        <f>IF($C$3="是",ROUND($A$3*G15/$B$3,2),ROUND($A$3*(G15-AT15)/$B$3,2))</f>
        <v>0</v>
      </c>
      <c r="F15" s="32"/>
      <c r="G15" s="33">
        <f>H15+AC15+AT15</f>
        <v>0</v>
      </c>
      <c r="H15" s="20">
        <f>SUMIF(I$12:AB$12,"总值",I15:AB15)</f>
        <v>0</v>
      </c>
      <c r="I15" s="2976"/>
      <c r="J15" s="2976"/>
      <c r="K15" s="2976"/>
      <c r="L15" s="2976"/>
      <c r="M15" s="2976"/>
      <c r="N15" s="2976"/>
      <c r="O15" s="2976"/>
      <c r="P15" s="2976"/>
      <c r="Q15" s="2202"/>
      <c r="R15" s="2202"/>
      <c r="S15" s="2202"/>
      <c r="T15" s="2202"/>
      <c r="U15" s="2202"/>
      <c r="V15" s="2202"/>
      <c r="W15" s="2202"/>
      <c r="X15" s="2202"/>
      <c r="Y15" s="2202"/>
      <c r="Z15" s="2202"/>
      <c r="AA15" s="2202"/>
      <c r="AB15" s="2202"/>
      <c r="AC15" s="16">
        <f>SUMIF(AD$12:AS$12,"总值",AD15:AS15)</f>
        <v>0</v>
      </c>
      <c r="AD15" s="2203"/>
      <c r="AE15" s="2203"/>
      <c r="AF15" s="2203"/>
      <c r="AG15" s="2203"/>
      <c r="AH15" s="2203"/>
      <c r="AI15" s="2203"/>
      <c r="AJ15" s="2203"/>
      <c r="AK15" s="2203"/>
      <c r="AL15" s="2978"/>
      <c r="AM15" s="2978"/>
      <c r="AN15" s="2978"/>
      <c r="AO15" s="2978"/>
      <c r="AP15" s="2978"/>
      <c r="AQ15" s="2978"/>
      <c r="AR15" s="2978"/>
      <c r="AS15" s="2203"/>
      <c r="AT15" s="2204"/>
      <c r="AU15" s="2205"/>
      <c r="AV15" s="11">
        <f t="shared" si="6"/>
        <v>0</v>
      </c>
      <c r="AW15" s="11">
        <f t="shared" si="6"/>
        <v>0</v>
      </c>
      <c r="AX15" s="11">
        <f t="shared" si="6"/>
        <v>0</v>
      </c>
      <c r="AY15" s="179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5" customFormat="1" ht="12.75">
      <c r="A16" s="1260"/>
      <c r="B16" s="1260"/>
      <c r="C16" s="2988"/>
      <c r="D16" s="2201"/>
      <c r="E16" s="16">
        <f>IF($C$3="是",ROUND($A$3*G16/$B$3,2),ROUND($A$3*(G16-AT16)/$B$3,2))</f>
        <v>0</v>
      </c>
      <c r="F16" s="32"/>
      <c r="G16" s="33">
        <f>H16+AC16+AT16</f>
        <v>0</v>
      </c>
      <c r="H16" s="20">
        <f>SUMIF(I$12:AB$12,"总值",I16:AB16)</f>
        <v>0</v>
      </c>
      <c r="I16" s="2976"/>
      <c r="J16" s="2976"/>
      <c r="K16" s="2976"/>
      <c r="L16" s="2976"/>
      <c r="M16" s="2976"/>
      <c r="N16" s="2976"/>
      <c r="O16" s="2976"/>
      <c r="P16" s="2976"/>
      <c r="Q16" s="2202"/>
      <c r="R16" s="2202"/>
      <c r="S16" s="2202"/>
      <c r="T16" s="2202"/>
      <c r="U16" s="2202"/>
      <c r="V16" s="2202"/>
      <c r="W16" s="2202"/>
      <c r="X16" s="2202"/>
      <c r="Y16" s="2202"/>
      <c r="Z16" s="2202"/>
      <c r="AA16" s="2202"/>
      <c r="AB16" s="2202"/>
      <c r="AC16" s="16">
        <f>SUMIF(AD$12:AS$12,"总值",AD16:AS16)</f>
        <v>0</v>
      </c>
      <c r="AD16" s="2203"/>
      <c r="AE16" s="2203"/>
      <c r="AF16" s="2203"/>
      <c r="AG16" s="2203"/>
      <c r="AH16" s="2203"/>
      <c r="AI16" s="2203"/>
      <c r="AJ16" s="2203"/>
      <c r="AK16" s="2203"/>
      <c r="AL16" s="2978"/>
      <c r="AM16" s="2978"/>
      <c r="AN16" s="2978"/>
      <c r="AO16" s="2978"/>
      <c r="AP16" s="2978"/>
      <c r="AQ16" s="2978"/>
      <c r="AR16" s="2978"/>
      <c r="AS16" s="2203"/>
      <c r="AT16" s="2204"/>
      <c r="AU16" s="2205"/>
      <c r="AV16" s="11">
        <f t="shared" si="6"/>
        <v>0</v>
      </c>
      <c r="AW16" s="11">
        <f t="shared" si="6"/>
        <v>0</v>
      </c>
      <c r="AX16" s="11">
        <f t="shared" si="6"/>
        <v>0</v>
      </c>
      <c r="AY16" s="179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5" customFormat="1" ht="12.75">
      <c r="A17" s="1260"/>
      <c r="B17" s="1260"/>
      <c r="C17" s="2988"/>
      <c r="D17" s="2201"/>
      <c r="E17" s="16">
        <f>IF($C$3="是",ROUND($A$3*G17/$B$3,2),ROUND($A$3*(G17-AT17)/$B$3,2))</f>
        <v>0</v>
      </c>
      <c r="F17" s="32"/>
      <c r="G17" s="33">
        <f>H17+AC17+AT17</f>
        <v>0</v>
      </c>
      <c r="H17" s="20">
        <f>SUMIF(I$12:AB$12,"总值",I17:AB17)</f>
        <v>0</v>
      </c>
      <c r="I17" s="2976"/>
      <c r="J17" s="2976"/>
      <c r="K17" s="2976"/>
      <c r="L17" s="2976"/>
      <c r="M17" s="2976"/>
      <c r="N17" s="2976"/>
      <c r="O17" s="2976"/>
      <c r="P17" s="2976"/>
      <c r="Q17" s="2202"/>
      <c r="R17" s="2202"/>
      <c r="S17" s="2202"/>
      <c r="T17" s="2202"/>
      <c r="U17" s="2202"/>
      <c r="V17" s="2202"/>
      <c r="W17" s="2202"/>
      <c r="X17" s="2202"/>
      <c r="Y17" s="2202"/>
      <c r="Z17" s="2202"/>
      <c r="AA17" s="2202"/>
      <c r="AB17" s="2202"/>
      <c r="AC17" s="16">
        <f>SUMIF(AD$12:AS$12,"总值",AD17:AS17)</f>
        <v>0</v>
      </c>
      <c r="AD17" s="2978"/>
      <c r="AE17" s="2203"/>
      <c r="AF17" s="2203"/>
      <c r="AG17" s="2203"/>
      <c r="AH17" s="2203"/>
      <c r="AI17" s="2203"/>
      <c r="AJ17" s="2203"/>
      <c r="AK17" s="2203"/>
      <c r="AL17" s="2978"/>
      <c r="AM17" s="2978"/>
      <c r="AN17" s="2978"/>
      <c r="AO17" s="2978"/>
      <c r="AP17" s="2978"/>
      <c r="AQ17" s="2978"/>
      <c r="AR17" s="2978"/>
      <c r="AS17" s="2203"/>
      <c r="AT17" s="2204"/>
      <c r="AU17" s="2205"/>
      <c r="AV17" s="11">
        <f t="shared" si="6"/>
        <v>0</v>
      </c>
      <c r="AW17" s="11">
        <f t="shared" si="6"/>
        <v>0</v>
      </c>
      <c r="AX17" s="11">
        <f t="shared" si="6"/>
        <v>0</v>
      </c>
      <c r="AY17" s="179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88"/>
      <c r="D18" s="2201"/>
      <c r="E18" s="35">
        <f t="shared" ref="E18:E112" si="7">IF($C$3="是",ROUND($A$3*G18/$B$3,2),ROUND($A$3*(G18-AT18)/$B$3,2))</f>
        <v>0</v>
      </c>
      <c r="F18" s="36"/>
      <c r="G18" s="37">
        <f t="shared" ref="G18:G109" si="8">H18+AC18+AT18</f>
        <v>0</v>
      </c>
      <c r="H18" s="38">
        <f t="shared" ref="H18:H109" si="9">SUMIF(I$12:AB$12,"总值",I18:AB18)</f>
        <v>0</v>
      </c>
      <c r="I18" s="2977"/>
      <c r="J18" s="2977"/>
      <c r="K18" s="2977"/>
      <c r="L18" s="2977"/>
      <c r="M18" s="2976"/>
      <c r="N18" s="2977"/>
      <c r="O18" s="2977"/>
      <c r="P18" s="2977"/>
      <c r="Q18" s="39"/>
      <c r="R18" s="39"/>
      <c r="S18" s="39"/>
      <c r="T18" s="39"/>
      <c r="U18" s="39"/>
      <c r="V18" s="39"/>
      <c r="W18" s="39"/>
      <c r="X18" s="39"/>
      <c r="Y18" s="39"/>
      <c r="Z18" s="39"/>
      <c r="AA18" s="39"/>
      <c r="AB18" s="39"/>
      <c r="AC18" s="35">
        <f t="shared" ref="AC18:AC109" si="10">SUMIF(AD$12:AS$12,"总值",AD18:AS18)</f>
        <v>0</v>
      </c>
      <c r="AD18" s="2979"/>
      <c r="AE18" s="40"/>
      <c r="AF18" s="40"/>
      <c r="AG18" s="40"/>
      <c r="AH18" s="40"/>
      <c r="AI18" s="40"/>
      <c r="AJ18" s="40"/>
      <c r="AK18" s="40"/>
      <c r="AL18" s="2979"/>
      <c r="AM18" s="2979"/>
      <c r="AN18" s="2979"/>
      <c r="AO18" s="2979"/>
      <c r="AP18" s="2979"/>
      <c r="AQ18" s="2979"/>
      <c r="AR18" s="2979"/>
      <c r="AS18" s="40"/>
      <c r="AT18" s="41"/>
      <c r="AU18" s="2207"/>
      <c r="AV18" s="1782">
        <f t="shared" ref="AV18:AV112" si="11">A18</f>
        <v>0</v>
      </c>
      <c r="AW18" s="1782">
        <f t="shared" ref="AW18:AW112" si="12">B18</f>
        <v>0</v>
      </c>
      <c r="AX18" s="178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89"/>
      <c r="D19" s="2201"/>
      <c r="E19" s="35">
        <f t="shared" si="7"/>
        <v>0</v>
      </c>
      <c r="F19" s="36"/>
      <c r="G19" s="37">
        <f t="shared" si="8"/>
        <v>0</v>
      </c>
      <c r="H19" s="38">
        <f t="shared" si="9"/>
        <v>0</v>
      </c>
      <c r="I19" s="2977"/>
      <c r="J19" s="2977"/>
      <c r="K19" s="2977"/>
      <c r="L19" s="2977"/>
      <c r="M19" s="2977"/>
      <c r="N19" s="2977"/>
      <c r="O19" s="2976"/>
      <c r="P19" s="2977"/>
      <c r="Q19" s="39"/>
      <c r="R19" s="39"/>
      <c r="S19" s="39"/>
      <c r="T19" s="39"/>
      <c r="U19" s="39"/>
      <c r="V19" s="39"/>
      <c r="W19" s="39"/>
      <c r="X19" s="39"/>
      <c r="Y19" s="39"/>
      <c r="Z19" s="39"/>
      <c r="AA19" s="39"/>
      <c r="AB19" s="39"/>
      <c r="AC19" s="35">
        <f t="shared" si="10"/>
        <v>0</v>
      </c>
      <c r="AD19" s="2979"/>
      <c r="AE19" s="40"/>
      <c r="AF19" s="40"/>
      <c r="AG19" s="40"/>
      <c r="AH19" s="40"/>
      <c r="AI19" s="40"/>
      <c r="AJ19" s="40"/>
      <c r="AK19" s="40"/>
      <c r="AL19" s="2979"/>
      <c r="AM19" s="2979"/>
      <c r="AN19" s="2979"/>
      <c r="AO19" s="2979"/>
      <c r="AP19" s="2979"/>
      <c r="AQ19" s="2979"/>
      <c r="AR19" s="2979"/>
      <c r="AS19" s="40"/>
      <c r="AT19" s="41"/>
      <c r="AU19" s="2207"/>
      <c r="AV19" s="1782">
        <f t="shared" si="11"/>
        <v>0</v>
      </c>
      <c r="AW19" s="1782">
        <f t="shared" si="12"/>
        <v>0</v>
      </c>
      <c r="AX19" s="178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74"/>
      <c r="D20" s="2201"/>
      <c r="E20" s="35">
        <f t="shared" si="7"/>
        <v>0</v>
      </c>
      <c r="F20" s="36"/>
      <c r="G20" s="37">
        <f t="shared" si="8"/>
        <v>0</v>
      </c>
      <c r="H20" s="38">
        <f t="shared" si="9"/>
        <v>0</v>
      </c>
      <c r="I20" s="2977"/>
      <c r="J20" s="2977"/>
      <c r="K20" s="2977"/>
      <c r="L20" s="2977"/>
      <c r="M20" s="2977"/>
      <c r="N20" s="2977"/>
      <c r="O20" s="2977"/>
      <c r="P20" s="2977"/>
      <c r="Q20" s="39"/>
      <c r="R20" s="39"/>
      <c r="S20" s="39"/>
      <c r="T20" s="39"/>
      <c r="U20" s="39"/>
      <c r="V20" s="39"/>
      <c r="W20" s="39"/>
      <c r="X20" s="39"/>
      <c r="Y20" s="39"/>
      <c r="Z20" s="39"/>
      <c r="AA20" s="39"/>
      <c r="AB20" s="39"/>
      <c r="AC20" s="35">
        <f t="shared" si="10"/>
        <v>0</v>
      </c>
      <c r="AD20" s="2979"/>
      <c r="AE20" s="40"/>
      <c r="AF20" s="40"/>
      <c r="AG20" s="40"/>
      <c r="AH20" s="40"/>
      <c r="AI20" s="40"/>
      <c r="AJ20" s="40"/>
      <c r="AK20" s="40"/>
      <c r="AL20" s="2979"/>
      <c r="AM20" s="2979"/>
      <c r="AN20" s="2979"/>
      <c r="AO20" s="2979"/>
      <c r="AP20" s="2979"/>
      <c r="AQ20" s="2979"/>
      <c r="AR20" s="2979"/>
      <c r="AS20" s="40"/>
      <c r="AT20" s="41"/>
      <c r="AU20" s="2207"/>
      <c r="AV20" s="1782">
        <f t="shared" si="11"/>
        <v>0</v>
      </c>
      <c r="AW20" s="1782">
        <f t="shared" si="12"/>
        <v>0</v>
      </c>
      <c r="AX20" s="178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2989"/>
      <c r="D21" s="2201"/>
      <c r="E21" s="35">
        <f t="shared" si="7"/>
        <v>0</v>
      </c>
      <c r="F21" s="36"/>
      <c r="G21" s="37">
        <f t="shared" si="8"/>
        <v>0</v>
      </c>
      <c r="H21" s="38">
        <f t="shared" si="9"/>
        <v>0</v>
      </c>
      <c r="I21" s="2977"/>
      <c r="J21" s="2977"/>
      <c r="K21" s="2977"/>
      <c r="L21" s="2977"/>
      <c r="M21" s="2977"/>
      <c r="N21" s="2977"/>
      <c r="O21" s="2977"/>
      <c r="P21" s="2977"/>
      <c r="Q21" s="39"/>
      <c r="R21" s="39"/>
      <c r="S21" s="39"/>
      <c r="T21" s="39"/>
      <c r="U21" s="39"/>
      <c r="V21" s="39"/>
      <c r="W21" s="39"/>
      <c r="X21" s="39"/>
      <c r="Y21" s="39"/>
      <c r="Z21" s="39"/>
      <c r="AA21" s="39"/>
      <c r="AB21" s="39"/>
      <c r="AC21" s="35">
        <f t="shared" si="10"/>
        <v>0</v>
      </c>
      <c r="AD21" s="2979"/>
      <c r="AE21" s="40"/>
      <c r="AF21" s="40"/>
      <c r="AG21" s="40"/>
      <c r="AH21" s="40"/>
      <c r="AI21" s="40"/>
      <c r="AJ21" s="40"/>
      <c r="AK21" s="40"/>
      <c r="AL21" s="2979"/>
      <c r="AM21" s="2979"/>
      <c r="AN21" s="2979"/>
      <c r="AO21" s="2979"/>
      <c r="AP21" s="2979"/>
      <c r="AQ21" s="2979"/>
      <c r="AR21" s="2979"/>
      <c r="AS21" s="40"/>
      <c r="AT21" s="41"/>
      <c r="AU21" s="2207"/>
      <c r="AV21" s="1782">
        <f t="shared" si="11"/>
        <v>0</v>
      </c>
      <c r="AW21" s="1782">
        <f t="shared" si="12"/>
        <v>0</v>
      </c>
      <c r="AX21" s="178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2990"/>
      <c r="D22" s="220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2979"/>
      <c r="AE22" s="40"/>
      <c r="AF22" s="40"/>
      <c r="AG22" s="40"/>
      <c r="AH22" s="40"/>
      <c r="AI22" s="40"/>
      <c r="AJ22" s="40"/>
      <c r="AK22" s="40"/>
      <c r="AL22" s="40"/>
      <c r="AM22" s="40"/>
      <c r="AN22" s="40"/>
      <c r="AO22" s="40"/>
      <c r="AP22" s="40"/>
      <c r="AQ22" s="40"/>
      <c r="AR22" s="40"/>
      <c r="AS22" s="40"/>
      <c r="AT22" s="41"/>
      <c r="AU22" s="2207"/>
      <c r="AV22" s="1782">
        <f t="shared" si="11"/>
        <v>0</v>
      </c>
      <c r="AW22" s="1782">
        <f t="shared" si="12"/>
        <v>0</v>
      </c>
      <c r="AX22" s="178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2990"/>
      <c r="D23" s="220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2979"/>
      <c r="AE23" s="40"/>
      <c r="AF23" s="40"/>
      <c r="AG23" s="40"/>
      <c r="AH23" s="40"/>
      <c r="AI23" s="40"/>
      <c r="AJ23" s="40"/>
      <c r="AK23" s="40"/>
      <c r="AL23" s="40"/>
      <c r="AM23" s="40"/>
      <c r="AN23" s="40"/>
      <c r="AO23" s="40"/>
      <c r="AP23" s="40"/>
      <c r="AQ23" s="40"/>
      <c r="AR23" s="40"/>
      <c r="AS23" s="40"/>
      <c r="AT23" s="41"/>
      <c r="AU23" s="2207"/>
      <c r="AV23" s="1782">
        <f t="shared" si="11"/>
        <v>0</v>
      </c>
      <c r="AW23" s="1782">
        <f t="shared" si="12"/>
        <v>0</v>
      </c>
      <c r="AX23" s="178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7"/>
      <c r="AV24" s="1782">
        <f t="shared" si="11"/>
        <v>0</v>
      </c>
      <c r="AW24" s="1782">
        <f t="shared" si="12"/>
        <v>0</v>
      </c>
      <c r="AX24" s="178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7"/>
      <c r="AV25" s="1782">
        <f t="shared" si="11"/>
        <v>0</v>
      </c>
      <c r="AW25" s="1782">
        <f t="shared" si="12"/>
        <v>0</v>
      </c>
      <c r="AX25" s="178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7"/>
      <c r="AV26" s="1782">
        <f t="shared" si="11"/>
        <v>0</v>
      </c>
      <c r="AW26" s="1782">
        <f t="shared" si="12"/>
        <v>0</v>
      </c>
      <c r="AX26" s="178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7"/>
      <c r="AV27" s="1782">
        <f t="shared" si="11"/>
        <v>0</v>
      </c>
      <c r="AW27" s="1782">
        <f t="shared" si="12"/>
        <v>0</v>
      </c>
      <c r="AX27" s="178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7"/>
      <c r="AV28" s="1782">
        <f t="shared" si="11"/>
        <v>0</v>
      </c>
      <c r="AW28" s="1782">
        <f t="shared" si="12"/>
        <v>0</v>
      </c>
      <c r="AX28" s="178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7"/>
      <c r="AV29" s="1782">
        <f t="shared" si="11"/>
        <v>0</v>
      </c>
      <c r="AW29" s="1782">
        <f t="shared" si="12"/>
        <v>0</v>
      </c>
      <c r="AX29" s="178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7"/>
      <c r="AV30" s="1782">
        <f t="shared" si="11"/>
        <v>0</v>
      </c>
      <c r="AW30" s="1782">
        <f t="shared" si="12"/>
        <v>0</v>
      </c>
      <c r="AX30" s="178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7"/>
      <c r="AV31" s="1782">
        <f t="shared" si="11"/>
        <v>0</v>
      </c>
      <c r="AW31" s="1782">
        <f t="shared" si="12"/>
        <v>0</v>
      </c>
      <c r="AX31" s="178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7"/>
      <c r="AV32" s="1782">
        <f t="shared" si="11"/>
        <v>0</v>
      </c>
      <c r="AW32" s="1782">
        <f t="shared" si="12"/>
        <v>0</v>
      </c>
      <c r="AX32" s="178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7"/>
      <c r="AV33" s="1782">
        <f t="shared" si="11"/>
        <v>0</v>
      </c>
      <c r="AW33" s="1782">
        <f t="shared" si="12"/>
        <v>0</v>
      </c>
      <c r="AX33" s="178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7"/>
      <c r="AV34" s="1782">
        <f t="shared" si="11"/>
        <v>0</v>
      </c>
      <c r="AW34" s="1782">
        <f t="shared" si="12"/>
        <v>0</v>
      </c>
      <c r="AX34" s="178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7"/>
      <c r="AV35" s="1782">
        <f t="shared" si="11"/>
        <v>0</v>
      </c>
      <c r="AW35" s="1782">
        <f t="shared" si="12"/>
        <v>0</v>
      </c>
      <c r="AX35" s="178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7"/>
      <c r="AV36" s="1782">
        <f t="shared" si="11"/>
        <v>0</v>
      </c>
      <c r="AW36" s="1782">
        <f t="shared" si="12"/>
        <v>0</v>
      </c>
      <c r="AX36" s="178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7"/>
      <c r="AV37" s="1782">
        <f t="shared" si="11"/>
        <v>0</v>
      </c>
      <c r="AW37" s="1782">
        <f t="shared" si="12"/>
        <v>0</v>
      </c>
      <c r="AX37" s="178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7"/>
      <c r="AV38" s="1782">
        <f t="shared" si="11"/>
        <v>0</v>
      </c>
      <c r="AW38" s="1782">
        <f t="shared" si="12"/>
        <v>0</v>
      </c>
      <c r="AX38" s="178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7"/>
      <c r="AV39" s="1782">
        <f t="shared" si="11"/>
        <v>0</v>
      </c>
      <c r="AW39" s="1782">
        <f t="shared" si="12"/>
        <v>0</v>
      </c>
      <c r="AX39" s="178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7"/>
      <c r="AV40" s="1782">
        <f t="shared" si="11"/>
        <v>0</v>
      </c>
      <c r="AW40" s="1782">
        <f t="shared" si="12"/>
        <v>0</v>
      </c>
      <c r="AX40" s="178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7"/>
      <c r="AV41" s="1782">
        <f t="shared" si="11"/>
        <v>0</v>
      </c>
      <c r="AW41" s="1782">
        <f t="shared" si="12"/>
        <v>0</v>
      </c>
      <c r="AX41" s="178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7"/>
      <c r="AV42" s="1782">
        <f t="shared" si="11"/>
        <v>0</v>
      </c>
      <c r="AW42" s="1782">
        <f t="shared" si="12"/>
        <v>0</v>
      </c>
      <c r="AX42" s="178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7"/>
      <c r="AV43" s="1782">
        <f t="shared" si="11"/>
        <v>0</v>
      </c>
      <c r="AW43" s="1782">
        <f t="shared" si="12"/>
        <v>0</v>
      </c>
      <c r="AX43" s="178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7"/>
      <c r="AV44" s="1782">
        <f t="shared" si="11"/>
        <v>0</v>
      </c>
      <c r="AW44" s="1782">
        <f t="shared" si="12"/>
        <v>0</v>
      </c>
      <c r="AX44" s="178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7"/>
      <c r="AV45" s="1782">
        <f t="shared" si="11"/>
        <v>0</v>
      </c>
      <c r="AW45" s="1782">
        <f t="shared" si="12"/>
        <v>0</v>
      </c>
      <c r="AX45" s="178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7"/>
      <c r="AV46" s="1782">
        <f t="shared" si="11"/>
        <v>0</v>
      </c>
      <c r="AW46" s="1782">
        <f t="shared" si="12"/>
        <v>0</v>
      </c>
      <c r="AX46" s="178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7"/>
      <c r="AV47" s="1782">
        <f t="shared" si="11"/>
        <v>0</v>
      </c>
      <c r="AW47" s="1782">
        <f t="shared" si="12"/>
        <v>0</v>
      </c>
      <c r="AX47" s="178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7"/>
      <c r="AV48" s="1782">
        <f t="shared" si="11"/>
        <v>0</v>
      </c>
      <c r="AW48" s="1782">
        <f t="shared" si="12"/>
        <v>0</v>
      </c>
      <c r="AX48" s="178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7"/>
      <c r="AV49" s="1782">
        <f t="shared" si="11"/>
        <v>0</v>
      </c>
      <c r="AW49" s="1782">
        <f t="shared" si="12"/>
        <v>0</v>
      </c>
      <c r="AX49" s="178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7"/>
      <c r="AV50" s="1782">
        <f t="shared" si="11"/>
        <v>0</v>
      </c>
      <c r="AW50" s="1782">
        <f t="shared" si="12"/>
        <v>0</v>
      </c>
      <c r="AX50" s="178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7"/>
      <c r="AV51" s="1782">
        <f t="shared" si="11"/>
        <v>0</v>
      </c>
      <c r="AW51" s="1782">
        <f t="shared" si="12"/>
        <v>0</v>
      </c>
      <c r="AX51" s="178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7"/>
      <c r="AV52" s="1782">
        <f t="shared" si="11"/>
        <v>0</v>
      </c>
      <c r="AW52" s="1782">
        <f t="shared" si="12"/>
        <v>0</v>
      </c>
      <c r="AX52" s="178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7"/>
      <c r="AV53" s="1782">
        <f t="shared" si="11"/>
        <v>0</v>
      </c>
      <c r="AW53" s="1782">
        <f t="shared" si="12"/>
        <v>0</v>
      </c>
      <c r="AX53" s="178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7"/>
      <c r="AV54" s="1782">
        <f t="shared" si="11"/>
        <v>0</v>
      </c>
      <c r="AW54" s="1782">
        <f t="shared" si="12"/>
        <v>0</v>
      </c>
      <c r="AX54" s="178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7"/>
      <c r="AV55" s="1782">
        <f t="shared" si="11"/>
        <v>0</v>
      </c>
      <c r="AW55" s="1782">
        <f t="shared" si="12"/>
        <v>0</v>
      </c>
      <c r="AX55" s="178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7"/>
      <c r="AV56" s="1782">
        <f t="shared" si="11"/>
        <v>0</v>
      </c>
      <c r="AW56" s="1782">
        <f t="shared" si="12"/>
        <v>0</v>
      </c>
      <c r="AX56" s="178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7"/>
      <c r="AV57" s="1782">
        <f t="shared" si="11"/>
        <v>0</v>
      </c>
      <c r="AW57" s="1782">
        <f t="shared" si="12"/>
        <v>0</v>
      </c>
      <c r="AX57" s="178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7"/>
      <c r="AV58" s="1782">
        <f t="shared" si="11"/>
        <v>0</v>
      </c>
      <c r="AW58" s="1782">
        <f t="shared" si="12"/>
        <v>0</v>
      </c>
      <c r="AX58" s="178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7"/>
      <c r="AV59" s="1782">
        <f t="shared" si="11"/>
        <v>0</v>
      </c>
      <c r="AW59" s="1782">
        <f t="shared" si="12"/>
        <v>0</v>
      </c>
      <c r="AX59" s="178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7"/>
      <c r="AV60" s="1782">
        <f t="shared" si="11"/>
        <v>0</v>
      </c>
      <c r="AW60" s="1782">
        <f t="shared" si="12"/>
        <v>0</v>
      </c>
      <c r="AX60" s="178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7"/>
      <c r="AV61" s="1782">
        <f t="shared" si="11"/>
        <v>0</v>
      </c>
      <c r="AW61" s="1782">
        <f t="shared" si="12"/>
        <v>0</v>
      </c>
      <c r="AX61" s="178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7"/>
      <c r="AV62" s="1782">
        <f t="shared" si="11"/>
        <v>0</v>
      </c>
      <c r="AW62" s="1782">
        <f t="shared" si="12"/>
        <v>0</v>
      </c>
      <c r="AX62" s="178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7"/>
      <c r="AV63" s="1782">
        <f t="shared" si="11"/>
        <v>0</v>
      </c>
      <c r="AW63" s="1782">
        <f t="shared" si="12"/>
        <v>0</v>
      </c>
      <c r="AX63" s="178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7"/>
      <c r="AV64" s="1782">
        <f t="shared" si="11"/>
        <v>0</v>
      </c>
      <c r="AW64" s="1782">
        <f t="shared" si="12"/>
        <v>0</v>
      </c>
      <c r="AX64" s="178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7"/>
      <c r="AV65" s="1782">
        <f t="shared" si="11"/>
        <v>0</v>
      </c>
      <c r="AW65" s="1782">
        <f t="shared" si="12"/>
        <v>0</v>
      </c>
      <c r="AX65" s="178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7"/>
      <c r="AV66" s="1782">
        <f t="shared" si="11"/>
        <v>0</v>
      </c>
      <c r="AW66" s="1782">
        <f t="shared" si="12"/>
        <v>0</v>
      </c>
      <c r="AX66" s="178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7"/>
      <c r="AV67" s="1782">
        <f t="shared" si="11"/>
        <v>0</v>
      </c>
      <c r="AW67" s="1782">
        <f t="shared" si="12"/>
        <v>0</v>
      </c>
      <c r="AX67" s="178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7"/>
      <c r="AV68" s="1782">
        <f t="shared" si="11"/>
        <v>0</v>
      </c>
      <c r="AW68" s="1782">
        <f t="shared" si="12"/>
        <v>0</v>
      </c>
      <c r="AX68" s="178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7"/>
      <c r="AV69" s="1782">
        <f t="shared" si="11"/>
        <v>0</v>
      </c>
      <c r="AW69" s="1782">
        <f t="shared" si="12"/>
        <v>0</v>
      </c>
      <c r="AX69" s="178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7"/>
      <c r="AV70" s="1782">
        <f t="shared" si="11"/>
        <v>0</v>
      </c>
      <c r="AW70" s="1782">
        <f t="shared" si="12"/>
        <v>0</v>
      </c>
      <c r="AX70" s="178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7"/>
      <c r="AV71" s="1782">
        <f t="shared" si="11"/>
        <v>0</v>
      </c>
      <c r="AW71" s="1782">
        <f t="shared" si="12"/>
        <v>0</v>
      </c>
      <c r="AX71" s="178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7"/>
      <c r="AV72" s="1782">
        <f t="shared" si="11"/>
        <v>0</v>
      </c>
      <c r="AW72" s="1782">
        <f t="shared" si="12"/>
        <v>0</v>
      </c>
      <c r="AX72" s="178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7"/>
      <c r="AV73" s="1782">
        <f t="shared" si="11"/>
        <v>0</v>
      </c>
      <c r="AW73" s="1782">
        <f t="shared" si="12"/>
        <v>0</v>
      </c>
      <c r="AX73" s="178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7"/>
      <c r="AV74" s="1782">
        <f t="shared" si="11"/>
        <v>0</v>
      </c>
      <c r="AW74" s="1782">
        <f t="shared" si="12"/>
        <v>0</v>
      </c>
      <c r="AX74" s="178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7"/>
      <c r="AV75" s="1782">
        <f t="shared" si="11"/>
        <v>0</v>
      </c>
      <c r="AW75" s="1782">
        <f t="shared" si="12"/>
        <v>0</v>
      </c>
      <c r="AX75" s="178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7"/>
      <c r="AV76" s="1782">
        <f t="shared" si="11"/>
        <v>0</v>
      </c>
      <c r="AW76" s="1782">
        <f t="shared" si="12"/>
        <v>0</v>
      </c>
      <c r="AX76" s="178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7"/>
      <c r="AV77" s="1782">
        <f t="shared" si="11"/>
        <v>0</v>
      </c>
      <c r="AW77" s="1782">
        <f t="shared" si="12"/>
        <v>0</v>
      </c>
      <c r="AX77" s="178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7"/>
      <c r="AV78" s="1782">
        <f t="shared" si="11"/>
        <v>0</v>
      </c>
      <c r="AW78" s="1782">
        <f t="shared" si="12"/>
        <v>0</v>
      </c>
      <c r="AX78" s="178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7"/>
      <c r="AV79" s="1782">
        <f t="shared" si="11"/>
        <v>0</v>
      </c>
      <c r="AW79" s="1782">
        <f t="shared" si="12"/>
        <v>0</v>
      </c>
      <c r="AX79" s="178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7"/>
      <c r="AV80" s="1782">
        <f t="shared" si="11"/>
        <v>0</v>
      </c>
      <c r="AW80" s="1782">
        <f t="shared" si="12"/>
        <v>0</v>
      </c>
      <c r="AX80" s="178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7"/>
      <c r="AV81" s="1782">
        <f t="shared" si="11"/>
        <v>0</v>
      </c>
      <c r="AW81" s="1782">
        <f t="shared" si="12"/>
        <v>0</v>
      </c>
      <c r="AX81" s="178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7"/>
      <c r="AV82" s="1782">
        <f t="shared" si="11"/>
        <v>0</v>
      </c>
      <c r="AW82" s="1782">
        <f t="shared" si="12"/>
        <v>0</v>
      </c>
      <c r="AX82" s="178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7"/>
      <c r="AV83" s="1782">
        <f t="shared" si="11"/>
        <v>0</v>
      </c>
      <c r="AW83" s="1782">
        <f t="shared" si="12"/>
        <v>0</v>
      </c>
      <c r="AX83" s="178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7"/>
      <c r="AV84" s="1782">
        <f t="shared" si="11"/>
        <v>0</v>
      </c>
      <c r="AW84" s="1782">
        <f t="shared" si="12"/>
        <v>0</v>
      </c>
      <c r="AX84" s="178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7"/>
      <c r="AV85" s="1782">
        <f t="shared" si="11"/>
        <v>0</v>
      </c>
      <c r="AW85" s="1782">
        <f t="shared" si="12"/>
        <v>0</v>
      </c>
      <c r="AX85" s="178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7"/>
      <c r="AV86" s="1782">
        <f t="shared" si="11"/>
        <v>0</v>
      </c>
      <c r="AW86" s="1782">
        <f t="shared" si="12"/>
        <v>0</v>
      </c>
      <c r="AX86" s="178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7"/>
      <c r="AV87" s="1782">
        <f t="shared" si="11"/>
        <v>0</v>
      </c>
      <c r="AW87" s="1782">
        <f t="shared" si="12"/>
        <v>0</v>
      </c>
      <c r="AX87" s="178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7"/>
      <c r="AV88" s="1782">
        <f t="shared" si="11"/>
        <v>0</v>
      </c>
      <c r="AW88" s="1782">
        <f t="shared" si="12"/>
        <v>0</v>
      </c>
      <c r="AX88" s="178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7"/>
      <c r="AV89" s="1782">
        <f t="shared" si="11"/>
        <v>0</v>
      </c>
      <c r="AW89" s="1782">
        <f t="shared" si="12"/>
        <v>0</v>
      </c>
      <c r="AX89" s="178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7"/>
      <c r="AV90" s="1782">
        <f t="shared" si="11"/>
        <v>0</v>
      </c>
      <c r="AW90" s="1782">
        <f t="shared" si="12"/>
        <v>0</v>
      </c>
      <c r="AX90" s="178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7"/>
      <c r="AV91" s="1782">
        <f t="shared" si="11"/>
        <v>0</v>
      </c>
      <c r="AW91" s="1782">
        <f t="shared" si="12"/>
        <v>0</v>
      </c>
      <c r="AX91" s="178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7"/>
      <c r="AV92" s="1782">
        <f t="shared" si="11"/>
        <v>0</v>
      </c>
      <c r="AW92" s="1782">
        <f t="shared" si="12"/>
        <v>0</v>
      </c>
      <c r="AX92" s="178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7"/>
      <c r="AV93" s="1782">
        <f t="shared" si="11"/>
        <v>0</v>
      </c>
      <c r="AW93" s="1782">
        <f t="shared" si="12"/>
        <v>0</v>
      </c>
      <c r="AX93" s="178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7"/>
      <c r="AV94" s="1782">
        <f t="shared" si="11"/>
        <v>0</v>
      </c>
      <c r="AW94" s="1782">
        <f t="shared" si="12"/>
        <v>0</v>
      </c>
      <c r="AX94" s="178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7"/>
      <c r="AV95" s="1782">
        <f t="shared" si="11"/>
        <v>0</v>
      </c>
      <c r="AW95" s="1782">
        <f t="shared" si="12"/>
        <v>0</v>
      </c>
      <c r="AX95" s="178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7"/>
      <c r="AV96" s="1782">
        <f t="shared" si="11"/>
        <v>0</v>
      </c>
      <c r="AW96" s="1782">
        <f t="shared" si="12"/>
        <v>0</v>
      </c>
      <c r="AX96" s="178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7"/>
      <c r="AV97" s="1782">
        <f t="shared" si="11"/>
        <v>0</v>
      </c>
      <c r="AW97" s="1782">
        <f t="shared" si="12"/>
        <v>0</v>
      </c>
      <c r="AX97" s="178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7"/>
      <c r="AV98" s="1782">
        <f t="shared" si="11"/>
        <v>0</v>
      </c>
      <c r="AW98" s="1782">
        <f t="shared" si="12"/>
        <v>0</v>
      </c>
      <c r="AX98" s="178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7"/>
      <c r="AV99" s="1782">
        <f t="shared" si="11"/>
        <v>0</v>
      </c>
      <c r="AW99" s="1782">
        <f t="shared" si="12"/>
        <v>0</v>
      </c>
      <c r="AX99" s="178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7"/>
      <c r="AV100" s="1782">
        <f t="shared" si="11"/>
        <v>0</v>
      </c>
      <c r="AW100" s="1782">
        <f t="shared" si="12"/>
        <v>0</v>
      </c>
      <c r="AX100" s="178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7"/>
      <c r="AV101" s="1782">
        <f t="shared" si="11"/>
        <v>0</v>
      </c>
      <c r="AW101" s="1782">
        <f t="shared" si="12"/>
        <v>0</v>
      </c>
      <c r="AX101" s="178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7"/>
      <c r="AV102" s="1782">
        <f t="shared" si="11"/>
        <v>0</v>
      </c>
      <c r="AW102" s="1782">
        <f t="shared" si="12"/>
        <v>0</v>
      </c>
      <c r="AX102" s="178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7"/>
      <c r="AV103" s="1782">
        <f t="shared" si="11"/>
        <v>0</v>
      </c>
      <c r="AW103" s="1782">
        <f t="shared" si="12"/>
        <v>0</v>
      </c>
      <c r="AX103" s="178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7"/>
      <c r="AV104" s="1782">
        <f t="shared" si="11"/>
        <v>0</v>
      </c>
      <c r="AW104" s="1782">
        <f t="shared" si="12"/>
        <v>0</v>
      </c>
      <c r="AX104" s="178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7"/>
      <c r="AV105" s="1782">
        <f t="shared" si="11"/>
        <v>0</v>
      </c>
      <c r="AW105" s="1782">
        <f t="shared" si="12"/>
        <v>0</v>
      </c>
      <c r="AX105" s="178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7"/>
      <c r="AV106" s="1782">
        <f t="shared" si="11"/>
        <v>0</v>
      </c>
      <c r="AW106" s="1782">
        <f t="shared" si="12"/>
        <v>0</v>
      </c>
      <c r="AX106" s="178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7"/>
      <c r="AV107" s="1782">
        <f t="shared" si="11"/>
        <v>0</v>
      </c>
      <c r="AW107" s="1782">
        <f t="shared" si="12"/>
        <v>0</v>
      </c>
      <c r="AX107" s="178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7"/>
      <c r="AV108" s="1782">
        <f t="shared" si="11"/>
        <v>0</v>
      </c>
      <c r="AW108" s="1782">
        <f t="shared" si="12"/>
        <v>0</v>
      </c>
      <c r="AX108" s="178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7"/>
      <c r="AV109" s="1782">
        <f t="shared" si="11"/>
        <v>0</v>
      </c>
      <c r="AW109" s="1782">
        <f t="shared" si="12"/>
        <v>0</v>
      </c>
      <c r="AX109" s="178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2"/>
      <c r="AV110" s="1782">
        <f t="shared" si="11"/>
        <v>0</v>
      </c>
      <c r="AW110" s="1782">
        <f t="shared" si="12"/>
        <v>0</v>
      </c>
      <c r="AX110" s="178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2"/>
      <c r="AV111" s="1782">
        <f t="shared" si="11"/>
        <v>0</v>
      </c>
      <c r="AW111" s="1782">
        <f t="shared" si="12"/>
        <v>0</v>
      </c>
      <c r="AX111" s="178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2"/>
      <c r="AV112" s="1782">
        <f t="shared" si="11"/>
        <v>0</v>
      </c>
      <c r="AW112" s="1782">
        <f t="shared" si="12"/>
        <v>0</v>
      </c>
      <c r="AX112" s="178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7"/>
      <c r="AV113" s="1782">
        <f t="shared" ref="AV113:AV144" si="62">A113</f>
        <v>0</v>
      </c>
      <c r="AW113" s="1782">
        <f t="shared" ref="AW113:AW144" si="63">B113</f>
        <v>0</v>
      </c>
      <c r="AX113" s="178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7"/>
      <c r="AV114" s="1782">
        <f t="shared" si="62"/>
        <v>0</v>
      </c>
      <c r="AW114" s="1782">
        <f t="shared" si="63"/>
        <v>0</v>
      </c>
      <c r="AX114" s="178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7"/>
      <c r="AV115" s="1782">
        <f t="shared" si="62"/>
        <v>0</v>
      </c>
      <c r="AW115" s="1782">
        <f t="shared" si="63"/>
        <v>0</v>
      </c>
      <c r="AX115" s="178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7"/>
      <c r="AV116" s="1782">
        <f t="shared" si="62"/>
        <v>0</v>
      </c>
      <c r="AW116" s="1782">
        <f t="shared" si="63"/>
        <v>0</v>
      </c>
      <c r="AX116" s="178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7"/>
      <c r="AV117" s="1782">
        <f t="shared" si="62"/>
        <v>0</v>
      </c>
      <c r="AW117" s="1782">
        <f t="shared" si="63"/>
        <v>0</v>
      </c>
      <c r="AX117" s="178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7"/>
      <c r="AV118" s="1782">
        <f t="shared" si="62"/>
        <v>0</v>
      </c>
      <c r="AW118" s="1782">
        <f t="shared" si="63"/>
        <v>0</v>
      </c>
      <c r="AX118" s="178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7"/>
      <c r="AV119" s="1782">
        <f t="shared" si="62"/>
        <v>0</v>
      </c>
      <c r="AW119" s="1782">
        <f t="shared" si="63"/>
        <v>0</v>
      </c>
      <c r="AX119" s="178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7"/>
      <c r="AV120" s="1782">
        <f t="shared" si="62"/>
        <v>0</v>
      </c>
      <c r="AW120" s="1782">
        <f t="shared" si="63"/>
        <v>0</v>
      </c>
      <c r="AX120" s="178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7"/>
      <c r="AV121" s="1782">
        <f t="shared" si="62"/>
        <v>0</v>
      </c>
      <c r="AW121" s="1782">
        <f t="shared" si="63"/>
        <v>0</v>
      </c>
      <c r="AX121" s="178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7"/>
      <c r="AV122" s="1782">
        <f t="shared" si="62"/>
        <v>0</v>
      </c>
      <c r="AW122" s="1782">
        <f t="shared" si="63"/>
        <v>0</v>
      </c>
      <c r="AX122" s="178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7"/>
      <c r="AV123" s="1782">
        <f t="shared" si="62"/>
        <v>0</v>
      </c>
      <c r="AW123" s="1782">
        <f t="shared" si="63"/>
        <v>0</v>
      </c>
      <c r="AX123" s="178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7"/>
      <c r="AV124" s="1782">
        <f t="shared" si="62"/>
        <v>0</v>
      </c>
      <c r="AW124" s="1782">
        <f t="shared" si="63"/>
        <v>0</v>
      </c>
      <c r="AX124" s="178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7"/>
      <c r="AV125" s="1782">
        <f t="shared" si="62"/>
        <v>0</v>
      </c>
      <c r="AW125" s="1782">
        <f t="shared" si="63"/>
        <v>0</v>
      </c>
      <c r="AX125" s="178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7"/>
      <c r="AV126" s="1782">
        <f t="shared" si="62"/>
        <v>0</v>
      </c>
      <c r="AW126" s="1782">
        <f t="shared" si="63"/>
        <v>0</v>
      </c>
      <c r="AX126" s="178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7"/>
      <c r="AV127" s="1782">
        <f t="shared" si="62"/>
        <v>0</v>
      </c>
      <c r="AW127" s="1782">
        <f t="shared" si="63"/>
        <v>0</v>
      </c>
      <c r="AX127" s="178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7"/>
      <c r="AV128" s="1782">
        <f t="shared" si="62"/>
        <v>0</v>
      </c>
      <c r="AW128" s="1782">
        <f t="shared" si="63"/>
        <v>0</v>
      </c>
      <c r="AX128" s="178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7"/>
      <c r="AV129" s="1782">
        <f t="shared" si="62"/>
        <v>0</v>
      </c>
      <c r="AW129" s="1782">
        <f t="shared" si="63"/>
        <v>0</v>
      </c>
      <c r="AX129" s="178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7"/>
      <c r="AV130" s="1782">
        <f t="shared" si="62"/>
        <v>0</v>
      </c>
      <c r="AW130" s="1782">
        <f t="shared" si="63"/>
        <v>0</v>
      </c>
      <c r="AX130" s="178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7"/>
      <c r="AV131" s="1782">
        <f t="shared" si="62"/>
        <v>0</v>
      </c>
      <c r="AW131" s="1782">
        <f t="shared" si="63"/>
        <v>0</v>
      </c>
      <c r="AX131" s="178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7"/>
      <c r="AV132" s="1782">
        <f t="shared" si="62"/>
        <v>0</v>
      </c>
      <c r="AW132" s="1782">
        <f t="shared" si="63"/>
        <v>0</v>
      </c>
      <c r="AX132" s="178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7"/>
      <c r="AV133" s="1782">
        <f t="shared" si="62"/>
        <v>0</v>
      </c>
      <c r="AW133" s="1782">
        <f t="shared" si="63"/>
        <v>0</v>
      </c>
      <c r="AX133" s="178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7"/>
      <c r="AV134" s="1782">
        <f t="shared" si="62"/>
        <v>0</v>
      </c>
      <c r="AW134" s="1782">
        <f t="shared" si="63"/>
        <v>0</v>
      </c>
      <c r="AX134" s="178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7"/>
      <c r="AV135" s="1782">
        <f t="shared" si="62"/>
        <v>0</v>
      </c>
      <c r="AW135" s="1782">
        <f t="shared" si="63"/>
        <v>0</v>
      </c>
      <c r="AX135" s="178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7"/>
      <c r="AV136" s="1782">
        <f t="shared" si="62"/>
        <v>0</v>
      </c>
      <c r="AW136" s="1782">
        <f t="shared" si="63"/>
        <v>0</v>
      </c>
      <c r="AX136" s="178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7"/>
      <c r="AV137" s="1782">
        <f t="shared" si="62"/>
        <v>0</v>
      </c>
      <c r="AW137" s="1782">
        <f t="shared" si="63"/>
        <v>0</v>
      </c>
      <c r="AX137" s="178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7"/>
      <c r="AV138" s="1782">
        <f t="shared" si="62"/>
        <v>0</v>
      </c>
      <c r="AW138" s="1782">
        <f t="shared" si="63"/>
        <v>0</v>
      </c>
      <c r="AX138" s="178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7"/>
      <c r="AV139" s="1782">
        <f t="shared" si="62"/>
        <v>0</v>
      </c>
      <c r="AW139" s="1782">
        <f t="shared" si="63"/>
        <v>0</v>
      </c>
      <c r="AX139" s="178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7"/>
      <c r="AV140" s="1782">
        <f t="shared" si="62"/>
        <v>0</v>
      </c>
      <c r="AW140" s="1782">
        <f t="shared" si="63"/>
        <v>0</v>
      </c>
      <c r="AX140" s="178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7"/>
      <c r="AV141" s="1782">
        <f t="shared" si="62"/>
        <v>0</v>
      </c>
      <c r="AW141" s="1782">
        <f t="shared" si="63"/>
        <v>0</v>
      </c>
      <c r="AX141" s="178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7"/>
      <c r="AV142" s="1782">
        <f t="shared" si="62"/>
        <v>0</v>
      </c>
      <c r="AW142" s="1782">
        <f t="shared" si="63"/>
        <v>0</v>
      </c>
      <c r="AX142" s="178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7"/>
      <c r="AV143" s="1782">
        <f t="shared" si="62"/>
        <v>0</v>
      </c>
      <c r="AW143" s="1782">
        <f t="shared" si="63"/>
        <v>0</v>
      </c>
      <c r="AX143" s="178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7"/>
      <c r="AV144" s="1782">
        <f t="shared" si="62"/>
        <v>0</v>
      </c>
      <c r="AW144" s="1782">
        <f t="shared" si="63"/>
        <v>0</v>
      </c>
      <c r="AX144" s="178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7"/>
      <c r="AV145" s="1782">
        <f t="shared" ref="AV145:AV176" si="91">A145</f>
        <v>0</v>
      </c>
      <c r="AW145" s="1782">
        <f t="shared" ref="AW145:AW176" si="92">B145</f>
        <v>0</v>
      </c>
      <c r="AX145" s="178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7"/>
      <c r="AV146" s="1782">
        <f t="shared" si="91"/>
        <v>0</v>
      </c>
      <c r="AW146" s="1782">
        <f t="shared" si="92"/>
        <v>0</v>
      </c>
      <c r="AX146" s="178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7"/>
      <c r="AV147" s="1782">
        <f t="shared" si="91"/>
        <v>0</v>
      </c>
      <c r="AW147" s="1782">
        <f t="shared" si="92"/>
        <v>0</v>
      </c>
      <c r="AX147" s="178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7"/>
      <c r="AV148" s="1782">
        <f t="shared" si="91"/>
        <v>0</v>
      </c>
      <c r="AW148" s="1782">
        <f t="shared" si="92"/>
        <v>0</v>
      </c>
      <c r="AX148" s="178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7"/>
      <c r="AV149" s="1782">
        <f t="shared" si="91"/>
        <v>0</v>
      </c>
      <c r="AW149" s="1782">
        <f t="shared" si="92"/>
        <v>0</v>
      </c>
      <c r="AX149" s="178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7"/>
      <c r="AV150" s="1782">
        <f t="shared" si="91"/>
        <v>0</v>
      </c>
      <c r="AW150" s="1782">
        <f t="shared" si="92"/>
        <v>0</v>
      </c>
      <c r="AX150" s="178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7"/>
      <c r="AV151" s="1782">
        <f t="shared" si="91"/>
        <v>0</v>
      </c>
      <c r="AW151" s="1782">
        <f t="shared" si="92"/>
        <v>0</v>
      </c>
      <c r="AX151" s="178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7"/>
      <c r="AV152" s="1782">
        <f t="shared" si="91"/>
        <v>0</v>
      </c>
      <c r="AW152" s="1782">
        <f t="shared" si="92"/>
        <v>0</v>
      </c>
      <c r="AX152" s="178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7"/>
      <c r="AV153" s="1782">
        <f t="shared" si="91"/>
        <v>0</v>
      </c>
      <c r="AW153" s="1782">
        <f t="shared" si="92"/>
        <v>0</v>
      </c>
      <c r="AX153" s="178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7"/>
      <c r="AV154" s="1782">
        <f t="shared" si="91"/>
        <v>0</v>
      </c>
      <c r="AW154" s="1782">
        <f t="shared" si="92"/>
        <v>0</v>
      </c>
      <c r="AX154" s="178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7"/>
      <c r="AV155" s="1782">
        <f t="shared" si="91"/>
        <v>0</v>
      </c>
      <c r="AW155" s="1782">
        <f t="shared" si="92"/>
        <v>0</v>
      </c>
      <c r="AX155" s="178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7"/>
      <c r="AV156" s="1782">
        <f t="shared" si="91"/>
        <v>0</v>
      </c>
      <c r="AW156" s="1782">
        <f t="shared" si="92"/>
        <v>0</v>
      </c>
      <c r="AX156" s="178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7"/>
      <c r="AV157" s="1782">
        <f t="shared" si="91"/>
        <v>0</v>
      </c>
      <c r="AW157" s="1782">
        <f t="shared" si="92"/>
        <v>0</v>
      </c>
      <c r="AX157" s="178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7"/>
      <c r="AV158" s="1782">
        <f t="shared" si="91"/>
        <v>0</v>
      </c>
      <c r="AW158" s="1782">
        <f t="shared" si="92"/>
        <v>0</v>
      </c>
      <c r="AX158" s="178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7"/>
      <c r="AV159" s="1782">
        <f t="shared" si="91"/>
        <v>0</v>
      </c>
      <c r="AW159" s="1782">
        <f t="shared" si="92"/>
        <v>0</v>
      </c>
      <c r="AX159" s="178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7"/>
      <c r="AV160" s="1782">
        <f t="shared" si="91"/>
        <v>0</v>
      </c>
      <c r="AW160" s="1782">
        <f t="shared" si="92"/>
        <v>0</v>
      </c>
      <c r="AX160" s="178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7"/>
      <c r="AV161" s="1782">
        <f t="shared" si="91"/>
        <v>0</v>
      </c>
      <c r="AW161" s="1782">
        <f t="shared" si="92"/>
        <v>0</v>
      </c>
      <c r="AX161" s="178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7"/>
      <c r="AV162" s="1782">
        <f t="shared" si="91"/>
        <v>0</v>
      </c>
      <c r="AW162" s="1782">
        <f t="shared" si="92"/>
        <v>0</v>
      </c>
      <c r="AX162" s="178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7"/>
      <c r="AV163" s="1782">
        <f t="shared" si="91"/>
        <v>0</v>
      </c>
      <c r="AW163" s="1782">
        <f t="shared" si="92"/>
        <v>0</v>
      </c>
      <c r="AX163" s="178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7"/>
      <c r="AV164" s="1782">
        <f t="shared" si="91"/>
        <v>0</v>
      </c>
      <c r="AW164" s="1782">
        <f t="shared" si="92"/>
        <v>0</v>
      </c>
      <c r="AX164" s="178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7"/>
      <c r="AV165" s="1782">
        <f t="shared" si="91"/>
        <v>0</v>
      </c>
      <c r="AW165" s="1782">
        <f t="shared" si="92"/>
        <v>0</v>
      </c>
      <c r="AX165" s="178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7"/>
      <c r="AV166" s="1782">
        <f t="shared" si="91"/>
        <v>0</v>
      </c>
      <c r="AW166" s="1782">
        <f t="shared" si="92"/>
        <v>0</v>
      </c>
      <c r="AX166" s="178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7"/>
      <c r="AV167" s="1782">
        <f t="shared" si="91"/>
        <v>0</v>
      </c>
      <c r="AW167" s="1782">
        <f t="shared" si="92"/>
        <v>0</v>
      </c>
      <c r="AX167" s="178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7"/>
      <c r="AV168" s="1782">
        <f t="shared" si="91"/>
        <v>0</v>
      </c>
      <c r="AW168" s="1782">
        <f t="shared" si="92"/>
        <v>0</v>
      </c>
      <c r="AX168" s="178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7"/>
      <c r="AV169" s="1782">
        <f t="shared" si="91"/>
        <v>0</v>
      </c>
      <c r="AW169" s="1782">
        <f t="shared" si="92"/>
        <v>0</v>
      </c>
      <c r="AX169" s="178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7"/>
      <c r="AV170" s="1782">
        <f t="shared" si="91"/>
        <v>0</v>
      </c>
      <c r="AW170" s="1782">
        <f t="shared" si="92"/>
        <v>0</v>
      </c>
      <c r="AX170" s="178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7"/>
      <c r="AV171" s="1782">
        <f t="shared" si="91"/>
        <v>0</v>
      </c>
      <c r="AW171" s="1782">
        <f t="shared" si="92"/>
        <v>0</v>
      </c>
      <c r="AX171" s="178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7"/>
      <c r="AV172" s="1782">
        <f t="shared" si="91"/>
        <v>0</v>
      </c>
      <c r="AW172" s="1782">
        <f t="shared" si="92"/>
        <v>0</v>
      </c>
      <c r="AX172" s="178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7"/>
      <c r="AV173" s="1782">
        <f t="shared" si="91"/>
        <v>0</v>
      </c>
      <c r="AW173" s="1782">
        <f t="shared" si="92"/>
        <v>0</v>
      </c>
      <c r="AX173" s="178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7"/>
      <c r="AV174" s="1782">
        <f t="shared" si="91"/>
        <v>0</v>
      </c>
      <c r="AW174" s="1782">
        <f t="shared" si="92"/>
        <v>0</v>
      </c>
      <c r="AX174" s="178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7"/>
      <c r="AV175" s="1782">
        <f t="shared" si="91"/>
        <v>0</v>
      </c>
      <c r="AW175" s="1782">
        <f t="shared" si="92"/>
        <v>0</v>
      </c>
      <c r="AX175" s="178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7"/>
      <c r="AV176" s="1782">
        <f t="shared" si="91"/>
        <v>0</v>
      </c>
      <c r="AW176" s="1782">
        <f t="shared" si="92"/>
        <v>0</v>
      </c>
      <c r="AX176" s="178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7"/>
      <c r="AV177" s="1782">
        <f t="shared" ref="AV177:AV207" si="120">A177</f>
        <v>0</v>
      </c>
      <c r="AW177" s="1782">
        <f t="shared" ref="AW177:AW207" si="121">B177</f>
        <v>0</v>
      </c>
      <c r="AX177" s="178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7"/>
      <c r="AV178" s="1782">
        <f t="shared" si="120"/>
        <v>0</v>
      </c>
      <c r="AW178" s="1782">
        <f t="shared" si="121"/>
        <v>0</v>
      </c>
      <c r="AX178" s="178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7"/>
      <c r="AV179" s="1782">
        <f t="shared" si="120"/>
        <v>0</v>
      </c>
      <c r="AW179" s="1782">
        <f t="shared" si="121"/>
        <v>0</v>
      </c>
      <c r="AX179" s="178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7"/>
      <c r="AV180" s="1782">
        <f t="shared" si="120"/>
        <v>0</v>
      </c>
      <c r="AW180" s="1782">
        <f t="shared" si="121"/>
        <v>0</v>
      </c>
      <c r="AX180" s="178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7"/>
      <c r="AV181" s="1782">
        <f t="shared" si="120"/>
        <v>0</v>
      </c>
      <c r="AW181" s="1782">
        <f t="shared" si="121"/>
        <v>0</v>
      </c>
      <c r="AX181" s="178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7"/>
      <c r="AV182" s="1782">
        <f t="shared" si="120"/>
        <v>0</v>
      </c>
      <c r="AW182" s="1782">
        <f t="shared" si="121"/>
        <v>0</v>
      </c>
      <c r="AX182" s="178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7"/>
      <c r="AV183" s="1782">
        <f t="shared" si="120"/>
        <v>0</v>
      </c>
      <c r="AW183" s="1782">
        <f t="shared" si="121"/>
        <v>0</v>
      </c>
      <c r="AX183" s="178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7"/>
      <c r="AV184" s="1782">
        <f t="shared" si="120"/>
        <v>0</v>
      </c>
      <c r="AW184" s="1782">
        <f t="shared" si="121"/>
        <v>0</v>
      </c>
      <c r="AX184" s="178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7"/>
      <c r="AV185" s="1782">
        <f t="shared" si="120"/>
        <v>0</v>
      </c>
      <c r="AW185" s="1782">
        <f t="shared" si="121"/>
        <v>0</v>
      </c>
      <c r="AX185" s="178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7"/>
      <c r="AV186" s="1782">
        <f t="shared" si="120"/>
        <v>0</v>
      </c>
      <c r="AW186" s="1782">
        <f t="shared" si="121"/>
        <v>0</v>
      </c>
      <c r="AX186" s="178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7"/>
      <c r="AV187" s="1782">
        <f t="shared" si="120"/>
        <v>0</v>
      </c>
      <c r="AW187" s="1782">
        <f t="shared" si="121"/>
        <v>0</v>
      </c>
      <c r="AX187" s="178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7"/>
      <c r="AV188" s="1782">
        <f t="shared" si="120"/>
        <v>0</v>
      </c>
      <c r="AW188" s="1782">
        <f t="shared" si="121"/>
        <v>0</v>
      </c>
      <c r="AX188" s="178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7"/>
      <c r="AV189" s="1782">
        <f t="shared" si="120"/>
        <v>0</v>
      </c>
      <c r="AW189" s="1782">
        <f t="shared" si="121"/>
        <v>0</v>
      </c>
      <c r="AX189" s="178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7"/>
      <c r="AV190" s="1782">
        <f t="shared" si="120"/>
        <v>0</v>
      </c>
      <c r="AW190" s="1782">
        <f t="shared" si="121"/>
        <v>0</v>
      </c>
      <c r="AX190" s="178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7"/>
      <c r="AV191" s="1782">
        <f t="shared" si="120"/>
        <v>0</v>
      </c>
      <c r="AW191" s="1782">
        <f t="shared" si="121"/>
        <v>0</v>
      </c>
      <c r="AX191" s="178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7"/>
      <c r="AV192" s="1782">
        <f t="shared" si="120"/>
        <v>0</v>
      </c>
      <c r="AW192" s="1782">
        <f t="shared" si="121"/>
        <v>0</v>
      </c>
      <c r="AX192" s="178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7"/>
      <c r="AV193" s="1782">
        <f t="shared" si="120"/>
        <v>0</v>
      </c>
      <c r="AW193" s="1782">
        <f t="shared" si="121"/>
        <v>0</v>
      </c>
      <c r="AX193" s="178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7"/>
      <c r="AV194" s="1782">
        <f t="shared" si="120"/>
        <v>0</v>
      </c>
      <c r="AW194" s="1782">
        <f t="shared" si="121"/>
        <v>0</v>
      </c>
      <c r="AX194" s="178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7"/>
      <c r="AV195" s="1782">
        <f t="shared" si="120"/>
        <v>0</v>
      </c>
      <c r="AW195" s="1782">
        <f t="shared" si="121"/>
        <v>0</v>
      </c>
      <c r="AX195" s="178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7"/>
      <c r="AV196" s="1782">
        <f t="shared" si="120"/>
        <v>0</v>
      </c>
      <c r="AW196" s="1782">
        <f t="shared" si="121"/>
        <v>0</v>
      </c>
      <c r="AX196" s="178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7"/>
      <c r="AV197" s="1782">
        <f t="shared" si="120"/>
        <v>0</v>
      </c>
      <c r="AW197" s="1782">
        <f t="shared" si="121"/>
        <v>0</v>
      </c>
      <c r="AX197" s="178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7"/>
      <c r="AV198" s="1782">
        <f t="shared" si="120"/>
        <v>0</v>
      </c>
      <c r="AW198" s="1782">
        <f t="shared" si="121"/>
        <v>0</v>
      </c>
      <c r="AX198" s="178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7"/>
      <c r="AV199" s="1782">
        <f t="shared" si="120"/>
        <v>0</v>
      </c>
      <c r="AW199" s="1782">
        <f t="shared" si="121"/>
        <v>0</v>
      </c>
      <c r="AX199" s="178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7"/>
      <c r="AV200" s="1782">
        <f t="shared" si="120"/>
        <v>0</v>
      </c>
      <c r="AW200" s="1782">
        <f t="shared" si="121"/>
        <v>0</v>
      </c>
      <c r="AX200" s="178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7"/>
      <c r="AV201" s="1782">
        <f t="shared" si="120"/>
        <v>0</v>
      </c>
      <c r="AW201" s="1782">
        <f t="shared" si="121"/>
        <v>0</v>
      </c>
      <c r="AX201" s="178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7"/>
      <c r="AV202" s="1782">
        <f t="shared" si="120"/>
        <v>0</v>
      </c>
      <c r="AW202" s="1782">
        <f t="shared" si="121"/>
        <v>0</v>
      </c>
      <c r="AX202" s="178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7"/>
      <c r="AV203" s="1782">
        <f t="shared" si="120"/>
        <v>0</v>
      </c>
      <c r="AW203" s="1782">
        <f t="shared" si="121"/>
        <v>0</v>
      </c>
      <c r="AX203" s="178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7"/>
      <c r="AV204" s="1782">
        <f t="shared" si="120"/>
        <v>0</v>
      </c>
      <c r="AW204" s="1782">
        <f t="shared" si="121"/>
        <v>0</v>
      </c>
      <c r="AX204" s="178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2"/>
      <c r="AV205" s="1782">
        <f t="shared" si="120"/>
        <v>0</v>
      </c>
      <c r="AW205" s="1782">
        <f t="shared" si="121"/>
        <v>0</v>
      </c>
      <c r="AX205" s="178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2"/>
      <c r="AV206" s="1782">
        <f t="shared" si="120"/>
        <v>0</v>
      </c>
      <c r="AW206" s="1782">
        <f t="shared" si="121"/>
        <v>0</v>
      </c>
      <c r="AX206" s="178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2"/>
      <c r="AV207" s="1782">
        <f t="shared" si="120"/>
        <v>0</v>
      </c>
      <c r="AW207" s="1782">
        <f t="shared" si="121"/>
        <v>0</v>
      </c>
      <c r="AX207" s="178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7"/>
      <c r="AV208" s="1782">
        <f t="shared" ref="AV208:AV302" si="127">A208</f>
        <v>0</v>
      </c>
      <c r="AW208" s="1782">
        <f t="shared" ref="AW208:AW302" si="128">B208</f>
        <v>0</v>
      </c>
      <c r="AX208" s="178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7"/>
      <c r="AV209" s="1782">
        <f t="shared" si="127"/>
        <v>0</v>
      </c>
      <c r="AW209" s="1782">
        <f t="shared" si="128"/>
        <v>0</v>
      </c>
      <c r="AX209" s="178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7"/>
      <c r="AV210" s="1782">
        <f t="shared" si="127"/>
        <v>0</v>
      </c>
      <c r="AW210" s="1782">
        <f t="shared" si="128"/>
        <v>0</v>
      </c>
      <c r="AX210" s="178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7"/>
      <c r="AV211" s="1782">
        <f t="shared" si="127"/>
        <v>0</v>
      </c>
      <c r="AW211" s="1782">
        <f t="shared" si="128"/>
        <v>0</v>
      </c>
      <c r="AX211" s="178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7"/>
      <c r="AV212" s="1782">
        <f t="shared" si="127"/>
        <v>0</v>
      </c>
      <c r="AW212" s="1782">
        <f t="shared" si="128"/>
        <v>0</v>
      </c>
      <c r="AX212" s="178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7"/>
      <c r="AV213" s="1782">
        <f t="shared" si="127"/>
        <v>0</v>
      </c>
      <c r="AW213" s="1782">
        <f t="shared" si="128"/>
        <v>0</v>
      </c>
      <c r="AX213" s="178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7"/>
      <c r="AV214" s="1782">
        <f t="shared" si="127"/>
        <v>0</v>
      </c>
      <c r="AW214" s="1782">
        <f t="shared" si="128"/>
        <v>0</v>
      </c>
      <c r="AX214" s="178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7"/>
      <c r="AV215" s="1782">
        <f t="shared" si="127"/>
        <v>0</v>
      </c>
      <c r="AW215" s="1782">
        <f t="shared" si="128"/>
        <v>0</v>
      </c>
      <c r="AX215" s="178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7"/>
      <c r="AV216" s="1782">
        <f t="shared" si="127"/>
        <v>0</v>
      </c>
      <c r="AW216" s="1782">
        <f t="shared" si="128"/>
        <v>0</v>
      </c>
      <c r="AX216" s="178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7"/>
      <c r="AV217" s="1782">
        <f t="shared" si="127"/>
        <v>0</v>
      </c>
      <c r="AW217" s="1782">
        <f t="shared" si="128"/>
        <v>0</v>
      </c>
      <c r="AX217" s="178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7"/>
      <c r="AV218" s="1782">
        <f t="shared" si="127"/>
        <v>0</v>
      </c>
      <c r="AW218" s="1782">
        <f t="shared" si="128"/>
        <v>0</v>
      </c>
      <c r="AX218" s="178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7"/>
      <c r="AV219" s="1782">
        <f t="shared" si="127"/>
        <v>0</v>
      </c>
      <c r="AW219" s="1782">
        <f t="shared" si="128"/>
        <v>0</v>
      </c>
      <c r="AX219" s="178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7"/>
      <c r="AV220" s="1782">
        <f t="shared" si="127"/>
        <v>0</v>
      </c>
      <c r="AW220" s="1782">
        <f t="shared" si="128"/>
        <v>0</v>
      </c>
      <c r="AX220" s="178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7"/>
      <c r="AV221" s="1782">
        <f t="shared" si="127"/>
        <v>0</v>
      </c>
      <c r="AW221" s="1782">
        <f t="shared" si="128"/>
        <v>0</v>
      </c>
      <c r="AX221" s="178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7"/>
      <c r="AV222" s="1782">
        <f t="shared" si="127"/>
        <v>0</v>
      </c>
      <c r="AW222" s="1782">
        <f t="shared" si="128"/>
        <v>0</v>
      </c>
      <c r="AX222" s="178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7"/>
      <c r="AV223" s="1782">
        <f t="shared" si="127"/>
        <v>0</v>
      </c>
      <c r="AW223" s="1782">
        <f t="shared" si="128"/>
        <v>0</v>
      </c>
      <c r="AX223" s="178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7"/>
      <c r="AV224" s="1782">
        <f t="shared" si="127"/>
        <v>0</v>
      </c>
      <c r="AW224" s="1782">
        <f t="shared" si="128"/>
        <v>0</v>
      </c>
      <c r="AX224" s="178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7"/>
      <c r="AV225" s="1782">
        <f t="shared" si="127"/>
        <v>0</v>
      </c>
      <c r="AW225" s="1782">
        <f t="shared" si="128"/>
        <v>0</v>
      </c>
      <c r="AX225" s="178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7"/>
      <c r="AV226" s="1782">
        <f t="shared" si="127"/>
        <v>0</v>
      </c>
      <c r="AW226" s="1782">
        <f t="shared" si="128"/>
        <v>0</v>
      </c>
      <c r="AX226" s="178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7"/>
      <c r="AV227" s="1782">
        <f t="shared" si="127"/>
        <v>0</v>
      </c>
      <c r="AW227" s="1782">
        <f t="shared" si="128"/>
        <v>0</v>
      </c>
      <c r="AX227" s="178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7"/>
      <c r="AV228" s="1782">
        <f t="shared" si="127"/>
        <v>0</v>
      </c>
      <c r="AW228" s="1782">
        <f t="shared" si="128"/>
        <v>0</v>
      </c>
      <c r="AX228" s="178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7"/>
      <c r="AV229" s="1782">
        <f t="shared" si="127"/>
        <v>0</v>
      </c>
      <c r="AW229" s="1782">
        <f t="shared" si="128"/>
        <v>0</v>
      </c>
      <c r="AX229" s="178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7"/>
      <c r="AV230" s="1782">
        <f t="shared" si="127"/>
        <v>0</v>
      </c>
      <c r="AW230" s="1782">
        <f t="shared" si="128"/>
        <v>0</v>
      </c>
      <c r="AX230" s="178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7"/>
      <c r="AV231" s="1782">
        <f t="shared" si="127"/>
        <v>0</v>
      </c>
      <c r="AW231" s="1782">
        <f t="shared" si="128"/>
        <v>0</v>
      </c>
      <c r="AX231" s="178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7"/>
      <c r="AV232" s="1782">
        <f t="shared" si="127"/>
        <v>0</v>
      </c>
      <c r="AW232" s="1782">
        <f t="shared" si="128"/>
        <v>0</v>
      </c>
      <c r="AX232" s="178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7"/>
      <c r="AV233" s="1782">
        <f t="shared" si="127"/>
        <v>0</v>
      </c>
      <c r="AW233" s="1782">
        <f t="shared" si="128"/>
        <v>0</v>
      </c>
      <c r="AX233" s="178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7"/>
      <c r="AV234" s="1782">
        <f t="shared" si="127"/>
        <v>0</v>
      </c>
      <c r="AW234" s="1782">
        <f t="shared" si="128"/>
        <v>0</v>
      </c>
      <c r="AX234" s="178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7"/>
      <c r="AV235" s="1782">
        <f t="shared" si="127"/>
        <v>0</v>
      </c>
      <c r="AW235" s="1782">
        <f t="shared" si="128"/>
        <v>0</v>
      </c>
      <c r="AX235" s="178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7"/>
      <c r="AV236" s="1782">
        <f t="shared" si="127"/>
        <v>0</v>
      </c>
      <c r="AW236" s="1782">
        <f t="shared" si="128"/>
        <v>0</v>
      </c>
      <c r="AX236" s="178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7"/>
      <c r="AV237" s="1782">
        <f t="shared" si="127"/>
        <v>0</v>
      </c>
      <c r="AW237" s="1782">
        <f t="shared" si="128"/>
        <v>0</v>
      </c>
      <c r="AX237" s="178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7"/>
      <c r="AV238" s="1782">
        <f t="shared" si="127"/>
        <v>0</v>
      </c>
      <c r="AW238" s="1782">
        <f t="shared" si="128"/>
        <v>0</v>
      </c>
      <c r="AX238" s="178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7"/>
      <c r="AV239" s="1782">
        <f t="shared" si="127"/>
        <v>0</v>
      </c>
      <c r="AW239" s="1782">
        <f t="shared" si="128"/>
        <v>0</v>
      </c>
      <c r="AX239" s="178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7"/>
      <c r="AV240" s="1782">
        <f t="shared" si="127"/>
        <v>0</v>
      </c>
      <c r="AW240" s="1782">
        <f t="shared" si="128"/>
        <v>0</v>
      </c>
      <c r="AX240" s="178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7"/>
      <c r="AV241" s="1782">
        <f t="shared" si="127"/>
        <v>0</v>
      </c>
      <c r="AW241" s="1782">
        <f t="shared" si="128"/>
        <v>0</v>
      </c>
      <c r="AX241" s="178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7"/>
      <c r="AV242" s="1782">
        <f t="shared" si="127"/>
        <v>0</v>
      </c>
      <c r="AW242" s="1782">
        <f t="shared" si="128"/>
        <v>0</v>
      </c>
      <c r="AX242" s="178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7"/>
      <c r="AV243" s="1782">
        <f t="shared" si="127"/>
        <v>0</v>
      </c>
      <c r="AW243" s="1782">
        <f t="shared" si="128"/>
        <v>0</v>
      </c>
      <c r="AX243" s="178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7"/>
      <c r="AV244" s="1782">
        <f t="shared" si="127"/>
        <v>0</v>
      </c>
      <c r="AW244" s="1782">
        <f t="shared" si="128"/>
        <v>0</v>
      </c>
      <c r="AX244" s="178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7"/>
      <c r="AV245" s="1782">
        <f t="shared" si="127"/>
        <v>0</v>
      </c>
      <c r="AW245" s="1782">
        <f t="shared" si="128"/>
        <v>0</v>
      </c>
      <c r="AX245" s="178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7"/>
      <c r="AV246" s="1782">
        <f t="shared" si="127"/>
        <v>0</v>
      </c>
      <c r="AW246" s="1782">
        <f t="shared" si="128"/>
        <v>0</v>
      </c>
      <c r="AX246" s="178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7"/>
      <c r="AV247" s="1782">
        <f t="shared" si="127"/>
        <v>0</v>
      </c>
      <c r="AW247" s="1782">
        <f t="shared" si="128"/>
        <v>0</v>
      </c>
      <c r="AX247" s="178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7"/>
      <c r="AV248" s="1782">
        <f t="shared" si="127"/>
        <v>0</v>
      </c>
      <c r="AW248" s="1782">
        <f t="shared" si="128"/>
        <v>0</v>
      </c>
      <c r="AX248" s="178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7"/>
      <c r="AV249" s="1782">
        <f t="shared" si="127"/>
        <v>0</v>
      </c>
      <c r="AW249" s="1782">
        <f t="shared" si="128"/>
        <v>0</v>
      </c>
      <c r="AX249" s="178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7"/>
      <c r="AV250" s="1782">
        <f t="shared" si="127"/>
        <v>0</v>
      </c>
      <c r="AW250" s="1782">
        <f t="shared" si="128"/>
        <v>0</v>
      </c>
      <c r="AX250" s="178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7"/>
      <c r="AV251" s="1782">
        <f t="shared" si="127"/>
        <v>0</v>
      </c>
      <c r="AW251" s="1782">
        <f t="shared" si="128"/>
        <v>0</v>
      </c>
      <c r="AX251" s="178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7"/>
      <c r="AV252" s="1782">
        <f t="shared" si="127"/>
        <v>0</v>
      </c>
      <c r="AW252" s="1782">
        <f t="shared" si="128"/>
        <v>0</v>
      </c>
      <c r="AX252" s="178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7"/>
      <c r="AV253" s="1782">
        <f t="shared" si="127"/>
        <v>0</v>
      </c>
      <c r="AW253" s="1782">
        <f t="shared" si="128"/>
        <v>0</v>
      </c>
      <c r="AX253" s="178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7"/>
      <c r="AV254" s="1782">
        <f t="shared" si="127"/>
        <v>0</v>
      </c>
      <c r="AW254" s="1782">
        <f t="shared" si="128"/>
        <v>0</v>
      </c>
      <c r="AX254" s="178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7"/>
      <c r="AV255" s="1782">
        <f t="shared" si="127"/>
        <v>0</v>
      </c>
      <c r="AW255" s="1782">
        <f t="shared" si="128"/>
        <v>0</v>
      </c>
      <c r="AX255" s="178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7"/>
      <c r="AV256" s="1782">
        <f t="shared" si="127"/>
        <v>0</v>
      </c>
      <c r="AW256" s="1782">
        <f t="shared" si="128"/>
        <v>0</v>
      </c>
      <c r="AX256" s="178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7"/>
      <c r="AV257" s="1782">
        <f t="shared" si="127"/>
        <v>0</v>
      </c>
      <c r="AW257" s="1782">
        <f t="shared" si="128"/>
        <v>0</v>
      </c>
      <c r="AX257" s="178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7"/>
      <c r="AV258" s="1782">
        <f t="shared" si="127"/>
        <v>0</v>
      </c>
      <c r="AW258" s="1782">
        <f t="shared" si="128"/>
        <v>0</v>
      </c>
      <c r="AX258" s="178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7"/>
      <c r="AV259" s="1782">
        <f t="shared" si="127"/>
        <v>0</v>
      </c>
      <c r="AW259" s="1782">
        <f t="shared" si="128"/>
        <v>0</v>
      </c>
      <c r="AX259" s="178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7"/>
      <c r="AV260" s="1782">
        <f t="shared" si="127"/>
        <v>0</v>
      </c>
      <c r="AW260" s="1782">
        <f t="shared" si="128"/>
        <v>0</v>
      </c>
      <c r="AX260" s="178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7"/>
      <c r="AV261" s="1782">
        <f t="shared" si="127"/>
        <v>0</v>
      </c>
      <c r="AW261" s="1782">
        <f t="shared" si="128"/>
        <v>0</v>
      </c>
      <c r="AX261" s="178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7"/>
      <c r="AV262" s="1782">
        <f t="shared" si="127"/>
        <v>0</v>
      </c>
      <c r="AW262" s="1782">
        <f t="shared" si="128"/>
        <v>0</v>
      </c>
      <c r="AX262" s="178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7"/>
      <c r="AV263" s="1782">
        <f t="shared" si="127"/>
        <v>0</v>
      </c>
      <c r="AW263" s="1782">
        <f t="shared" si="128"/>
        <v>0</v>
      </c>
      <c r="AX263" s="178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7"/>
      <c r="AV264" s="1782">
        <f t="shared" si="127"/>
        <v>0</v>
      </c>
      <c r="AW264" s="1782">
        <f t="shared" si="128"/>
        <v>0</v>
      </c>
      <c r="AX264" s="178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7"/>
      <c r="AV265" s="1782">
        <f t="shared" si="127"/>
        <v>0</v>
      </c>
      <c r="AW265" s="1782">
        <f t="shared" si="128"/>
        <v>0</v>
      </c>
      <c r="AX265" s="178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7"/>
      <c r="AV266" s="1782">
        <f t="shared" si="127"/>
        <v>0</v>
      </c>
      <c r="AW266" s="1782">
        <f t="shared" si="128"/>
        <v>0</v>
      </c>
      <c r="AX266" s="178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7"/>
      <c r="AV267" s="1782">
        <f t="shared" si="127"/>
        <v>0</v>
      </c>
      <c r="AW267" s="1782">
        <f t="shared" si="128"/>
        <v>0</v>
      </c>
      <c r="AX267" s="178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7"/>
      <c r="AV268" s="1782">
        <f t="shared" si="127"/>
        <v>0</v>
      </c>
      <c r="AW268" s="1782">
        <f t="shared" si="128"/>
        <v>0</v>
      </c>
      <c r="AX268" s="178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7"/>
      <c r="AV269" s="1782">
        <f t="shared" si="127"/>
        <v>0</v>
      </c>
      <c r="AW269" s="1782">
        <f t="shared" si="128"/>
        <v>0</v>
      </c>
      <c r="AX269" s="178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7"/>
      <c r="AV270" s="1782">
        <f t="shared" si="127"/>
        <v>0</v>
      </c>
      <c r="AW270" s="1782">
        <f t="shared" si="128"/>
        <v>0</v>
      </c>
      <c r="AX270" s="178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7"/>
      <c r="AV271" s="1782">
        <f t="shared" si="127"/>
        <v>0</v>
      </c>
      <c r="AW271" s="1782">
        <f t="shared" si="128"/>
        <v>0</v>
      </c>
      <c r="AX271" s="178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7"/>
      <c r="AV272" s="1782">
        <f t="shared" si="127"/>
        <v>0</v>
      </c>
      <c r="AW272" s="1782">
        <f t="shared" si="128"/>
        <v>0</v>
      </c>
      <c r="AX272" s="178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7"/>
      <c r="AV273" s="1782">
        <f t="shared" si="127"/>
        <v>0</v>
      </c>
      <c r="AW273" s="1782">
        <f t="shared" si="128"/>
        <v>0</v>
      </c>
      <c r="AX273" s="178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7"/>
      <c r="AV274" s="1782">
        <f t="shared" si="127"/>
        <v>0</v>
      </c>
      <c r="AW274" s="1782">
        <f t="shared" si="128"/>
        <v>0</v>
      </c>
      <c r="AX274" s="178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7"/>
      <c r="AV275" s="1782">
        <f t="shared" si="127"/>
        <v>0</v>
      </c>
      <c r="AW275" s="1782">
        <f t="shared" si="128"/>
        <v>0</v>
      </c>
      <c r="AX275" s="178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7"/>
      <c r="AV276" s="1782">
        <f t="shared" si="127"/>
        <v>0</v>
      </c>
      <c r="AW276" s="1782">
        <f t="shared" si="128"/>
        <v>0</v>
      </c>
      <c r="AX276" s="178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7"/>
      <c r="AV277" s="1782">
        <f t="shared" si="127"/>
        <v>0</v>
      </c>
      <c r="AW277" s="1782">
        <f t="shared" si="128"/>
        <v>0</v>
      </c>
      <c r="AX277" s="178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7"/>
      <c r="AV278" s="1782">
        <f t="shared" si="127"/>
        <v>0</v>
      </c>
      <c r="AW278" s="1782">
        <f t="shared" si="128"/>
        <v>0</v>
      </c>
      <c r="AX278" s="178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7"/>
      <c r="AV279" s="1782">
        <f t="shared" si="127"/>
        <v>0</v>
      </c>
      <c r="AW279" s="1782">
        <f t="shared" si="128"/>
        <v>0</v>
      </c>
      <c r="AX279" s="178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7"/>
      <c r="AV280" s="1782">
        <f t="shared" si="127"/>
        <v>0</v>
      </c>
      <c r="AW280" s="1782">
        <f t="shared" si="128"/>
        <v>0</v>
      </c>
      <c r="AX280" s="178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7"/>
      <c r="AV281" s="1782">
        <f t="shared" si="127"/>
        <v>0</v>
      </c>
      <c r="AW281" s="1782">
        <f t="shared" si="128"/>
        <v>0</v>
      </c>
      <c r="AX281" s="178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7"/>
      <c r="AV282" s="1782">
        <f t="shared" si="127"/>
        <v>0</v>
      </c>
      <c r="AW282" s="1782">
        <f t="shared" si="128"/>
        <v>0</v>
      </c>
      <c r="AX282" s="178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7"/>
      <c r="AV283" s="1782">
        <f t="shared" si="127"/>
        <v>0</v>
      </c>
      <c r="AW283" s="1782">
        <f t="shared" si="128"/>
        <v>0</v>
      </c>
      <c r="AX283" s="178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7"/>
      <c r="AV284" s="1782">
        <f t="shared" si="127"/>
        <v>0</v>
      </c>
      <c r="AW284" s="1782">
        <f t="shared" si="128"/>
        <v>0</v>
      </c>
      <c r="AX284" s="178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7"/>
      <c r="AV285" s="1782">
        <f t="shared" si="127"/>
        <v>0</v>
      </c>
      <c r="AW285" s="1782">
        <f t="shared" si="128"/>
        <v>0</v>
      </c>
      <c r="AX285" s="178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7"/>
      <c r="AV286" s="1782">
        <f t="shared" si="127"/>
        <v>0</v>
      </c>
      <c r="AW286" s="1782">
        <f t="shared" si="128"/>
        <v>0</v>
      </c>
      <c r="AX286" s="178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7"/>
      <c r="AV287" s="1782">
        <f t="shared" si="127"/>
        <v>0</v>
      </c>
      <c r="AW287" s="1782">
        <f t="shared" si="128"/>
        <v>0</v>
      </c>
      <c r="AX287" s="178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7"/>
      <c r="AV288" s="1782">
        <f t="shared" si="127"/>
        <v>0</v>
      </c>
      <c r="AW288" s="1782">
        <f t="shared" si="128"/>
        <v>0</v>
      </c>
      <c r="AX288" s="178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7"/>
      <c r="AV289" s="1782">
        <f t="shared" si="127"/>
        <v>0</v>
      </c>
      <c r="AW289" s="1782">
        <f t="shared" si="128"/>
        <v>0</v>
      </c>
      <c r="AX289" s="178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7"/>
      <c r="AV290" s="1782">
        <f t="shared" si="127"/>
        <v>0</v>
      </c>
      <c r="AW290" s="1782">
        <f t="shared" si="128"/>
        <v>0</v>
      </c>
      <c r="AX290" s="178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7"/>
      <c r="AV291" s="1782">
        <f t="shared" si="127"/>
        <v>0</v>
      </c>
      <c r="AW291" s="1782">
        <f t="shared" si="128"/>
        <v>0</v>
      </c>
      <c r="AX291" s="178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7"/>
      <c r="AV292" s="1782">
        <f t="shared" si="127"/>
        <v>0</v>
      </c>
      <c r="AW292" s="1782">
        <f t="shared" si="128"/>
        <v>0</v>
      </c>
      <c r="AX292" s="178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7"/>
      <c r="AV293" s="1782">
        <f t="shared" si="127"/>
        <v>0</v>
      </c>
      <c r="AW293" s="1782">
        <f t="shared" si="128"/>
        <v>0</v>
      </c>
      <c r="AX293" s="178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7"/>
      <c r="AV294" s="1782">
        <f t="shared" si="127"/>
        <v>0</v>
      </c>
      <c r="AW294" s="1782">
        <f t="shared" si="128"/>
        <v>0</v>
      </c>
      <c r="AX294" s="178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7"/>
      <c r="AV295" s="1782">
        <f t="shared" si="127"/>
        <v>0</v>
      </c>
      <c r="AW295" s="1782">
        <f t="shared" si="128"/>
        <v>0</v>
      </c>
      <c r="AX295" s="178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7"/>
      <c r="AV296" s="1782">
        <f t="shared" si="127"/>
        <v>0</v>
      </c>
      <c r="AW296" s="1782">
        <f t="shared" si="128"/>
        <v>0</v>
      </c>
      <c r="AX296" s="178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7"/>
      <c r="AV297" s="1782">
        <f t="shared" si="127"/>
        <v>0</v>
      </c>
      <c r="AW297" s="1782">
        <f t="shared" si="128"/>
        <v>0</v>
      </c>
      <c r="AX297" s="178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7"/>
      <c r="AV298" s="1782">
        <f t="shared" si="127"/>
        <v>0</v>
      </c>
      <c r="AW298" s="1782">
        <f t="shared" si="128"/>
        <v>0</v>
      </c>
      <c r="AX298" s="178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7"/>
      <c r="AV299" s="1782">
        <f t="shared" si="127"/>
        <v>0</v>
      </c>
      <c r="AW299" s="1782">
        <f t="shared" si="128"/>
        <v>0</v>
      </c>
      <c r="AX299" s="178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2"/>
      <c r="AV300" s="1782">
        <f t="shared" si="127"/>
        <v>0</v>
      </c>
      <c r="AW300" s="1782">
        <f t="shared" si="128"/>
        <v>0</v>
      </c>
      <c r="AX300" s="178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2"/>
      <c r="AV301" s="1782">
        <f t="shared" si="127"/>
        <v>0</v>
      </c>
      <c r="AW301" s="1782">
        <f t="shared" si="128"/>
        <v>0</v>
      </c>
      <c r="AX301" s="178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2"/>
      <c r="AV302" s="1782">
        <f t="shared" si="127"/>
        <v>0</v>
      </c>
      <c r="AW302" s="1782">
        <f t="shared" si="128"/>
        <v>0</v>
      </c>
      <c r="AX302" s="178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7"/>
      <c r="AV303" s="1782">
        <f t="shared" ref="AV303:AV334" si="178">A303</f>
        <v>0</v>
      </c>
      <c r="AW303" s="1782">
        <f t="shared" ref="AW303:AW334" si="179">B303</f>
        <v>0</v>
      </c>
      <c r="AX303" s="178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7"/>
      <c r="AV304" s="1782">
        <f t="shared" si="178"/>
        <v>0</v>
      </c>
      <c r="AW304" s="1782">
        <f t="shared" si="179"/>
        <v>0</v>
      </c>
      <c r="AX304" s="178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7"/>
      <c r="AV305" s="1782">
        <f t="shared" si="178"/>
        <v>0</v>
      </c>
      <c r="AW305" s="1782">
        <f t="shared" si="179"/>
        <v>0</v>
      </c>
      <c r="AX305" s="178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7"/>
      <c r="AV306" s="1782">
        <f t="shared" si="178"/>
        <v>0</v>
      </c>
      <c r="AW306" s="1782">
        <f t="shared" si="179"/>
        <v>0</v>
      </c>
      <c r="AX306" s="178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7"/>
      <c r="AV307" s="1782">
        <f t="shared" si="178"/>
        <v>0</v>
      </c>
      <c r="AW307" s="1782">
        <f t="shared" si="179"/>
        <v>0</v>
      </c>
      <c r="AX307" s="178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7"/>
      <c r="AV308" s="1782">
        <f t="shared" si="178"/>
        <v>0</v>
      </c>
      <c r="AW308" s="1782">
        <f t="shared" si="179"/>
        <v>0</v>
      </c>
      <c r="AX308" s="178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7"/>
      <c r="AV309" s="1782">
        <f t="shared" si="178"/>
        <v>0</v>
      </c>
      <c r="AW309" s="1782">
        <f t="shared" si="179"/>
        <v>0</v>
      </c>
      <c r="AX309" s="178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7"/>
      <c r="AV310" s="1782">
        <f t="shared" si="178"/>
        <v>0</v>
      </c>
      <c r="AW310" s="1782">
        <f t="shared" si="179"/>
        <v>0</v>
      </c>
      <c r="AX310" s="178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7"/>
      <c r="AV311" s="1782">
        <f t="shared" si="178"/>
        <v>0</v>
      </c>
      <c r="AW311" s="1782">
        <f t="shared" si="179"/>
        <v>0</v>
      </c>
      <c r="AX311" s="178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7"/>
      <c r="AV312" s="1782">
        <f t="shared" si="178"/>
        <v>0</v>
      </c>
      <c r="AW312" s="1782">
        <f t="shared" si="179"/>
        <v>0</v>
      </c>
      <c r="AX312" s="178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7"/>
      <c r="AV313" s="1782">
        <f t="shared" si="178"/>
        <v>0</v>
      </c>
      <c r="AW313" s="1782">
        <f t="shared" si="179"/>
        <v>0</v>
      </c>
      <c r="AX313" s="178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7"/>
      <c r="AV314" s="1782">
        <f t="shared" si="178"/>
        <v>0</v>
      </c>
      <c r="AW314" s="1782">
        <f t="shared" si="179"/>
        <v>0</v>
      </c>
      <c r="AX314" s="178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7"/>
      <c r="AV315" s="1782">
        <f t="shared" si="178"/>
        <v>0</v>
      </c>
      <c r="AW315" s="1782">
        <f t="shared" si="179"/>
        <v>0</v>
      </c>
      <c r="AX315" s="178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7"/>
      <c r="AV316" s="1782">
        <f t="shared" si="178"/>
        <v>0</v>
      </c>
      <c r="AW316" s="1782">
        <f t="shared" si="179"/>
        <v>0</v>
      </c>
      <c r="AX316" s="178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7"/>
      <c r="AV317" s="1782">
        <f t="shared" si="178"/>
        <v>0</v>
      </c>
      <c r="AW317" s="1782">
        <f t="shared" si="179"/>
        <v>0</v>
      </c>
      <c r="AX317" s="178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7"/>
      <c r="AV318" s="1782">
        <f t="shared" si="178"/>
        <v>0</v>
      </c>
      <c r="AW318" s="1782">
        <f t="shared" si="179"/>
        <v>0</v>
      </c>
      <c r="AX318" s="178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7"/>
      <c r="AV319" s="1782">
        <f t="shared" si="178"/>
        <v>0</v>
      </c>
      <c r="AW319" s="1782">
        <f t="shared" si="179"/>
        <v>0</v>
      </c>
      <c r="AX319" s="178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7"/>
      <c r="AV320" s="1782">
        <f t="shared" si="178"/>
        <v>0</v>
      </c>
      <c r="AW320" s="1782">
        <f t="shared" si="179"/>
        <v>0</v>
      </c>
      <c r="AX320" s="178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7"/>
      <c r="AV321" s="1782">
        <f t="shared" si="178"/>
        <v>0</v>
      </c>
      <c r="AW321" s="1782">
        <f t="shared" si="179"/>
        <v>0</v>
      </c>
      <c r="AX321" s="178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7"/>
      <c r="AV322" s="1782">
        <f t="shared" si="178"/>
        <v>0</v>
      </c>
      <c r="AW322" s="1782">
        <f t="shared" si="179"/>
        <v>0</v>
      </c>
      <c r="AX322" s="178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7"/>
      <c r="AV323" s="1782">
        <f t="shared" si="178"/>
        <v>0</v>
      </c>
      <c r="AW323" s="1782">
        <f t="shared" si="179"/>
        <v>0</v>
      </c>
      <c r="AX323" s="178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7"/>
      <c r="AV324" s="1782">
        <f t="shared" si="178"/>
        <v>0</v>
      </c>
      <c r="AW324" s="1782">
        <f t="shared" si="179"/>
        <v>0</v>
      </c>
      <c r="AX324" s="178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7"/>
      <c r="AV325" s="1782">
        <f t="shared" si="178"/>
        <v>0</v>
      </c>
      <c r="AW325" s="1782">
        <f t="shared" si="179"/>
        <v>0</v>
      </c>
      <c r="AX325" s="178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7"/>
      <c r="AV326" s="1782">
        <f t="shared" si="178"/>
        <v>0</v>
      </c>
      <c r="AW326" s="1782">
        <f t="shared" si="179"/>
        <v>0</v>
      </c>
      <c r="AX326" s="178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7"/>
      <c r="AV327" s="1782">
        <f t="shared" si="178"/>
        <v>0</v>
      </c>
      <c r="AW327" s="1782">
        <f t="shared" si="179"/>
        <v>0</v>
      </c>
      <c r="AX327" s="178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7"/>
      <c r="AV328" s="1782">
        <f t="shared" si="178"/>
        <v>0</v>
      </c>
      <c r="AW328" s="1782">
        <f t="shared" si="179"/>
        <v>0</v>
      </c>
      <c r="AX328" s="178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7"/>
      <c r="AV329" s="1782">
        <f t="shared" si="178"/>
        <v>0</v>
      </c>
      <c r="AW329" s="1782">
        <f t="shared" si="179"/>
        <v>0</v>
      </c>
      <c r="AX329" s="178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7"/>
      <c r="AV330" s="1782">
        <f t="shared" si="178"/>
        <v>0</v>
      </c>
      <c r="AW330" s="1782">
        <f t="shared" si="179"/>
        <v>0</v>
      </c>
      <c r="AX330" s="178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7"/>
      <c r="AV331" s="1782">
        <f t="shared" si="178"/>
        <v>0</v>
      </c>
      <c r="AW331" s="1782">
        <f t="shared" si="179"/>
        <v>0</v>
      </c>
      <c r="AX331" s="178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7"/>
      <c r="AV332" s="1782">
        <f t="shared" si="178"/>
        <v>0</v>
      </c>
      <c r="AW332" s="1782">
        <f t="shared" si="179"/>
        <v>0</v>
      </c>
      <c r="AX332" s="178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7"/>
      <c r="AV333" s="1782">
        <f t="shared" si="178"/>
        <v>0</v>
      </c>
      <c r="AW333" s="1782">
        <f t="shared" si="179"/>
        <v>0</v>
      </c>
      <c r="AX333" s="178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7"/>
      <c r="AV334" s="1782">
        <f t="shared" si="178"/>
        <v>0</v>
      </c>
      <c r="AW334" s="1782">
        <f t="shared" si="179"/>
        <v>0</v>
      </c>
      <c r="AX334" s="178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7"/>
      <c r="AV335" s="1782">
        <f t="shared" ref="AV335:AV366" si="207">A335</f>
        <v>0</v>
      </c>
      <c r="AW335" s="1782">
        <f t="shared" ref="AW335:AW366" si="208">B335</f>
        <v>0</v>
      </c>
      <c r="AX335" s="178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7"/>
      <c r="AV336" s="1782">
        <f t="shared" si="207"/>
        <v>0</v>
      </c>
      <c r="AW336" s="1782">
        <f t="shared" si="208"/>
        <v>0</v>
      </c>
      <c r="AX336" s="178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7"/>
      <c r="AV337" s="1782">
        <f t="shared" si="207"/>
        <v>0</v>
      </c>
      <c r="AW337" s="1782">
        <f t="shared" si="208"/>
        <v>0</v>
      </c>
      <c r="AX337" s="178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7"/>
      <c r="AV338" s="1782">
        <f t="shared" si="207"/>
        <v>0</v>
      </c>
      <c r="AW338" s="1782">
        <f t="shared" si="208"/>
        <v>0</v>
      </c>
      <c r="AX338" s="178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7"/>
      <c r="AV339" s="1782">
        <f t="shared" si="207"/>
        <v>0</v>
      </c>
      <c r="AW339" s="1782">
        <f t="shared" si="208"/>
        <v>0</v>
      </c>
      <c r="AX339" s="178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7"/>
      <c r="AV340" s="1782">
        <f t="shared" si="207"/>
        <v>0</v>
      </c>
      <c r="AW340" s="1782">
        <f t="shared" si="208"/>
        <v>0</v>
      </c>
      <c r="AX340" s="178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7"/>
      <c r="AV341" s="1782">
        <f t="shared" si="207"/>
        <v>0</v>
      </c>
      <c r="AW341" s="1782">
        <f t="shared" si="208"/>
        <v>0</v>
      </c>
      <c r="AX341" s="178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7"/>
      <c r="AV342" s="1782">
        <f t="shared" si="207"/>
        <v>0</v>
      </c>
      <c r="AW342" s="1782">
        <f t="shared" si="208"/>
        <v>0</v>
      </c>
      <c r="AX342" s="178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7"/>
      <c r="AV343" s="1782">
        <f t="shared" si="207"/>
        <v>0</v>
      </c>
      <c r="AW343" s="1782">
        <f t="shared" si="208"/>
        <v>0</v>
      </c>
      <c r="AX343" s="178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7"/>
      <c r="AV344" s="1782">
        <f t="shared" si="207"/>
        <v>0</v>
      </c>
      <c r="AW344" s="1782">
        <f t="shared" si="208"/>
        <v>0</v>
      </c>
      <c r="AX344" s="178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7"/>
      <c r="AV345" s="1782">
        <f t="shared" si="207"/>
        <v>0</v>
      </c>
      <c r="AW345" s="1782">
        <f t="shared" si="208"/>
        <v>0</v>
      </c>
      <c r="AX345" s="178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7"/>
      <c r="AV346" s="1782">
        <f t="shared" si="207"/>
        <v>0</v>
      </c>
      <c r="AW346" s="1782">
        <f t="shared" si="208"/>
        <v>0</v>
      </c>
      <c r="AX346" s="178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7"/>
      <c r="AV347" s="1782">
        <f t="shared" si="207"/>
        <v>0</v>
      </c>
      <c r="AW347" s="1782">
        <f t="shared" si="208"/>
        <v>0</v>
      </c>
      <c r="AX347" s="178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7"/>
      <c r="AV348" s="1782">
        <f t="shared" si="207"/>
        <v>0</v>
      </c>
      <c r="AW348" s="1782">
        <f t="shared" si="208"/>
        <v>0</v>
      </c>
      <c r="AX348" s="178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7"/>
      <c r="AV349" s="1782">
        <f t="shared" si="207"/>
        <v>0</v>
      </c>
      <c r="AW349" s="1782">
        <f t="shared" si="208"/>
        <v>0</v>
      </c>
      <c r="AX349" s="178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7"/>
      <c r="AV350" s="1782">
        <f t="shared" si="207"/>
        <v>0</v>
      </c>
      <c r="AW350" s="1782">
        <f t="shared" si="208"/>
        <v>0</v>
      </c>
      <c r="AX350" s="178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7"/>
      <c r="AV351" s="1782">
        <f t="shared" si="207"/>
        <v>0</v>
      </c>
      <c r="AW351" s="1782">
        <f t="shared" si="208"/>
        <v>0</v>
      </c>
      <c r="AX351" s="178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7"/>
      <c r="AV352" s="1782">
        <f t="shared" si="207"/>
        <v>0</v>
      </c>
      <c r="AW352" s="1782">
        <f t="shared" si="208"/>
        <v>0</v>
      </c>
      <c r="AX352" s="178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7"/>
      <c r="AV353" s="1782">
        <f t="shared" si="207"/>
        <v>0</v>
      </c>
      <c r="AW353" s="1782">
        <f t="shared" si="208"/>
        <v>0</v>
      </c>
      <c r="AX353" s="178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7"/>
      <c r="AV354" s="1782">
        <f t="shared" si="207"/>
        <v>0</v>
      </c>
      <c r="AW354" s="1782">
        <f t="shared" si="208"/>
        <v>0</v>
      </c>
      <c r="AX354" s="178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7"/>
      <c r="AV355" s="1782">
        <f t="shared" si="207"/>
        <v>0</v>
      </c>
      <c r="AW355" s="1782">
        <f t="shared" si="208"/>
        <v>0</v>
      </c>
      <c r="AX355" s="178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7"/>
      <c r="AV356" s="1782">
        <f t="shared" si="207"/>
        <v>0</v>
      </c>
      <c r="AW356" s="1782">
        <f t="shared" si="208"/>
        <v>0</v>
      </c>
      <c r="AX356" s="178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7"/>
      <c r="AV357" s="1782">
        <f t="shared" si="207"/>
        <v>0</v>
      </c>
      <c r="AW357" s="1782">
        <f t="shared" si="208"/>
        <v>0</v>
      </c>
      <c r="AX357" s="178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7"/>
      <c r="AV358" s="1782">
        <f t="shared" si="207"/>
        <v>0</v>
      </c>
      <c r="AW358" s="1782">
        <f t="shared" si="208"/>
        <v>0</v>
      </c>
      <c r="AX358" s="178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7"/>
      <c r="AV359" s="1782">
        <f t="shared" si="207"/>
        <v>0</v>
      </c>
      <c r="AW359" s="1782">
        <f t="shared" si="208"/>
        <v>0</v>
      </c>
      <c r="AX359" s="178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7"/>
      <c r="AV360" s="1782">
        <f t="shared" si="207"/>
        <v>0</v>
      </c>
      <c r="AW360" s="1782">
        <f t="shared" si="208"/>
        <v>0</v>
      </c>
      <c r="AX360" s="178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7"/>
      <c r="AV361" s="1782">
        <f t="shared" si="207"/>
        <v>0</v>
      </c>
      <c r="AW361" s="1782">
        <f t="shared" si="208"/>
        <v>0</v>
      </c>
      <c r="AX361" s="178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7"/>
      <c r="AV362" s="1782">
        <f t="shared" si="207"/>
        <v>0</v>
      </c>
      <c r="AW362" s="1782">
        <f t="shared" si="208"/>
        <v>0</v>
      </c>
      <c r="AX362" s="178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7"/>
      <c r="AV363" s="1782">
        <f t="shared" si="207"/>
        <v>0</v>
      </c>
      <c r="AW363" s="1782">
        <f t="shared" si="208"/>
        <v>0</v>
      </c>
      <c r="AX363" s="178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7"/>
      <c r="AV364" s="1782">
        <f t="shared" si="207"/>
        <v>0</v>
      </c>
      <c r="AW364" s="1782">
        <f t="shared" si="208"/>
        <v>0</v>
      </c>
      <c r="AX364" s="178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7"/>
      <c r="AV365" s="1782">
        <f t="shared" si="207"/>
        <v>0</v>
      </c>
      <c r="AW365" s="1782">
        <f t="shared" si="208"/>
        <v>0</v>
      </c>
      <c r="AX365" s="178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7"/>
      <c r="AV366" s="1782">
        <f t="shared" si="207"/>
        <v>0</v>
      </c>
      <c r="AW366" s="1782">
        <f t="shared" si="208"/>
        <v>0</v>
      </c>
      <c r="AX366" s="178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7"/>
      <c r="AV367" s="1782">
        <f t="shared" ref="AV367:AV397" si="236">A367</f>
        <v>0</v>
      </c>
      <c r="AW367" s="1782">
        <f t="shared" ref="AW367:AW397" si="237">B367</f>
        <v>0</v>
      </c>
      <c r="AX367" s="178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7"/>
      <c r="AV368" s="1782">
        <f t="shared" si="236"/>
        <v>0</v>
      </c>
      <c r="AW368" s="1782">
        <f t="shared" si="237"/>
        <v>0</v>
      </c>
      <c r="AX368" s="178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7"/>
      <c r="AV369" s="1782">
        <f t="shared" si="236"/>
        <v>0</v>
      </c>
      <c r="AW369" s="1782">
        <f t="shared" si="237"/>
        <v>0</v>
      </c>
      <c r="AX369" s="178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7"/>
      <c r="AV370" s="1782">
        <f t="shared" si="236"/>
        <v>0</v>
      </c>
      <c r="AW370" s="1782">
        <f t="shared" si="237"/>
        <v>0</v>
      </c>
      <c r="AX370" s="178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7"/>
      <c r="AV371" s="1782">
        <f t="shared" si="236"/>
        <v>0</v>
      </c>
      <c r="AW371" s="1782">
        <f t="shared" si="237"/>
        <v>0</v>
      </c>
      <c r="AX371" s="178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7"/>
      <c r="AV372" s="1782">
        <f t="shared" si="236"/>
        <v>0</v>
      </c>
      <c r="AW372" s="1782">
        <f t="shared" si="237"/>
        <v>0</v>
      </c>
      <c r="AX372" s="178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7"/>
      <c r="AV373" s="1782">
        <f t="shared" si="236"/>
        <v>0</v>
      </c>
      <c r="AW373" s="1782">
        <f t="shared" si="237"/>
        <v>0</v>
      </c>
      <c r="AX373" s="178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7"/>
      <c r="AV374" s="1782">
        <f t="shared" si="236"/>
        <v>0</v>
      </c>
      <c r="AW374" s="1782">
        <f t="shared" si="237"/>
        <v>0</v>
      </c>
      <c r="AX374" s="178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7"/>
      <c r="AV375" s="1782">
        <f t="shared" si="236"/>
        <v>0</v>
      </c>
      <c r="AW375" s="1782">
        <f t="shared" si="237"/>
        <v>0</v>
      </c>
      <c r="AX375" s="178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7"/>
      <c r="AV376" s="1782">
        <f t="shared" si="236"/>
        <v>0</v>
      </c>
      <c r="AW376" s="1782">
        <f t="shared" si="237"/>
        <v>0</v>
      </c>
      <c r="AX376" s="178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7"/>
      <c r="AV377" s="1782">
        <f t="shared" si="236"/>
        <v>0</v>
      </c>
      <c r="AW377" s="1782">
        <f t="shared" si="237"/>
        <v>0</v>
      </c>
      <c r="AX377" s="178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7"/>
      <c r="AV378" s="1782">
        <f t="shared" si="236"/>
        <v>0</v>
      </c>
      <c r="AW378" s="1782">
        <f t="shared" si="237"/>
        <v>0</v>
      </c>
      <c r="AX378" s="178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7"/>
      <c r="AV379" s="1782">
        <f t="shared" si="236"/>
        <v>0</v>
      </c>
      <c r="AW379" s="1782">
        <f t="shared" si="237"/>
        <v>0</v>
      </c>
      <c r="AX379" s="178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7"/>
      <c r="AV380" s="1782">
        <f t="shared" si="236"/>
        <v>0</v>
      </c>
      <c r="AW380" s="1782">
        <f t="shared" si="237"/>
        <v>0</v>
      </c>
      <c r="AX380" s="178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7"/>
      <c r="AV381" s="1782">
        <f t="shared" si="236"/>
        <v>0</v>
      </c>
      <c r="AW381" s="1782">
        <f t="shared" si="237"/>
        <v>0</v>
      </c>
      <c r="AX381" s="178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7"/>
      <c r="AV382" s="1782">
        <f t="shared" si="236"/>
        <v>0</v>
      </c>
      <c r="AW382" s="1782">
        <f t="shared" si="237"/>
        <v>0</v>
      </c>
      <c r="AX382" s="178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7"/>
      <c r="AV383" s="1782">
        <f t="shared" si="236"/>
        <v>0</v>
      </c>
      <c r="AW383" s="1782">
        <f t="shared" si="237"/>
        <v>0</v>
      </c>
      <c r="AX383" s="178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7"/>
      <c r="AV384" s="1782">
        <f t="shared" si="236"/>
        <v>0</v>
      </c>
      <c r="AW384" s="1782">
        <f t="shared" si="237"/>
        <v>0</v>
      </c>
      <c r="AX384" s="178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7"/>
      <c r="AV385" s="1782">
        <f t="shared" si="236"/>
        <v>0</v>
      </c>
      <c r="AW385" s="1782">
        <f t="shared" si="237"/>
        <v>0</v>
      </c>
      <c r="AX385" s="178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7"/>
      <c r="AV386" s="1782">
        <f t="shared" si="236"/>
        <v>0</v>
      </c>
      <c r="AW386" s="1782">
        <f t="shared" si="237"/>
        <v>0</v>
      </c>
      <c r="AX386" s="178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7"/>
      <c r="AV387" s="1782">
        <f t="shared" si="236"/>
        <v>0</v>
      </c>
      <c r="AW387" s="1782">
        <f t="shared" si="237"/>
        <v>0</v>
      </c>
      <c r="AX387" s="178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7"/>
      <c r="AV388" s="1782">
        <f t="shared" si="236"/>
        <v>0</v>
      </c>
      <c r="AW388" s="1782">
        <f t="shared" si="237"/>
        <v>0</v>
      </c>
      <c r="AX388" s="178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7"/>
      <c r="AV389" s="1782">
        <f t="shared" si="236"/>
        <v>0</v>
      </c>
      <c r="AW389" s="1782">
        <f t="shared" si="237"/>
        <v>0</v>
      </c>
      <c r="AX389" s="178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7"/>
      <c r="AV390" s="1782">
        <f t="shared" si="236"/>
        <v>0</v>
      </c>
      <c r="AW390" s="1782">
        <f t="shared" si="237"/>
        <v>0</v>
      </c>
      <c r="AX390" s="178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7"/>
      <c r="AV391" s="1782">
        <f t="shared" si="236"/>
        <v>0</v>
      </c>
      <c r="AW391" s="1782">
        <f t="shared" si="237"/>
        <v>0</v>
      </c>
      <c r="AX391" s="178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7"/>
      <c r="AV392" s="1782">
        <f t="shared" si="236"/>
        <v>0</v>
      </c>
      <c r="AW392" s="1782">
        <f t="shared" si="237"/>
        <v>0</v>
      </c>
      <c r="AX392" s="178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7"/>
      <c r="AV393" s="1782">
        <f t="shared" si="236"/>
        <v>0</v>
      </c>
      <c r="AW393" s="1782">
        <f t="shared" si="237"/>
        <v>0</v>
      </c>
      <c r="AX393" s="178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7"/>
      <c r="AV394" s="1782">
        <f t="shared" si="236"/>
        <v>0</v>
      </c>
      <c r="AW394" s="1782">
        <f t="shared" si="237"/>
        <v>0</v>
      </c>
      <c r="AX394" s="178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2"/>
      <c r="AV395" s="1782">
        <f t="shared" si="236"/>
        <v>0</v>
      </c>
      <c r="AW395" s="1782">
        <f t="shared" si="237"/>
        <v>0</v>
      </c>
      <c r="AX395" s="178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2"/>
      <c r="AV396" s="1782">
        <f t="shared" si="236"/>
        <v>0</v>
      </c>
      <c r="AW396" s="1782">
        <f t="shared" si="237"/>
        <v>0</v>
      </c>
      <c r="AX396" s="178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2"/>
      <c r="AV397" s="1782">
        <f t="shared" si="236"/>
        <v>0</v>
      </c>
      <c r="AW397" s="1782">
        <f t="shared" si="237"/>
        <v>0</v>
      </c>
      <c r="AX397" s="178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7"/>
      <c r="AV398" s="1782">
        <f t="shared" ref="AV398:AV492" si="243">A398</f>
        <v>0</v>
      </c>
      <c r="AW398" s="1782">
        <f t="shared" ref="AW398:AW492" si="244">B398</f>
        <v>0</v>
      </c>
      <c r="AX398" s="178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7"/>
      <c r="AV399" s="1782">
        <f t="shared" si="243"/>
        <v>0</v>
      </c>
      <c r="AW399" s="1782">
        <f t="shared" si="244"/>
        <v>0</v>
      </c>
      <c r="AX399" s="178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7"/>
      <c r="AV400" s="1782">
        <f t="shared" si="243"/>
        <v>0</v>
      </c>
      <c r="AW400" s="1782">
        <f t="shared" si="244"/>
        <v>0</v>
      </c>
      <c r="AX400" s="178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7"/>
      <c r="AV401" s="1782">
        <f t="shared" si="243"/>
        <v>0</v>
      </c>
      <c r="AW401" s="1782">
        <f t="shared" si="244"/>
        <v>0</v>
      </c>
      <c r="AX401" s="178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7"/>
      <c r="AV402" s="1782">
        <f t="shared" si="243"/>
        <v>0</v>
      </c>
      <c r="AW402" s="1782">
        <f t="shared" si="244"/>
        <v>0</v>
      </c>
      <c r="AX402" s="178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7"/>
      <c r="AV403" s="1782">
        <f t="shared" si="243"/>
        <v>0</v>
      </c>
      <c r="AW403" s="1782">
        <f t="shared" si="244"/>
        <v>0</v>
      </c>
      <c r="AX403" s="178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7"/>
      <c r="AV404" s="1782">
        <f t="shared" si="243"/>
        <v>0</v>
      </c>
      <c r="AW404" s="1782">
        <f t="shared" si="244"/>
        <v>0</v>
      </c>
      <c r="AX404" s="178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7"/>
      <c r="AV405" s="1782">
        <f t="shared" si="243"/>
        <v>0</v>
      </c>
      <c r="AW405" s="1782">
        <f t="shared" si="244"/>
        <v>0</v>
      </c>
      <c r="AX405" s="178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7"/>
      <c r="AV406" s="1782">
        <f t="shared" si="243"/>
        <v>0</v>
      </c>
      <c r="AW406" s="1782">
        <f t="shared" si="244"/>
        <v>0</v>
      </c>
      <c r="AX406" s="178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7"/>
      <c r="AV407" s="1782">
        <f t="shared" si="243"/>
        <v>0</v>
      </c>
      <c r="AW407" s="1782">
        <f t="shared" si="244"/>
        <v>0</v>
      </c>
      <c r="AX407" s="178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7"/>
      <c r="AV408" s="1782">
        <f t="shared" si="243"/>
        <v>0</v>
      </c>
      <c r="AW408" s="1782">
        <f t="shared" si="244"/>
        <v>0</v>
      </c>
      <c r="AX408" s="178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7"/>
      <c r="AV409" s="1782">
        <f t="shared" si="243"/>
        <v>0</v>
      </c>
      <c r="AW409" s="1782">
        <f t="shared" si="244"/>
        <v>0</v>
      </c>
      <c r="AX409" s="178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7"/>
      <c r="AV410" s="1782">
        <f t="shared" si="243"/>
        <v>0</v>
      </c>
      <c r="AW410" s="1782">
        <f t="shared" si="244"/>
        <v>0</v>
      </c>
      <c r="AX410" s="178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7"/>
      <c r="AV411" s="1782">
        <f t="shared" si="243"/>
        <v>0</v>
      </c>
      <c r="AW411" s="1782">
        <f t="shared" si="244"/>
        <v>0</v>
      </c>
      <c r="AX411" s="178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7"/>
      <c r="AV412" s="1782">
        <f t="shared" si="243"/>
        <v>0</v>
      </c>
      <c r="AW412" s="1782">
        <f t="shared" si="244"/>
        <v>0</v>
      </c>
      <c r="AX412" s="178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7"/>
      <c r="AV413" s="1782">
        <f t="shared" si="243"/>
        <v>0</v>
      </c>
      <c r="AW413" s="1782">
        <f t="shared" si="244"/>
        <v>0</v>
      </c>
      <c r="AX413" s="178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7"/>
      <c r="AV414" s="1782">
        <f t="shared" si="243"/>
        <v>0</v>
      </c>
      <c r="AW414" s="1782">
        <f t="shared" si="244"/>
        <v>0</v>
      </c>
      <c r="AX414" s="178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7"/>
      <c r="AV415" s="1782">
        <f t="shared" si="243"/>
        <v>0</v>
      </c>
      <c r="AW415" s="1782">
        <f t="shared" si="244"/>
        <v>0</v>
      </c>
      <c r="AX415" s="178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7"/>
      <c r="AV416" s="1782">
        <f t="shared" si="243"/>
        <v>0</v>
      </c>
      <c r="AW416" s="1782">
        <f t="shared" si="244"/>
        <v>0</v>
      </c>
      <c r="AX416" s="178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7"/>
      <c r="AV417" s="1782">
        <f t="shared" si="243"/>
        <v>0</v>
      </c>
      <c r="AW417" s="1782">
        <f t="shared" si="244"/>
        <v>0</v>
      </c>
      <c r="AX417" s="178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7"/>
      <c r="AV418" s="1782">
        <f t="shared" si="243"/>
        <v>0</v>
      </c>
      <c r="AW418" s="1782">
        <f t="shared" si="244"/>
        <v>0</v>
      </c>
      <c r="AX418" s="178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7"/>
      <c r="AV419" s="1782">
        <f t="shared" si="243"/>
        <v>0</v>
      </c>
      <c r="AW419" s="1782">
        <f t="shared" si="244"/>
        <v>0</v>
      </c>
      <c r="AX419" s="178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7"/>
      <c r="AV420" s="1782">
        <f t="shared" si="243"/>
        <v>0</v>
      </c>
      <c r="AW420" s="1782">
        <f t="shared" si="244"/>
        <v>0</v>
      </c>
      <c r="AX420" s="178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7"/>
      <c r="AV421" s="1782">
        <f t="shared" si="243"/>
        <v>0</v>
      </c>
      <c r="AW421" s="1782">
        <f t="shared" si="244"/>
        <v>0</v>
      </c>
      <c r="AX421" s="178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7"/>
      <c r="AV422" s="1782">
        <f t="shared" si="243"/>
        <v>0</v>
      </c>
      <c r="AW422" s="1782">
        <f t="shared" si="244"/>
        <v>0</v>
      </c>
      <c r="AX422" s="178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7"/>
      <c r="AV423" s="1782">
        <f t="shared" si="243"/>
        <v>0</v>
      </c>
      <c r="AW423" s="1782">
        <f t="shared" si="244"/>
        <v>0</v>
      </c>
      <c r="AX423" s="178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7"/>
      <c r="AV424" s="1782">
        <f t="shared" si="243"/>
        <v>0</v>
      </c>
      <c r="AW424" s="1782">
        <f t="shared" si="244"/>
        <v>0</v>
      </c>
      <c r="AX424" s="178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7"/>
      <c r="AV425" s="1782">
        <f t="shared" si="243"/>
        <v>0</v>
      </c>
      <c r="AW425" s="1782">
        <f t="shared" si="244"/>
        <v>0</v>
      </c>
      <c r="AX425" s="178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7"/>
      <c r="AV426" s="1782">
        <f t="shared" si="243"/>
        <v>0</v>
      </c>
      <c r="AW426" s="1782">
        <f t="shared" si="244"/>
        <v>0</v>
      </c>
      <c r="AX426" s="178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7"/>
      <c r="AV427" s="1782">
        <f t="shared" si="243"/>
        <v>0</v>
      </c>
      <c r="AW427" s="1782">
        <f t="shared" si="244"/>
        <v>0</v>
      </c>
      <c r="AX427" s="178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7"/>
      <c r="AV428" s="1782">
        <f t="shared" si="243"/>
        <v>0</v>
      </c>
      <c r="AW428" s="1782">
        <f t="shared" si="244"/>
        <v>0</v>
      </c>
      <c r="AX428" s="178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7"/>
      <c r="AV429" s="1782">
        <f t="shared" si="243"/>
        <v>0</v>
      </c>
      <c r="AW429" s="1782">
        <f t="shared" si="244"/>
        <v>0</v>
      </c>
      <c r="AX429" s="178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7"/>
      <c r="AV430" s="1782">
        <f t="shared" si="243"/>
        <v>0</v>
      </c>
      <c r="AW430" s="1782">
        <f t="shared" si="244"/>
        <v>0</v>
      </c>
      <c r="AX430" s="178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7"/>
      <c r="AV431" s="1782">
        <f t="shared" si="243"/>
        <v>0</v>
      </c>
      <c r="AW431" s="1782">
        <f t="shared" si="244"/>
        <v>0</v>
      </c>
      <c r="AX431" s="178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7"/>
      <c r="AV432" s="1782">
        <f t="shared" si="243"/>
        <v>0</v>
      </c>
      <c r="AW432" s="1782">
        <f t="shared" si="244"/>
        <v>0</v>
      </c>
      <c r="AX432" s="178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7"/>
      <c r="AV433" s="1782">
        <f t="shared" si="243"/>
        <v>0</v>
      </c>
      <c r="AW433" s="1782">
        <f t="shared" si="244"/>
        <v>0</v>
      </c>
      <c r="AX433" s="178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7"/>
      <c r="AV434" s="1782">
        <f t="shared" si="243"/>
        <v>0</v>
      </c>
      <c r="AW434" s="1782">
        <f t="shared" si="244"/>
        <v>0</v>
      </c>
      <c r="AX434" s="178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7"/>
      <c r="AV435" s="1782">
        <f t="shared" si="243"/>
        <v>0</v>
      </c>
      <c r="AW435" s="1782">
        <f t="shared" si="244"/>
        <v>0</v>
      </c>
      <c r="AX435" s="178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7"/>
      <c r="AV436" s="1782">
        <f t="shared" si="243"/>
        <v>0</v>
      </c>
      <c r="AW436" s="1782">
        <f t="shared" si="244"/>
        <v>0</v>
      </c>
      <c r="AX436" s="178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7"/>
      <c r="AV437" s="1782">
        <f t="shared" si="243"/>
        <v>0</v>
      </c>
      <c r="AW437" s="1782">
        <f t="shared" si="244"/>
        <v>0</v>
      </c>
      <c r="AX437" s="178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7"/>
      <c r="AV438" s="1782">
        <f t="shared" si="243"/>
        <v>0</v>
      </c>
      <c r="AW438" s="1782">
        <f t="shared" si="244"/>
        <v>0</v>
      </c>
      <c r="AX438" s="178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7"/>
      <c r="AV439" s="1782">
        <f t="shared" si="243"/>
        <v>0</v>
      </c>
      <c r="AW439" s="1782">
        <f t="shared" si="244"/>
        <v>0</v>
      </c>
      <c r="AX439" s="178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7"/>
      <c r="AV440" s="1782">
        <f t="shared" si="243"/>
        <v>0</v>
      </c>
      <c r="AW440" s="1782">
        <f t="shared" si="244"/>
        <v>0</v>
      </c>
      <c r="AX440" s="178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7"/>
      <c r="AV441" s="1782">
        <f t="shared" si="243"/>
        <v>0</v>
      </c>
      <c r="AW441" s="1782">
        <f t="shared" si="244"/>
        <v>0</v>
      </c>
      <c r="AX441" s="178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7"/>
      <c r="AV442" s="1782">
        <f t="shared" si="243"/>
        <v>0</v>
      </c>
      <c r="AW442" s="1782">
        <f t="shared" si="244"/>
        <v>0</v>
      </c>
      <c r="AX442" s="178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7"/>
      <c r="AV443" s="1782">
        <f t="shared" si="243"/>
        <v>0</v>
      </c>
      <c r="AW443" s="1782">
        <f t="shared" si="244"/>
        <v>0</v>
      </c>
      <c r="AX443" s="178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7"/>
      <c r="AV444" s="1782">
        <f t="shared" si="243"/>
        <v>0</v>
      </c>
      <c r="AW444" s="1782">
        <f t="shared" si="244"/>
        <v>0</v>
      </c>
      <c r="AX444" s="178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7"/>
      <c r="AV445" s="1782">
        <f t="shared" si="243"/>
        <v>0</v>
      </c>
      <c r="AW445" s="1782">
        <f t="shared" si="244"/>
        <v>0</v>
      </c>
      <c r="AX445" s="178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7"/>
      <c r="AV446" s="1782">
        <f t="shared" si="243"/>
        <v>0</v>
      </c>
      <c r="AW446" s="1782">
        <f t="shared" si="244"/>
        <v>0</v>
      </c>
      <c r="AX446" s="178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7"/>
      <c r="AV447" s="1782">
        <f t="shared" si="243"/>
        <v>0</v>
      </c>
      <c r="AW447" s="1782">
        <f t="shared" si="244"/>
        <v>0</v>
      </c>
      <c r="AX447" s="178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7"/>
      <c r="AV448" s="1782">
        <f t="shared" si="243"/>
        <v>0</v>
      </c>
      <c r="AW448" s="1782">
        <f t="shared" si="244"/>
        <v>0</v>
      </c>
      <c r="AX448" s="178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7"/>
      <c r="AV449" s="1782">
        <f t="shared" si="243"/>
        <v>0</v>
      </c>
      <c r="AW449" s="1782">
        <f t="shared" si="244"/>
        <v>0</v>
      </c>
      <c r="AX449" s="178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7"/>
      <c r="AV450" s="1782">
        <f t="shared" si="243"/>
        <v>0</v>
      </c>
      <c r="AW450" s="1782">
        <f t="shared" si="244"/>
        <v>0</v>
      </c>
      <c r="AX450" s="178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7"/>
      <c r="AV451" s="1782">
        <f t="shared" si="243"/>
        <v>0</v>
      </c>
      <c r="AW451" s="1782">
        <f t="shared" si="244"/>
        <v>0</v>
      </c>
      <c r="AX451" s="178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7"/>
      <c r="AV452" s="1782">
        <f t="shared" si="243"/>
        <v>0</v>
      </c>
      <c r="AW452" s="1782">
        <f t="shared" si="244"/>
        <v>0</v>
      </c>
      <c r="AX452" s="178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7"/>
      <c r="AV453" s="1782">
        <f t="shared" si="243"/>
        <v>0</v>
      </c>
      <c r="AW453" s="1782">
        <f t="shared" si="244"/>
        <v>0</v>
      </c>
      <c r="AX453" s="178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7"/>
      <c r="AV454" s="1782">
        <f t="shared" si="243"/>
        <v>0</v>
      </c>
      <c r="AW454" s="1782">
        <f t="shared" si="244"/>
        <v>0</v>
      </c>
      <c r="AX454" s="178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7"/>
      <c r="AV455" s="1782">
        <f t="shared" si="243"/>
        <v>0</v>
      </c>
      <c r="AW455" s="1782">
        <f t="shared" si="244"/>
        <v>0</v>
      </c>
      <c r="AX455" s="178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7"/>
      <c r="AV456" s="1782">
        <f t="shared" si="243"/>
        <v>0</v>
      </c>
      <c r="AW456" s="1782">
        <f t="shared" si="244"/>
        <v>0</v>
      </c>
      <c r="AX456" s="178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7"/>
      <c r="AV457" s="1782">
        <f t="shared" si="243"/>
        <v>0</v>
      </c>
      <c r="AW457" s="1782">
        <f t="shared" si="244"/>
        <v>0</v>
      </c>
      <c r="AX457" s="178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7"/>
      <c r="AV458" s="1782">
        <f t="shared" si="243"/>
        <v>0</v>
      </c>
      <c r="AW458" s="1782">
        <f t="shared" si="244"/>
        <v>0</v>
      </c>
      <c r="AX458" s="178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7"/>
      <c r="AV459" s="1782">
        <f t="shared" si="243"/>
        <v>0</v>
      </c>
      <c r="AW459" s="1782">
        <f t="shared" si="244"/>
        <v>0</v>
      </c>
      <c r="AX459" s="178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7"/>
      <c r="AV460" s="1782">
        <f t="shared" si="243"/>
        <v>0</v>
      </c>
      <c r="AW460" s="1782">
        <f t="shared" si="244"/>
        <v>0</v>
      </c>
      <c r="AX460" s="178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7"/>
      <c r="AV461" s="1782">
        <f t="shared" si="243"/>
        <v>0</v>
      </c>
      <c r="AW461" s="1782">
        <f t="shared" si="244"/>
        <v>0</v>
      </c>
      <c r="AX461" s="178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7"/>
      <c r="AV462" s="1782">
        <f t="shared" si="243"/>
        <v>0</v>
      </c>
      <c r="AW462" s="1782">
        <f t="shared" si="244"/>
        <v>0</v>
      </c>
      <c r="AX462" s="178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7"/>
      <c r="AV463" s="1782">
        <f t="shared" si="243"/>
        <v>0</v>
      </c>
      <c r="AW463" s="1782">
        <f t="shared" si="244"/>
        <v>0</v>
      </c>
      <c r="AX463" s="178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7"/>
      <c r="AV464" s="1782">
        <f t="shared" si="243"/>
        <v>0</v>
      </c>
      <c r="AW464" s="1782">
        <f t="shared" si="244"/>
        <v>0</v>
      </c>
      <c r="AX464" s="178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7"/>
      <c r="AV465" s="1782">
        <f t="shared" si="243"/>
        <v>0</v>
      </c>
      <c r="AW465" s="1782">
        <f t="shared" si="244"/>
        <v>0</v>
      </c>
      <c r="AX465" s="178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7"/>
      <c r="AV466" s="1782">
        <f t="shared" si="243"/>
        <v>0</v>
      </c>
      <c r="AW466" s="1782">
        <f t="shared" si="244"/>
        <v>0</v>
      </c>
      <c r="AX466" s="178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7"/>
      <c r="AV467" s="1782">
        <f t="shared" si="243"/>
        <v>0</v>
      </c>
      <c r="AW467" s="1782">
        <f t="shared" si="244"/>
        <v>0</v>
      </c>
      <c r="AX467" s="178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7"/>
      <c r="AV468" s="1782">
        <f t="shared" si="243"/>
        <v>0</v>
      </c>
      <c r="AW468" s="1782">
        <f t="shared" si="244"/>
        <v>0</v>
      </c>
      <c r="AX468" s="178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7"/>
      <c r="AV469" s="1782">
        <f t="shared" si="243"/>
        <v>0</v>
      </c>
      <c r="AW469" s="1782">
        <f t="shared" si="244"/>
        <v>0</v>
      </c>
      <c r="AX469" s="178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7"/>
      <c r="AV470" s="1782">
        <f t="shared" si="243"/>
        <v>0</v>
      </c>
      <c r="AW470" s="1782">
        <f t="shared" si="244"/>
        <v>0</v>
      </c>
      <c r="AX470" s="178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7"/>
      <c r="AV471" s="1782">
        <f t="shared" si="243"/>
        <v>0</v>
      </c>
      <c r="AW471" s="1782">
        <f t="shared" si="244"/>
        <v>0</v>
      </c>
      <c r="AX471" s="178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7"/>
      <c r="AV472" s="1782">
        <f t="shared" si="243"/>
        <v>0</v>
      </c>
      <c r="AW472" s="1782">
        <f t="shared" si="244"/>
        <v>0</v>
      </c>
      <c r="AX472" s="178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7"/>
      <c r="AV473" s="1782">
        <f t="shared" si="243"/>
        <v>0</v>
      </c>
      <c r="AW473" s="1782">
        <f t="shared" si="244"/>
        <v>0</v>
      </c>
      <c r="AX473" s="178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7"/>
      <c r="AV474" s="1782">
        <f t="shared" si="243"/>
        <v>0</v>
      </c>
      <c r="AW474" s="1782">
        <f t="shared" si="244"/>
        <v>0</v>
      </c>
      <c r="AX474" s="178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7"/>
      <c r="AV475" s="1782">
        <f t="shared" si="243"/>
        <v>0</v>
      </c>
      <c r="AW475" s="1782">
        <f t="shared" si="244"/>
        <v>0</v>
      </c>
      <c r="AX475" s="178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7"/>
      <c r="AV476" s="1782">
        <f t="shared" si="243"/>
        <v>0</v>
      </c>
      <c r="AW476" s="1782">
        <f t="shared" si="244"/>
        <v>0</v>
      </c>
      <c r="AX476" s="178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7"/>
      <c r="AV477" s="1782">
        <f t="shared" si="243"/>
        <v>0</v>
      </c>
      <c r="AW477" s="1782">
        <f t="shared" si="244"/>
        <v>0</v>
      </c>
      <c r="AX477" s="178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7"/>
      <c r="AV478" s="1782">
        <f t="shared" si="243"/>
        <v>0</v>
      </c>
      <c r="AW478" s="1782">
        <f t="shared" si="244"/>
        <v>0</v>
      </c>
      <c r="AX478" s="178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7"/>
      <c r="AV479" s="1782">
        <f t="shared" si="243"/>
        <v>0</v>
      </c>
      <c r="AW479" s="1782">
        <f t="shared" si="244"/>
        <v>0</v>
      </c>
      <c r="AX479" s="178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7"/>
      <c r="AV480" s="1782">
        <f t="shared" si="243"/>
        <v>0</v>
      </c>
      <c r="AW480" s="1782">
        <f t="shared" si="244"/>
        <v>0</v>
      </c>
      <c r="AX480" s="178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7"/>
      <c r="AV481" s="1782">
        <f t="shared" si="243"/>
        <v>0</v>
      </c>
      <c r="AW481" s="1782">
        <f t="shared" si="244"/>
        <v>0</v>
      </c>
      <c r="AX481" s="178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7"/>
      <c r="AV482" s="1782">
        <f t="shared" si="243"/>
        <v>0</v>
      </c>
      <c r="AW482" s="1782">
        <f t="shared" si="244"/>
        <v>0</v>
      </c>
      <c r="AX482" s="178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7"/>
      <c r="AV483" s="1782">
        <f t="shared" si="243"/>
        <v>0</v>
      </c>
      <c r="AW483" s="1782">
        <f t="shared" si="244"/>
        <v>0</v>
      </c>
      <c r="AX483" s="178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7"/>
      <c r="AV484" s="1782">
        <f t="shared" si="243"/>
        <v>0</v>
      </c>
      <c r="AW484" s="1782">
        <f t="shared" si="244"/>
        <v>0</v>
      </c>
      <c r="AX484" s="178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7"/>
      <c r="AV485" s="1782">
        <f t="shared" si="243"/>
        <v>0</v>
      </c>
      <c r="AW485" s="1782">
        <f t="shared" si="244"/>
        <v>0</v>
      </c>
      <c r="AX485" s="178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7"/>
      <c r="AV486" s="1782">
        <f t="shared" si="243"/>
        <v>0</v>
      </c>
      <c r="AW486" s="1782">
        <f t="shared" si="244"/>
        <v>0</v>
      </c>
      <c r="AX486" s="178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7"/>
      <c r="AV487" s="1782">
        <f t="shared" si="243"/>
        <v>0</v>
      </c>
      <c r="AW487" s="1782">
        <f t="shared" si="244"/>
        <v>0</v>
      </c>
      <c r="AX487" s="178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7"/>
      <c r="AV488" s="1782">
        <f t="shared" si="243"/>
        <v>0</v>
      </c>
      <c r="AW488" s="1782">
        <f t="shared" si="244"/>
        <v>0</v>
      </c>
      <c r="AX488" s="178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7"/>
      <c r="AV489" s="1782">
        <f t="shared" si="243"/>
        <v>0</v>
      </c>
      <c r="AW489" s="1782">
        <f t="shared" si="244"/>
        <v>0</v>
      </c>
      <c r="AX489" s="178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2"/>
      <c r="AV490" s="1782">
        <f t="shared" si="243"/>
        <v>0</v>
      </c>
      <c r="AW490" s="1782">
        <f t="shared" si="244"/>
        <v>0</v>
      </c>
      <c r="AX490" s="178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2"/>
      <c r="AV491" s="1782">
        <f t="shared" si="243"/>
        <v>0</v>
      </c>
      <c r="AW491" s="1782">
        <f t="shared" si="244"/>
        <v>0</v>
      </c>
      <c r="AX491" s="178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2"/>
      <c r="AV492" s="1782">
        <f t="shared" si="243"/>
        <v>0</v>
      </c>
      <c r="AW492" s="1782">
        <f t="shared" si="244"/>
        <v>0</v>
      </c>
      <c r="AX492" s="178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7"/>
      <c r="AV493" s="1782">
        <f t="shared" ref="AV493:AV520" si="294">A493</f>
        <v>0</v>
      </c>
      <c r="AW493" s="1782">
        <f t="shared" ref="AW493:AW520" si="295">B493</f>
        <v>0</v>
      </c>
      <c r="AX493" s="178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7"/>
      <c r="AV494" s="1782">
        <f t="shared" si="294"/>
        <v>0</v>
      </c>
      <c r="AW494" s="1782">
        <f t="shared" si="295"/>
        <v>0</v>
      </c>
      <c r="AX494" s="178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7"/>
      <c r="AV495" s="1782">
        <f t="shared" si="294"/>
        <v>0</v>
      </c>
      <c r="AW495" s="1782">
        <f t="shared" si="295"/>
        <v>0</v>
      </c>
      <c r="AX495" s="178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7"/>
      <c r="AV496" s="1782">
        <f t="shared" si="294"/>
        <v>0</v>
      </c>
      <c r="AW496" s="1782">
        <f t="shared" si="295"/>
        <v>0</v>
      </c>
      <c r="AX496" s="178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7"/>
      <c r="AV497" s="1782">
        <f t="shared" si="294"/>
        <v>0</v>
      </c>
      <c r="AW497" s="1782">
        <f t="shared" si="295"/>
        <v>0</v>
      </c>
      <c r="AX497" s="178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7"/>
      <c r="AV498" s="1782">
        <f t="shared" si="294"/>
        <v>0</v>
      </c>
      <c r="AW498" s="1782">
        <f t="shared" si="295"/>
        <v>0</v>
      </c>
      <c r="AX498" s="178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7"/>
      <c r="AV499" s="1782">
        <f t="shared" si="294"/>
        <v>0</v>
      </c>
      <c r="AW499" s="1782">
        <f t="shared" si="295"/>
        <v>0</v>
      </c>
      <c r="AX499" s="178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7"/>
      <c r="AV500" s="1782">
        <f t="shared" si="294"/>
        <v>0</v>
      </c>
      <c r="AW500" s="1782">
        <f t="shared" si="295"/>
        <v>0</v>
      </c>
      <c r="AX500" s="178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7"/>
      <c r="AV501" s="1782">
        <f t="shared" si="294"/>
        <v>0</v>
      </c>
      <c r="AW501" s="1782">
        <f t="shared" si="295"/>
        <v>0</v>
      </c>
      <c r="AX501" s="178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7"/>
      <c r="AV502" s="1782">
        <f t="shared" si="294"/>
        <v>0</v>
      </c>
      <c r="AW502" s="1782">
        <f t="shared" si="295"/>
        <v>0</v>
      </c>
      <c r="AX502" s="178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7"/>
      <c r="AV503" s="1782">
        <f t="shared" si="294"/>
        <v>0</v>
      </c>
      <c r="AW503" s="1782">
        <f t="shared" si="295"/>
        <v>0</v>
      </c>
      <c r="AX503" s="178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7"/>
      <c r="AV504" s="1782">
        <f t="shared" si="294"/>
        <v>0</v>
      </c>
      <c r="AW504" s="1782">
        <f t="shared" si="295"/>
        <v>0</v>
      </c>
      <c r="AX504" s="178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7"/>
      <c r="AV505" s="1782">
        <f t="shared" si="294"/>
        <v>0</v>
      </c>
      <c r="AW505" s="1782">
        <f t="shared" si="295"/>
        <v>0</v>
      </c>
      <c r="AX505" s="178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7"/>
      <c r="AV506" s="1782">
        <f t="shared" si="294"/>
        <v>0</v>
      </c>
      <c r="AW506" s="1782">
        <f t="shared" si="295"/>
        <v>0</v>
      </c>
      <c r="AX506" s="178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7"/>
      <c r="AV507" s="1782">
        <f t="shared" si="294"/>
        <v>0</v>
      </c>
      <c r="AW507" s="1782">
        <f t="shared" si="295"/>
        <v>0</v>
      </c>
      <c r="AX507" s="178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7"/>
      <c r="AV508" s="1782">
        <f t="shared" si="294"/>
        <v>0</v>
      </c>
      <c r="AW508" s="1782">
        <f t="shared" si="295"/>
        <v>0</v>
      </c>
      <c r="AX508" s="178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7"/>
      <c r="AV509" s="1782">
        <f t="shared" si="294"/>
        <v>0</v>
      </c>
      <c r="AW509" s="1782">
        <f t="shared" si="295"/>
        <v>0</v>
      </c>
      <c r="AX509" s="178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7"/>
      <c r="AV510" s="1782">
        <f t="shared" si="294"/>
        <v>0</v>
      </c>
      <c r="AW510" s="1782">
        <f t="shared" si="295"/>
        <v>0</v>
      </c>
      <c r="AX510" s="178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7"/>
      <c r="AV511" s="1782">
        <f t="shared" si="294"/>
        <v>0</v>
      </c>
      <c r="AW511" s="1782">
        <f t="shared" si="295"/>
        <v>0</v>
      </c>
      <c r="AX511" s="178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7"/>
      <c r="AV512" s="1782">
        <f t="shared" si="294"/>
        <v>0</v>
      </c>
      <c r="AW512" s="1782">
        <f t="shared" si="295"/>
        <v>0</v>
      </c>
      <c r="AX512" s="178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7"/>
      <c r="AV513" s="1782">
        <f t="shared" si="294"/>
        <v>0</v>
      </c>
      <c r="AW513" s="1782">
        <f t="shared" si="295"/>
        <v>0</v>
      </c>
      <c r="AX513" s="178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7"/>
      <c r="AV514" s="1782">
        <f t="shared" si="294"/>
        <v>0</v>
      </c>
      <c r="AW514" s="1782">
        <f t="shared" si="295"/>
        <v>0</v>
      </c>
      <c r="AX514" s="178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7"/>
      <c r="AV515" s="1782">
        <f t="shared" si="294"/>
        <v>0</v>
      </c>
      <c r="AW515" s="1782">
        <f t="shared" si="295"/>
        <v>0</v>
      </c>
      <c r="AX515" s="178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7"/>
      <c r="AV516" s="1782">
        <f t="shared" si="294"/>
        <v>0</v>
      </c>
      <c r="AW516" s="1782">
        <f t="shared" si="295"/>
        <v>0</v>
      </c>
      <c r="AX516" s="178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7"/>
      <c r="AV517" s="1782">
        <f t="shared" si="294"/>
        <v>0</v>
      </c>
      <c r="AW517" s="1782">
        <f t="shared" si="295"/>
        <v>0</v>
      </c>
      <c r="AX517" s="178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7"/>
      <c r="AV518" s="1782">
        <f t="shared" si="294"/>
        <v>0</v>
      </c>
      <c r="AW518" s="1782">
        <f t="shared" si="295"/>
        <v>0</v>
      </c>
      <c r="AX518" s="178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7"/>
      <c r="AV519" s="1782">
        <f t="shared" si="294"/>
        <v>0</v>
      </c>
      <c r="AW519" s="1782">
        <f t="shared" si="295"/>
        <v>0</v>
      </c>
      <c r="AX519" s="178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7"/>
      <c r="AV520" s="1782">
        <f t="shared" si="294"/>
        <v>0</v>
      </c>
      <c r="AW520" s="1782">
        <f t="shared" si="295"/>
        <v>0</v>
      </c>
      <c r="AX520" s="178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7"/>
      <c r="AV521" s="1782">
        <f t="shared" ref="AV521:AV552" si="298">A521</f>
        <v>0</v>
      </c>
      <c r="AW521" s="1782">
        <f t="shared" ref="AW521:AW552" si="299">B521</f>
        <v>0</v>
      </c>
      <c r="AX521" s="178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7"/>
      <c r="AV522" s="1782">
        <f t="shared" si="298"/>
        <v>0</v>
      </c>
      <c r="AW522" s="1782">
        <f t="shared" si="299"/>
        <v>0</v>
      </c>
      <c r="AX522" s="178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7"/>
      <c r="AV523" s="1782">
        <f t="shared" si="298"/>
        <v>0</v>
      </c>
      <c r="AW523" s="1782">
        <f t="shared" si="299"/>
        <v>0</v>
      </c>
      <c r="AX523" s="178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7"/>
      <c r="AV524" s="1782">
        <f t="shared" si="298"/>
        <v>0</v>
      </c>
      <c r="AW524" s="1782">
        <f t="shared" si="299"/>
        <v>0</v>
      </c>
      <c r="AX524" s="178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7"/>
      <c r="AV525" s="1782">
        <f t="shared" si="298"/>
        <v>0</v>
      </c>
      <c r="AW525" s="1782">
        <f t="shared" si="299"/>
        <v>0</v>
      </c>
      <c r="AX525" s="178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7"/>
      <c r="AV526" s="1782">
        <f t="shared" si="298"/>
        <v>0</v>
      </c>
      <c r="AW526" s="1782">
        <f t="shared" si="299"/>
        <v>0</v>
      </c>
      <c r="AX526" s="178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7"/>
      <c r="AV527" s="1782">
        <f t="shared" si="298"/>
        <v>0</v>
      </c>
      <c r="AW527" s="1782">
        <f t="shared" si="299"/>
        <v>0</v>
      </c>
      <c r="AX527" s="178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7"/>
      <c r="AV528" s="1782">
        <f t="shared" si="298"/>
        <v>0</v>
      </c>
      <c r="AW528" s="1782">
        <f t="shared" si="299"/>
        <v>0</v>
      </c>
      <c r="AX528" s="178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7"/>
      <c r="AV529" s="1782">
        <f t="shared" si="298"/>
        <v>0</v>
      </c>
      <c r="AW529" s="1782">
        <f t="shared" si="299"/>
        <v>0</v>
      </c>
      <c r="AX529" s="178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7"/>
      <c r="AV530" s="1782">
        <f t="shared" si="298"/>
        <v>0</v>
      </c>
      <c r="AW530" s="1782">
        <f t="shared" si="299"/>
        <v>0</v>
      </c>
      <c r="AX530" s="178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7"/>
      <c r="AV531" s="1782">
        <f t="shared" si="298"/>
        <v>0</v>
      </c>
      <c r="AW531" s="1782">
        <f t="shared" si="299"/>
        <v>0</v>
      </c>
      <c r="AX531" s="178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7"/>
      <c r="AV532" s="1782">
        <f t="shared" si="298"/>
        <v>0</v>
      </c>
      <c r="AW532" s="1782">
        <f t="shared" si="299"/>
        <v>0</v>
      </c>
      <c r="AX532" s="178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7"/>
      <c r="AV533" s="1782">
        <f t="shared" si="298"/>
        <v>0</v>
      </c>
      <c r="AW533" s="1782">
        <f t="shared" si="299"/>
        <v>0</v>
      </c>
      <c r="AX533" s="178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7"/>
      <c r="AV534" s="1782">
        <f t="shared" si="298"/>
        <v>0</v>
      </c>
      <c r="AW534" s="1782">
        <f t="shared" si="299"/>
        <v>0</v>
      </c>
      <c r="AX534" s="178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7"/>
      <c r="AV535" s="1782">
        <f t="shared" si="298"/>
        <v>0</v>
      </c>
      <c r="AW535" s="1782">
        <f t="shared" si="299"/>
        <v>0</v>
      </c>
      <c r="AX535" s="178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7"/>
      <c r="AV536" s="1782">
        <f t="shared" si="298"/>
        <v>0</v>
      </c>
      <c r="AW536" s="1782">
        <f t="shared" si="299"/>
        <v>0</v>
      </c>
      <c r="AX536" s="178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7"/>
      <c r="AV537" s="1782">
        <f t="shared" si="298"/>
        <v>0</v>
      </c>
      <c r="AW537" s="1782">
        <f t="shared" si="299"/>
        <v>0</v>
      </c>
      <c r="AX537" s="178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7"/>
      <c r="AV538" s="1782">
        <f t="shared" si="298"/>
        <v>0</v>
      </c>
      <c r="AW538" s="1782">
        <f t="shared" si="299"/>
        <v>0</v>
      </c>
      <c r="AX538" s="178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7"/>
      <c r="AV539" s="1782">
        <f t="shared" si="298"/>
        <v>0</v>
      </c>
      <c r="AW539" s="1782">
        <f t="shared" si="299"/>
        <v>0</v>
      </c>
      <c r="AX539" s="178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7"/>
      <c r="AV540" s="1782">
        <f t="shared" si="298"/>
        <v>0</v>
      </c>
      <c r="AW540" s="1782">
        <f t="shared" si="299"/>
        <v>0</v>
      </c>
      <c r="AX540" s="178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7"/>
      <c r="AV541" s="1782">
        <f t="shared" si="298"/>
        <v>0</v>
      </c>
      <c r="AW541" s="1782">
        <f t="shared" si="299"/>
        <v>0</v>
      </c>
      <c r="AX541" s="178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7"/>
      <c r="AV542" s="1782">
        <f t="shared" si="298"/>
        <v>0</v>
      </c>
      <c r="AW542" s="1782">
        <f t="shared" si="299"/>
        <v>0</v>
      </c>
      <c r="AX542" s="178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7"/>
      <c r="AV543" s="1782">
        <f t="shared" si="298"/>
        <v>0</v>
      </c>
      <c r="AW543" s="1782">
        <f t="shared" si="299"/>
        <v>0</v>
      </c>
      <c r="AX543" s="178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7"/>
      <c r="AV544" s="1782">
        <f t="shared" si="298"/>
        <v>0</v>
      </c>
      <c r="AW544" s="1782">
        <f t="shared" si="299"/>
        <v>0</v>
      </c>
      <c r="AX544" s="178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7"/>
      <c r="AV545" s="1782">
        <f t="shared" si="298"/>
        <v>0</v>
      </c>
      <c r="AW545" s="1782">
        <f t="shared" si="299"/>
        <v>0</v>
      </c>
      <c r="AX545" s="178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7"/>
      <c r="AV546" s="1782">
        <f t="shared" si="298"/>
        <v>0</v>
      </c>
      <c r="AW546" s="1782">
        <f t="shared" si="299"/>
        <v>0</v>
      </c>
      <c r="AX546" s="178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7"/>
      <c r="AV547" s="1782">
        <f t="shared" si="298"/>
        <v>0</v>
      </c>
      <c r="AW547" s="1782">
        <f t="shared" si="299"/>
        <v>0</v>
      </c>
      <c r="AX547" s="178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7"/>
      <c r="AV548" s="1782">
        <f t="shared" si="298"/>
        <v>0</v>
      </c>
      <c r="AW548" s="1782">
        <f t="shared" si="299"/>
        <v>0</v>
      </c>
      <c r="AX548" s="178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7"/>
      <c r="AV549" s="1782">
        <f t="shared" si="298"/>
        <v>0</v>
      </c>
      <c r="AW549" s="1782">
        <f t="shared" si="299"/>
        <v>0</v>
      </c>
      <c r="AX549" s="178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7"/>
      <c r="AV550" s="1782">
        <f t="shared" si="298"/>
        <v>0</v>
      </c>
      <c r="AW550" s="1782">
        <f t="shared" si="299"/>
        <v>0</v>
      </c>
      <c r="AX550" s="178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7"/>
      <c r="AV551" s="1782">
        <f t="shared" si="298"/>
        <v>0</v>
      </c>
      <c r="AW551" s="1782">
        <f t="shared" si="299"/>
        <v>0</v>
      </c>
      <c r="AX551" s="178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7"/>
      <c r="AV552" s="1782">
        <f t="shared" si="298"/>
        <v>0</v>
      </c>
      <c r="AW552" s="1782">
        <f t="shared" si="299"/>
        <v>0</v>
      </c>
      <c r="AX552" s="178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7"/>
      <c r="AV553" s="1782">
        <f t="shared" ref="AV553:AV587" si="330">A553</f>
        <v>0</v>
      </c>
      <c r="AW553" s="1782">
        <f t="shared" ref="AW553:AW587" si="331">B553</f>
        <v>0</v>
      </c>
      <c r="AX553" s="178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7"/>
      <c r="AV554" s="1782">
        <f t="shared" si="330"/>
        <v>0</v>
      </c>
      <c r="AW554" s="1782">
        <f t="shared" si="331"/>
        <v>0</v>
      </c>
      <c r="AX554" s="178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7"/>
      <c r="AV555" s="1782">
        <f t="shared" si="330"/>
        <v>0</v>
      </c>
      <c r="AW555" s="1782">
        <f t="shared" si="331"/>
        <v>0</v>
      </c>
      <c r="AX555" s="178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7"/>
      <c r="AV556" s="1782">
        <f t="shared" si="330"/>
        <v>0</v>
      </c>
      <c r="AW556" s="1782">
        <f t="shared" si="331"/>
        <v>0</v>
      </c>
      <c r="AX556" s="178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7"/>
      <c r="AV557" s="1782">
        <f t="shared" si="330"/>
        <v>0</v>
      </c>
      <c r="AW557" s="1782">
        <f t="shared" si="331"/>
        <v>0</v>
      </c>
      <c r="AX557" s="178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7"/>
      <c r="AV558" s="1782">
        <f t="shared" si="330"/>
        <v>0</v>
      </c>
      <c r="AW558" s="1782">
        <f t="shared" si="331"/>
        <v>0</v>
      </c>
      <c r="AX558" s="178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7"/>
      <c r="AV559" s="1782">
        <f t="shared" si="330"/>
        <v>0</v>
      </c>
      <c r="AW559" s="1782">
        <f t="shared" si="331"/>
        <v>0</v>
      </c>
      <c r="AX559" s="178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7"/>
      <c r="AV560" s="1782">
        <f t="shared" si="330"/>
        <v>0</v>
      </c>
      <c r="AW560" s="1782">
        <f t="shared" si="331"/>
        <v>0</v>
      </c>
      <c r="AX560" s="178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7"/>
      <c r="AV561" s="1782">
        <f t="shared" si="330"/>
        <v>0</v>
      </c>
      <c r="AW561" s="1782">
        <f t="shared" si="331"/>
        <v>0</v>
      </c>
      <c r="AX561" s="178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7"/>
      <c r="AV562" s="1782">
        <f t="shared" si="330"/>
        <v>0</v>
      </c>
      <c r="AW562" s="1782">
        <f t="shared" si="331"/>
        <v>0</v>
      </c>
      <c r="AX562" s="178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7"/>
      <c r="AV563" s="1782">
        <f t="shared" si="330"/>
        <v>0</v>
      </c>
      <c r="AW563" s="1782">
        <f t="shared" si="331"/>
        <v>0</v>
      </c>
      <c r="AX563" s="178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7"/>
      <c r="AV564" s="1782">
        <f t="shared" si="330"/>
        <v>0</v>
      </c>
      <c r="AW564" s="1782">
        <f t="shared" si="331"/>
        <v>0</v>
      </c>
      <c r="AX564" s="178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7"/>
      <c r="AV565" s="1782">
        <f t="shared" si="330"/>
        <v>0</v>
      </c>
      <c r="AW565" s="1782">
        <f t="shared" si="331"/>
        <v>0</v>
      </c>
      <c r="AX565" s="178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7"/>
      <c r="AV566" s="1782">
        <f t="shared" si="330"/>
        <v>0</v>
      </c>
      <c r="AW566" s="1782">
        <f t="shared" si="331"/>
        <v>0</v>
      </c>
      <c r="AX566" s="178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7"/>
      <c r="AV567" s="1782">
        <f t="shared" si="330"/>
        <v>0</v>
      </c>
      <c r="AW567" s="1782">
        <f t="shared" si="331"/>
        <v>0</v>
      </c>
      <c r="AX567" s="178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7"/>
      <c r="AV568" s="1782">
        <f t="shared" si="330"/>
        <v>0</v>
      </c>
      <c r="AW568" s="1782">
        <f t="shared" si="331"/>
        <v>0</v>
      </c>
      <c r="AX568" s="178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7"/>
      <c r="AV569" s="1782">
        <f t="shared" si="330"/>
        <v>0</v>
      </c>
      <c r="AW569" s="1782">
        <f t="shared" si="331"/>
        <v>0</v>
      </c>
      <c r="AX569" s="178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7"/>
      <c r="AV570" s="1782">
        <f t="shared" si="330"/>
        <v>0</v>
      </c>
      <c r="AW570" s="1782">
        <f t="shared" si="331"/>
        <v>0</v>
      </c>
      <c r="AX570" s="178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7"/>
      <c r="AV571" s="1782">
        <f t="shared" si="330"/>
        <v>0</v>
      </c>
      <c r="AW571" s="1782">
        <f t="shared" si="331"/>
        <v>0</v>
      </c>
      <c r="AX571" s="178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7"/>
      <c r="AV572" s="1782">
        <f t="shared" si="330"/>
        <v>0</v>
      </c>
      <c r="AW572" s="1782">
        <f t="shared" si="331"/>
        <v>0</v>
      </c>
      <c r="AX572" s="178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7"/>
      <c r="AV573" s="1782">
        <f t="shared" si="330"/>
        <v>0</v>
      </c>
      <c r="AW573" s="1782">
        <f t="shared" si="331"/>
        <v>0</v>
      </c>
      <c r="AX573" s="178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7"/>
      <c r="AV574" s="1782">
        <f t="shared" si="330"/>
        <v>0</v>
      </c>
      <c r="AW574" s="1782">
        <f t="shared" si="331"/>
        <v>0</v>
      </c>
      <c r="AX574" s="178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7"/>
      <c r="AV575" s="1782">
        <f t="shared" si="330"/>
        <v>0</v>
      </c>
      <c r="AW575" s="1782">
        <f t="shared" si="331"/>
        <v>0</v>
      </c>
      <c r="AX575" s="178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7"/>
      <c r="AV576" s="1782">
        <f t="shared" si="330"/>
        <v>0</v>
      </c>
      <c r="AW576" s="1782">
        <f t="shared" si="331"/>
        <v>0</v>
      </c>
      <c r="AX576" s="178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7"/>
      <c r="AV577" s="1782">
        <f t="shared" si="330"/>
        <v>0</v>
      </c>
      <c r="AW577" s="1782">
        <f t="shared" si="331"/>
        <v>0</v>
      </c>
      <c r="AX577" s="178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7"/>
      <c r="AV578" s="1782">
        <f t="shared" si="330"/>
        <v>0</v>
      </c>
      <c r="AW578" s="1782">
        <f t="shared" si="331"/>
        <v>0</v>
      </c>
      <c r="AX578" s="178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7"/>
      <c r="AV579" s="1782">
        <f t="shared" si="330"/>
        <v>0</v>
      </c>
      <c r="AW579" s="1782">
        <f t="shared" si="331"/>
        <v>0</v>
      </c>
      <c r="AX579" s="178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7"/>
      <c r="AV580" s="1782">
        <f t="shared" si="330"/>
        <v>0</v>
      </c>
      <c r="AW580" s="1782">
        <f t="shared" si="331"/>
        <v>0</v>
      </c>
      <c r="AX580" s="178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7"/>
      <c r="AV581" s="1782">
        <f t="shared" si="330"/>
        <v>0</v>
      </c>
      <c r="AW581" s="1782">
        <f t="shared" si="331"/>
        <v>0</v>
      </c>
      <c r="AX581" s="178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7"/>
      <c r="AV582" s="1782">
        <f t="shared" si="330"/>
        <v>0</v>
      </c>
      <c r="AW582" s="1782">
        <f t="shared" si="331"/>
        <v>0</v>
      </c>
      <c r="AX582" s="178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7"/>
      <c r="AV583" s="1782">
        <f t="shared" si="330"/>
        <v>0</v>
      </c>
      <c r="AW583" s="1782">
        <f t="shared" si="331"/>
        <v>0</v>
      </c>
      <c r="AX583" s="178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7"/>
      <c r="AV584" s="1782">
        <f t="shared" si="330"/>
        <v>0</v>
      </c>
      <c r="AW584" s="1782">
        <f t="shared" si="331"/>
        <v>0</v>
      </c>
      <c r="AX584" s="178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2"/>
      <c r="AV585" s="1782">
        <f t="shared" si="330"/>
        <v>0</v>
      </c>
      <c r="AW585" s="1782">
        <f t="shared" si="331"/>
        <v>0</v>
      </c>
      <c r="AX585" s="178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2"/>
      <c r="AV586" s="1782">
        <f t="shared" si="330"/>
        <v>0</v>
      </c>
      <c r="AW586" s="1782">
        <f t="shared" si="331"/>
        <v>0</v>
      </c>
      <c r="AX586" s="178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2"/>
      <c r="AV587" s="1782">
        <f t="shared" si="330"/>
        <v>0</v>
      </c>
      <c r="AW587" s="1782">
        <f t="shared" si="331"/>
        <v>0</v>
      </c>
      <c r="AX587" s="178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0" customFormat="1">
      <c r="A588" s="2208"/>
      <c r="B588" s="2208"/>
      <c r="C588" s="2208"/>
      <c r="D588" s="2208"/>
      <c r="E588" s="2209"/>
      <c r="F588" s="2209"/>
      <c r="G588" s="2208"/>
      <c r="H588" s="2209"/>
      <c r="I588" s="2209"/>
      <c r="J588" s="2209"/>
      <c r="K588" s="2209"/>
      <c r="L588" s="2209"/>
      <c r="M588" s="2209"/>
      <c r="N588" s="2209"/>
      <c r="O588" s="2209"/>
      <c r="P588" s="2209"/>
      <c r="Q588" s="2209"/>
      <c r="R588" s="2209"/>
      <c r="S588" s="2209"/>
      <c r="T588" s="2209"/>
      <c r="U588" s="2209"/>
      <c r="V588" s="2209"/>
      <c r="W588" s="2209"/>
      <c r="X588" s="2209"/>
      <c r="Y588" s="2209"/>
      <c r="Z588" s="2209"/>
      <c r="AA588" s="2209"/>
      <c r="AB588" s="2209"/>
      <c r="AC588" s="2209"/>
      <c r="AD588" s="2209"/>
      <c r="AE588" s="2209"/>
      <c r="AF588" s="2209"/>
      <c r="AG588" s="2209"/>
      <c r="AH588" s="2209"/>
      <c r="AI588" s="2209"/>
      <c r="AJ588" s="2209"/>
      <c r="AK588" s="2209"/>
      <c r="AL588" s="2209"/>
      <c r="AM588" s="2209"/>
      <c r="AN588" s="2209"/>
      <c r="AO588" s="2209"/>
      <c r="AP588" s="2209"/>
      <c r="AQ588" s="2209"/>
      <c r="AR588" s="2209"/>
      <c r="AS588" s="2209"/>
      <c r="AT588" s="2209"/>
      <c r="AU588" s="2208"/>
      <c r="AV588" s="2208"/>
      <c r="AW588" s="2208"/>
      <c r="AX588" s="2208"/>
    </row>
    <row r="589" spans="1:72" s="2211" customFormat="1">
      <c r="C589" s="2212"/>
      <c r="D589" s="2212"/>
    </row>
    <row r="590" spans="1:72" s="2211" customFormat="1">
      <c r="C590" s="2212"/>
      <c r="D590" s="2212"/>
    </row>
    <row r="593" spans="2:2">
      <c r="B593" s="221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3" t="s">
        <v>0</v>
      </c>
      <c r="B1" s="3153" t="s">
        <v>4</v>
      </c>
      <c r="C1" s="3153" t="s">
        <v>5</v>
      </c>
      <c r="D1" s="3154" t="s">
        <v>53</v>
      </c>
      <c r="E1" s="3154" t="s">
        <v>54</v>
      </c>
      <c r="F1" s="3154"/>
      <c r="G1" s="3154"/>
      <c r="H1" s="3154"/>
      <c r="I1" s="3154"/>
      <c r="J1" s="3154"/>
      <c r="K1" s="3154"/>
      <c r="L1" s="3154"/>
      <c r="M1" s="3154"/>
    </row>
    <row r="2" spans="1:13" ht="27" customHeight="1">
      <c r="A2" s="3153"/>
      <c r="B2" s="3153"/>
      <c r="C2" s="3153"/>
      <c r="D2" s="3154"/>
      <c r="E2" s="3154" t="s">
        <v>37</v>
      </c>
      <c r="F2" s="3154" t="s">
        <v>38</v>
      </c>
      <c r="G2" s="3154"/>
      <c r="H2" s="3154"/>
      <c r="I2" s="3154"/>
      <c r="J2" s="3154" t="s">
        <v>39</v>
      </c>
      <c r="K2" s="3154"/>
      <c r="L2" s="3154"/>
      <c r="M2" s="3154"/>
    </row>
    <row r="3" spans="1:13" ht="28.5">
      <c r="A3" s="3153"/>
      <c r="B3" s="3153"/>
      <c r="C3" s="3153"/>
      <c r="D3" s="3154"/>
      <c r="E3" s="315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4" t="s">
        <v>55</v>
      </c>
      <c r="B9" s="3154"/>
      <c r="C9" s="315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7"/>
  <sheetViews>
    <sheetView view="pageBreakPreview" zoomScale="90" zoomScaleNormal="100" zoomScaleSheetLayoutView="90" workbookViewId="0">
      <selection activeCell="E33" sqref="E33"/>
    </sheetView>
  </sheetViews>
  <sheetFormatPr defaultColWidth="9.25" defaultRowHeight="14.25"/>
  <cols>
    <col min="1" max="1" width="12.125" style="2214" customWidth="1"/>
    <col min="2" max="2" width="10.25" style="2214" customWidth="1"/>
    <col min="3" max="3" width="18.5" style="2214" customWidth="1"/>
    <col min="4" max="4" width="11.625" style="2214" customWidth="1"/>
    <col min="5" max="5" width="13.375" style="2214" customWidth="1"/>
    <col min="6" max="8" width="11.5" style="2214" customWidth="1"/>
    <col min="9" max="9" width="11.125" style="2214" customWidth="1"/>
    <col min="10" max="10" width="3.125" style="2214" customWidth="1"/>
    <col min="11" max="16" width="10" style="2214" customWidth="1"/>
    <col min="17" max="17" width="2.625" style="2214" customWidth="1"/>
    <col min="18" max="18" width="9.375" style="2214" bestFit="1" customWidth="1"/>
    <col min="19" max="19" width="10.5" style="2214" bestFit="1" customWidth="1"/>
    <col min="20" max="16384" width="9.25" style="2214"/>
  </cols>
  <sheetData>
    <row r="1" spans="1:16" ht="18.75">
      <c r="A1" s="2213" t="s">
        <v>1938</v>
      </c>
      <c r="B1" s="1380"/>
      <c r="C1" s="1380"/>
      <c r="D1" s="1380"/>
      <c r="E1" s="1380"/>
      <c r="F1" s="1380"/>
      <c r="G1" s="1380"/>
      <c r="H1" s="1380"/>
      <c r="I1" s="1380"/>
      <c r="J1" s="1380"/>
      <c r="K1" s="1380"/>
      <c r="L1" s="1380"/>
      <c r="M1" s="1380"/>
      <c r="N1" s="1380"/>
      <c r="O1" s="1380"/>
      <c r="P1" s="1380"/>
    </row>
    <row r="2" spans="1:16" ht="15">
      <c r="A2" s="3164" t="s">
        <v>1939</v>
      </c>
      <c r="B2" s="3164"/>
      <c r="C2" s="3164"/>
      <c r="D2" s="956" t="s">
        <v>1915</v>
      </c>
      <c r="E2" s="2215" t="s">
        <v>1916</v>
      </c>
      <c r="F2" s="1380"/>
      <c r="G2" s="2216"/>
      <c r="H2" s="2217"/>
      <c r="I2" s="2218" t="s">
        <v>1940</v>
      </c>
      <c r="J2" s="1380"/>
      <c r="K2" s="1380"/>
      <c r="L2" s="1380"/>
      <c r="M2" s="1380"/>
      <c r="N2" s="1415"/>
      <c r="O2" s="1380"/>
      <c r="P2" s="1380"/>
    </row>
    <row r="3" spans="1:16" ht="15.75" thickBot="1">
      <c r="A3" s="3165" t="s">
        <v>1913</v>
      </c>
      <c r="B3" s="3165"/>
      <c r="C3" s="3165"/>
      <c r="D3" s="46">
        <f>'数据-基础表'!AY6</f>
        <v>8573.39</v>
      </c>
      <c r="E3" s="46">
        <f>'数据-基础表'!AZ5</f>
        <v>20428.607999999997</v>
      </c>
      <c r="F3" s="1380"/>
      <c r="G3" s="1387"/>
      <c r="H3" s="1235" t="s">
        <v>1914</v>
      </c>
      <c r="I3" s="54">
        <f>ROUND('数据-基础表'!B3/'数据-基础表'!A3,2)</f>
        <v>2.38</v>
      </c>
      <c r="J3" s="1380"/>
      <c r="K3" s="1380"/>
      <c r="L3" s="1380"/>
      <c r="M3" s="1380"/>
      <c r="N3" s="1415"/>
      <c r="O3" s="1380"/>
      <c r="P3" s="1380"/>
    </row>
    <row r="4" spans="1:16" ht="15">
      <c r="A4" s="3166"/>
      <c r="B4" s="3167"/>
      <c r="C4" s="3168"/>
      <c r="D4" s="2219" t="s">
        <v>1915</v>
      </c>
      <c r="E4" s="2220" t="s">
        <v>1916</v>
      </c>
      <c r="F4" s="1380"/>
      <c r="G4" s="2221" t="s">
        <v>1941</v>
      </c>
      <c r="H4" s="1235" t="s">
        <v>1921</v>
      </c>
      <c r="I4" s="54">
        <f>ROUND(SUMIF('数据-基础表'!I9:AS9,"地上",'数据-基础表'!I5:AS5)/'数据-基础表'!A3,2)</f>
        <v>2.38</v>
      </c>
      <c r="J4" s="1380"/>
      <c r="K4" s="1380"/>
      <c r="L4" s="1380"/>
      <c r="M4" s="1380"/>
      <c r="N4" s="1415"/>
      <c r="O4" s="1380"/>
      <c r="P4" s="1380"/>
    </row>
    <row r="5" spans="1:16">
      <c r="A5" s="47" t="s">
        <v>1917</v>
      </c>
      <c r="B5" s="3169" t="s">
        <v>1918</v>
      </c>
      <c r="C5" s="3169"/>
      <c r="D5" s="48">
        <f>ROUND($D$3*E5/$E$3,2)</f>
        <v>0</v>
      </c>
      <c r="E5" s="49">
        <f>SUMIF('数据-基础表'!$11:$11,"住宅",'数据-基础表'!$5:$5)</f>
        <v>0</v>
      </c>
      <c r="F5" s="1380"/>
      <c r="G5" s="1387"/>
      <c r="H5" s="1235" t="s">
        <v>1914</v>
      </c>
      <c r="I5" s="54">
        <f>ROUND(E31/D31,2)</f>
        <v>2.38</v>
      </c>
      <c r="J5" s="1380"/>
      <c r="K5" s="1380"/>
      <c r="L5" s="1380"/>
      <c r="M5" s="1380"/>
      <c r="N5" s="1380"/>
      <c r="O5" s="1380"/>
      <c r="P5" s="1380"/>
    </row>
    <row r="6" spans="1:16" ht="15" thickBot="1">
      <c r="A6" s="2222"/>
      <c r="B6" s="3169" t="s">
        <v>1919</v>
      </c>
      <c r="C6" s="3169"/>
      <c r="D6" s="48">
        <f>ROUND($D$3*E6/$E$3,2)</f>
        <v>8573.39</v>
      </c>
      <c r="E6" s="49">
        <f>E3-E5</f>
        <v>20428.607999999997</v>
      </c>
      <c r="F6" s="1380"/>
      <c r="G6" s="2223" t="s">
        <v>1920</v>
      </c>
      <c r="H6" s="1387" t="s">
        <v>1921</v>
      </c>
      <c r="I6" s="928">
        <f>ROUND(F31/D31,2)</f>
        <v>2.38</v>
      </c>
      <c r="J6" s="1380"/>
      <c r="K6" s="1380"/>
      <c r="L6" s="1380"/>
      <c r="M6" s="1380"/>
      <c r="N6" s="1380"/>
      <c r="O6" s="1380"/>
      <c r="P6" s="1380"/>
    </row>
    <row r="7" spans="1:16" ht="15">
      <c r="A7" s="3161"/>
      <c r="B7" s="3162"/>
      <c r="C7" s="3163"/>
      <c r="D7" s="2219" t="s">
        <v>1915</v>
      </c>
      <c r="E7" s="2224" t="s">
        <v>1922</v>
      </c>
      <c r="F7" s="1380"/>
      <c r="G7" s="2216" t="s">
        <v>1923</v>
      </c>
      <c r="H7" s="63"/>
      <c r="I7" s="411">
        <v>2.2000000000000002</v>
      </c>
      <c r="J7" s="1380"/>
      <c r="K7" s="1380"/>
      <c r="L7" s="1380"/>
      <c r="M7" s="1380"/>
      <c r="N7" s="1380"/>
      <c r="O7" s="1380"/>
      <c r="P7" s="1380"/>
    </row>
    <row r="8" spans="1:16">
      <c r="A8" s="47" t="s">
        <v>1924</v>
      </c>
      <c r="B8" s="50" t="s">
        <v>1925</v>
      </c>
      <c r="C8" s="48" t="s">
        <v>1926</v>
      </c>
      <c r="D8" s="48">
        <f t="shared" ref="D8:D15" si="0">ROUND($D$3*E8/$E$3,2)</f>
        <v>8573.39</v>
      </c>
      <c r="E8" s="51">
        <f>SUMIF('数据-基础表'!BB10:BK10,"地上",'数据-基础表'!BB5:BK5)</f>
        <v>20428.607999999997</v>
      </c>
      <c r="F8" s="1380"/>
      <c r="G8" s="2225"/>
      <c r="H8" s="2225"/>
      <c r="I8" s="1380"/>
      <c r="J8" s="1380"/>
      <c r="K8" s="1380"/>
      <c r="L8" s="1380"/>
      <c r="M8" s="1380"/>
      <c r="N8" s="1380"/>
      <c r="O8" s="1380"/>
      <c r="P8" s="1380"/>
    </row>
    <row r="9" spans="1:16">
      <c r="A9" s="2226"/>
      <c r="B9" s="2227"/>
      <c r="C9" s="48" t="s">
        <v>1927</v>
      </c>
      <c r="D9" s="48">
        <f t="shared" si="0"/>
        <v>0</v>
      </c>
      <c r="E9" s="2967"/>
      <c r="F9" s="1380"/>
      <c r="G9" s="2225"/>
      <c r="H9" s="2225"/>
      <c r="I9" s="1380"/>
      <c r="J9" s="1380"/>
      <c r="K9" s="1380"/>
      <c r="L9" s="1380"/>
      <c r="M9" s="1380"/>
      <c r="N9" s="1380"/>
      <c r="O9" s="1380"/>
      <c r="P9" s="1380"/>
    </row>
    <row r="10" spans="1:16">
      <c r="A10" s="2226"/>
      <c r="B10" s="2227"/>
      <c r="C10" s="48" t="s">
        <v>1936</v>
      </c>
      <c r="D10" s="48">
        <f t="shared" si="0"/>
        <v>0</v>
      </c>
      <c r="E10" s="51">
        <f>SUMPRODUCT(('数据-基础表'!BB10:BK10="地下")*('数据-基础表'!BB11:BK11="商业")*('数据-基础表'!BB5:BK5))</f>
        <v>0</v>
      </c>
      <c r="F10" s="1380"/>
      <c r="G10" s="2225"/>
      <c r="H10" s="2225"/>
      <c r="I10" s="1380"/>
      <c r="J10" s="1380"/>
      <c r="K10" s="1380"/>
      <c r="L10" s="1380"/>
      <c r="M10" s="1380"/>
      <c r="N10" s="1380"/>
      <c r="O10" s="1380"/>
      <c r="P10" s="1380"/>
    </row>
    <row r="11" spans="1:16">
      <c r="A11" s="2226"/>
      <c r="B11" s="2227"/>
      <c r="C11" s="48" t="s">
        <v>1928</v>
      </c>
      <c r="D11" s="48">
        <f t="shared" si="0"/>
        <v>0</v>
      </c>
      <c r="E11" s="51">
        <f>SUMPRODUCT(('数据-基础表'!BB10:BK10="地下")*('数据-基础表'!BB11:BK11="办公")*('数据-基础表'!BB5:BK5))+'数据-基础表'!BP5</f>
        <v>0</v>
      </c>
      <c r="F11" s="1380"/>
      <c r="G11" s="2225"/>
      <c r="H11" s="2225"/>
      <c r="I11" s="1380"/>
      <c r="J11" s="1380"/>
      <c r="K11" s="1380"/>
      <c r="L11" s="1380"/>
      <c r="M11" s="1380"/>
      <c r="N11" s="1380"/>
      <c r="O11" s="1380"/>
      <c r="P11" s="1380"/>
    </row>
    <row r="12" spans="1:16">
      <c r="A12" s="2226"/>
      <c r="B12" s="2227"/>
      <c r="C12" s="48" t="s">
        <v>1929</v>
      </c>
      <c r="D12" s="48">
        <f t="shared" si="0"/>
        <v>0</v>
      </c>
      <c r="E12" s="51">
        <f>SUMPRODUCT(('数据-基础表'!BB10:BK10="地下")*('数据-基础表'!BB11:BK11="仓储")*('数据-基础表'!BB5:BK5))</f>
        <v>0</v>
      </c>
      <c r="F12" s="1380"/>
      <c r="G12" s="2225"/>
      <c r="H12" s="2225"/>
      <c r="I12" s="1380"/>
      <c r="J12" s="1380"/>
      <c r="K12" s="1380"/>
      <c r="L12" s="1380"/>
      <c r="M12" s="1380"/>
      <c r="N12" s="1380"/>
      <c r="O12" s="1380"/>
      <c r="P12" s="1380"/>
    </row>
    <row r="13" spans="1:16">
      <c r="A13" s="2226"/>
      <c r="B13" s="2227"/>
      <c r="C13" s="48" t="s">
        <v>1930</v>
      </c>
      <c r="D13" s="48">
        <f t="shared" si="0"/>
        <v>0</v>
      </c>
      <c r="E13" s="51">
        <f>SUMPRODUCT(('数据-基础表'!BB10:BK10="地下")*('数据-基础表'!BB11:BK11="车库")*('数据-基础表'!BB5:BK5))</f>
        <v>0</v>
      </c>
      <c r="F13" s="1380"/>
      <c r="G13" s="2225"/>
      <c r="H13" s="2225"/>
      <c r="I13" s="1380"/>
      <c r="J13" s="1380"/>
      <c r="K13" s="1380"/>
      <c r="L13" s="1380"/>
      <c r="M13" s="1380"/>
      <c r="N13" s="1380"/>
      <c r="O13" s="1380"/>
      <c r="P13" s="1380"/>
    </row>
    <row r="14" spans="1:16">
      <c r="A14" s="2226"/>
      <c r="B14" s="2227"/>
      <c r="C14" s="48" t="s">
        <v>1942</v>
      </c>
      <c r="D14" s="48">
        <f t="shared" si="0"/>
        <v>0</v>
      </c>
      <c r="E14" s="51">
        <f>SUMPRODUCT(('数据-基础表'!BB10:BK10="地下")*('数据-基础表'!BB11:BK11="车库—商业")*('数据-基础表'!BB5:BK5))</f>
        <v>0</v>
      </c>
      <c r="F14" s="1380"/>
      <c r="G14" s="2225"/>
      <c r="H14" s="2225"/>
      <c r="I14" s="1380"/>
      <c r="J14" s="1380"/>
      <c r="K14" s="1380"/>
      <c r="L14" s="1380"/>
      <c r="M14" s="1380"/>
      <c r="N14" s="1380"/>
      <c r="O14" s="1380"/>
      <c r="P14" s="1380"/>
    </row>
    <row r="15" spans="1:16" ht="15" thickBot="1">
      <c r="A15" s="2226"/>
      <c r="B15" s="2227"/>
      <c r="C15" s="48" t="s">
        <v>1937</v>
      </c>
      <c r="D15" s="48">
        <f t="shared" si="0"/>
        <v>0</v>
      </c>
      <c r="E15" s="51">
        <f>SUMPRODUCT(('数据-基础表'!BB10:BK10="地下")*('数据-基础表'!BB11:BK11="车库—办公")*('数据-基础表'!BB5:BK5))</f>
        <v>0</v>
      </c>
      <c r="F15" s="1380"/>
      <c r="G15" s="2225"/>
      <c r="H15" s="2225"/>
      <c r="I15" s="1380"/>
      <c r="J15" s="1380"/>
      <c r="K15" s="1380"/>
      <c r="L15" s="1380"/>
      <c r="M15" s="1380"/>
      <c r="N15" s="1380"/>
      <c r="O15" s="1380"/>
      <c r="P15" s="1380"/>
    </row>
    <row r="16" spans="1:16" ht="15.75" thickBot="1">
      <c r="A16" s="2222"/>
      <c r="B16" s="2227"/>
      <c r="C16" s="50" t="s">
        <v>1931</v>
      </c>
      <c r="D16" s="50">
        <f>SUM(D8:D15)</f>
        <v>8573.39</v>
      </c>
      <c r="E16" s="52">
        <f>SUM(E8:E15)</f>
        <v>20428.607999999997</v>
      </c>
      <c r="F16" s="1380"/>
      <c r="G16" s="2225"/>
      <c r="H16" s="2228" t="s">
        <v>1943</v>
      </c>
      <c r="I16" s="2229"/>
      <c r="J16" s="1380"/>
      <c r="K16" s="3158" t="s">
        <v>1943</v>
      </c>
      <c r="L16" s="3159"/>
      <c r="M16" s="3159"/>
      <c r="N16" s="3159"/>
      <c r="O16" s="3159"/>
      <c r="P16" s="3160"/>
    </row>
    <row r="17" spans="1:19" ht="15">
      <c r="A17" s="2230" t="s">
        <v>1944</v>
      </c>
      <c r="B17" s="2231" t="s">
        <v>1945</v>
      </c>
      <c r="C17" s="2232" t="s">
        <v>1946</v>
      </c>
      <c r="D17" s="2233" t="s">
        <v>1934</v>
      </c>
      <c r="E17" s="2234" t="s">
        <v>1935</v>
      </c>
      <c r="F17" s="2235"/>
      <c r="G17" s="2236"/>
      <c r="H17" s="2237" t="s">
        <v>1947</v>
      </c>
      <c r="I17" s="2238" t="s">
        <v>1932</v>
      </c>
      <c r="J17" s="1380"/>
      <c r="K17" s="3155" t="s">
        <v>1948</v>
      </c>
      <c r="L17" s="3156"/>
      <c r="M17" s="3157"/>
      <c r="N17" s="3155" t="s">
        <v>1949</v>
      </c>
      <c r="O17" s="3156"/>
      <c r="P17" s="3157"/>
      <c r="R17" s="2216" t="s">
        <v>1950</v>
      </c>
      <c r="S17" s="63"/>
    </row>
    <row r="18" spans="1:19" ht="15">
      <c r="A18" s="2226"/>
      <c r="B18" s="2239"/>
      <c r="C18" s="2240"/>
      <c r="D18" s="2241"/>
      <c r="E18" s="2242" t="s">
        <v>1951</v>
      </c>
      <c r="F18" s="2243" t="s">
        <v>1952</v>
      </c>
      <c r="G18" s="2244" t="s">
        <v>1953</v>
      </c>
      <c r="H18" s="1250" t="s">
        <v>1954</v>
      </c>
      <c r="I18" s="2245" t="s">
        <v>1955</v>
      </c>
      <c r="J18" s="1380"/>
      <c r="K18" s="1250" t="s">
        <v>1956</v>
      </c>
      <c r="L18" s="2246" t="s">
        <v>1957</v>
      </c>
      <c r="M18" s="1034" t="s">
        <v>1958</v>
      </c>
      <c r="N18" s="1250" t="s">
        <v>1956</v>
      </c>
      <c r="O18" s="2246" t="s">
        <v>1957</v>
      </c>
      <c r="P18" s="1034" t="s">
        <v>1958</v>
      </c>
      <c r="R18" s="1235" t="s">
        <v>1959</v>
      </c>
      <c r="S18" s="1235" t="s">
        <v>1960</v>
      </c>
    </row>
    <row r="19" spans="1:19">
      <c r="A19" s="2247"/>
      <c r="B19" s="50" t="s">
        <v>1933</v>
      </c>
      <c r="C19" s="2930" t="str">
        <f>'数据-基础表'!C13</f>
        <v>抵押物商业</v>
      </c>
      <c r="D19" s="48">
        <f>ROUND($D$3*E19/$E$3,2)</f>
        <v>8573.39</v>
      </c>
      <c r="E19" s="55">
        <f t="shared" ref="E19:E26" si="1">SUM(F19:G19)</f>
        <v>20428.607999999997</v>
      </c>
      <c r="F19" s="56">
        <f>'数据-基础表'!I13</f>
        <v>20428.607999999997</v>
      </c>
      <c r="G19" s="57"/>
      <c r="H19" s="714">
        <f>ROUND($D$3*I19/$E$3,2)</f>
        <v>0</v>
      </c>
      <c r="I19" s="51">
        <f t="shared" ref="I19:I26" si="2">IF($I$17="自定义",P19,M19)</f>
        <v>0</v>
      </c>
      <c r="J19" s="1380"/>
      <c r="K19" s="1379">
        <f t="shared" ref="K19:K26" si="3">ROUND(E$28*E19/E$27,2)</f>
        <v>0</v>
      </c>
      <c r="L19" s="1235">
        <f t="shared" ref="L19:L26" si="4">ROUND(IF(COUNTIF(C19,"*住宅*")&gt;0,E$29*E19/E$32,0),2)</f>
        <v>0</v>
      </c>
      <c r="M19" s="1391">
        <f>K19+L19</f>
        <v>0</v>
      </c>
      <c r="N19" s="2248"/>
      <c r="O19" s="2249"/>
      <c r="P19" s="1391">
        <f>N19+O19</f>
        <v>0</v>
      </c>
      <c r="R19" s="1235">
        <f t="shared" ref="R19:S26" si="5">D19+H19</f>
        <v>8573.39</v>
      </c>
      <c r="S19" s="1236">
        <f t="shared" si="5"/>
        <v>20428.607999999997</v>
      </c>
    </row>
    <row r="20" spans="1:19">
      <c r="A20" s="2250"/>
      <c r="B20" s="50" t="s">
        <v>1961</v>
      </c>
      <c r="C20" s="2930"/>
      <c r="D20" s="48">
        <f t="shared" ref="D20:D26" si="6">ROUND($D$3*E20/$E$3,2)</f>
        <v>0</v>
      </c>
      <c r="E20" s="55">
        <f t="shared" si="1"/>
        <v>0</v>
      </c>
      <c r="F20" s="56"/>
      <c r="G20" s="57"/>
      <c r="H20" s="714">
        <f t="shared" ref="H20:H26" si="7">ROUND($D$3*I20/$E$3,2)</f>
        <v>0</v>
      </c>
      <c r="I20" s="51">
        <f t="shared" si="2"/>
        <v>0</v>
      </c>
      <c r="J20" s="1380"/>
      <c r="K20" s="1379">
        <f t="shared" si="3"/>
        <v>0</v>
      </c>
      <c r="L20" s="1235">
        <f t="shared" si="4"/>
        <v>0</v>
      </c>
      <c r="M20" s="1391">
        <f t="shared" ref="M20:M26" si="8">K20+L20</f>
        <v>0</v>
      </c>
      <c r="N20" s="2248"/>
      <c r="O20" s="2249"/>
      <c r="P20" s="1391">
        <f t="shared" ref="P20:P26" si="9">N20+O20</f>
        <v>0</v>
      </c>
      <c r="R20" s="1235">
        <f t="shared" si="5"/>
        <v>0</v>
      </c>
      <c r="S20" s="1236">
        <f t="shared" si="5"/>
        <v>0</v>
      </c>
    </row>
    <row r="21" spans="1:19">
      <c r="A21" s="2250"/>
      <c r="B21" s="50" t="s">
        <v>1961</v>
      </c>
      <c r="C21" s="2930"/>
      <c r="D21" s="48">
        <f t="shared" si="6"/>
        <v>0</v>
      </c>
      <c r="E21" s="55">
        <f t="shared" si="1"/>
        <v>0</v>
      </c>
      <c r="F21" s="56"/>
      <c r="G21" s="57"/>
      <c r="H21" s="714">
        <f t="shared" si="7"/>
        <v>0</v>
      </c>
      <c r="I21" s="51">
        <f t="shared" si="2"/>
        <v>0</v>
      </c>
      <c r="J21" s="1380"/>
      <c r="K21" s="1379">
        <f t="shared" si="3"/>
        <v>0</v>
      </c>
      <c r="L21" s="1235">
        <f t="shared" si="4"/>
        <v>0</v>
      </c>
      <c r="M21" s="1391">
        <f t="shared" si="8"/>
        <v>0</v>
      </c>
      <c r="N21" s="2248"/>
      <c r="O21" s="2249"/>
      <c r="P21" s="1391">
        <f t="shared" si="9"/>
        <v>0</v>
      </c>
      <c r="R21" s="1235">
        <f t="shared" si="5"/>
        <v>0</v>
      </c>
      <c r="S21" s="1236">
        <f t="shared" si="5"/>
        <v>0</v>
      </c>
    </row>
    <row r="22" spans="1:19">
      <c r="A22" s="2250"/>
      <c r="B22" s="50" t="s">
        <v>1961</v>
      </c>
      <c r="C22" s="59"/>
      <c r="D22" s="48">
        <f t="shared" si="6"/>
        <v>0</v>
      </c>
      <c r="E22" s="55">
        <f t="shared" si="1"/>
        <v>0</v>
      </c>
      <c r="F22" s="60"/>
      <c r="G22" s="61"/>
      <c r="H22" s="714">
        <f t="shared" si="7"/>
        <v>0</v>
      </c>
      <c r="I22" s="51">
        <f t="shared" si="2"/>
        <v>0</v>
      </c>
      <c r="J22" s="1380"/>
      <c r="K22" s="1379">
        <f t="shared" si="3"/>
        <v>0</v>
      </c>
      <c r="L22" s="1235">
        <f t="shared" si="4"/>
        <v>0</v>
      </c>
      <c r="M22" s="1391">
        <f t="shared" si="8"/>
        <v>0</v>
      </c>
      <c r="N22" s="2248"/>
      <c r="O22" s="2249"/>
      <c r="P22" s="1391">
        <f t="shared" si="9"/>
        <v>0</v>
      </c>
      <c r="R22" s="1235">
        <f t="shared" si="5"/>
        <v>0</v>
      </c>
      <c r="S22" s="1236">
        <f t="shared" si="5"/>
        <v>0</v>
      </c>
    </row>
    <row r="23" spans="1:19">
      <c r="A23" s="2250"/>
      <c r="B23" s="50" t="s">
        <v>1961</v>
      </c>
      <c r="C23" s="59"/>
      <c r="D23" s="48">
        <f>ROUND($D$3*E23/$E$3,2)</f>
        <v>0</v>
      </c>
      <c r="E23" s="55">
        <f>SUM(F23:G23)</f>
        <v>0</v>
      </c>
      <c r="F23" s="60"/>
      <c r="G23" s="61"/>
      <c r="H23" s="714">
        <f>ROUND($D$3*I23/$E$3,2)</f>
        <v>0</v>
      </c>
      <c r="I23" s="51">
        <f t="shared" si="2"/>
        <v>0</v>
      </c>
      <c r="J23" s="1380"/>
      <c r="K23" s="1379">
        <f t="shared" si="3"/>
        <v>0</v>
      </c>
      <c r="L23" s="1235">
        <f t="shared" si="4"/>
        <v>0</v>
      </c>
      <c r="M23" s="1391">
        <f t="shared" si="8"/>
        <v>0</v>
      </c>
      <c r="N23" s="2248"/>
      <c r="O23" s="2249"/>
      <c r="P23" s="1391">
        <f t="shared" si="9"/>
        <v>0</v>
      </c>
      <c r="R23" s="1235">
        <f t="shared" si="5"/>
        <v>0</v>
      </c>
      <c r="S23" s="1236">
        <f t="shared" si="5"/>
        <v>0</v>
      </c>
    </row>
    <row r="24" spans="1:19">
      <c r="A24" s="2250"/>
      <c r="B24" s="50" t="s">
        <v>1961</v>
      </c>
      <c r="C24" s="59"/>
      <c r="D24" s="48">
        <f>ROUND($D$3*E24/$E$3,2)</f>
        <v>0</v>
      </c>
      <c r="E24" s="55">
        <f>SUM(F24:G24)</f>
        <v>0</v>
      </c>
      <c r="F24" s="60"/>
      <c r="G24" s="61"/>
      <c r="H24" s="714">
        <f>ROUND($D$3*I24/$E$3,2)</f>
        <v>0</v>
      </c>
      <c r="I24" s="51">
        <f t="shared" si="2"/>
        <v>0</v>
      </c>
      <c r="J24" s="1380"/>
      <c r="K24" s="1379">
        <f t="shared" si="3"/>
        <v>0</v>
      </c>
      <c r="L24" s="1235">
        <f t="shared" si="4"/>
        <v>0</v>
      </c>
      <c r="M24" s="1391">
        <f t="shared" si="8"/>
        <v>0</v>
      </c>
      <c r="N24" s="2248"/>
      <c r="O24" s="2249"/>
      <c r="P24" s="1391">
        <f t="shared" si="9"/>
        <v>0</v>
      </c>
      <c r="R24" s="1235">
        <f t="shared" si="5"/>
        <v>0</v>
      </c>
      <c r="S24" s="1236">
        <f t="shared" si="5"/>
        <v>0</v>
      </c>
    </row>
    <row r="25" spans="1:19">
      <c r="A25" s="2250"/>
      <c r="B25" s="50" t="s">
        <v>1961</v>
      </c>
      <c r="C25" s="59"/>
      <c r="D25" s="48">
        <f t="shared" si="6"/>
        <v>0</v>
      </c>
      <c r="E25" s="55">
        <f t="shared" si="1"/>
        <v>0</v>
      </c>
      <c r="F25" s="60"/>
      <c r="G25" s="61"/>
      <c r="H25" s="47">
        <f t="shared" si="7"/>
        <v>0</v>
      </c>
      <c r="I25" s="51">
        <f t="shared" si="2"/>
        <v>0</v>
      </c>
      <c r="J25" s="1380"/>
      <c r="K25" s="1379">
        <f t="shared" si="3"/>
        <v>0</v>
      </c>
      <c r="L25" s="1235">
        <f t="shared" si="4"/>
        <v>0</v>
      </c>
      <c r="M25" s="1391">
        <f t="shared" si="8"/>
        <v>0</v>
      </c>
      <c r="N25" s="2248"/>
      <c r="O25" s="2249"/>
      <c r="P25" s="1391">
        <f t="shared" si="9"/>
        <v>0</v>
      </c>
      <c r="R25" s="1235">
        <f t="shared" si="5"/>
        <v>0</v>
      </c>
      <c r="S25" s="1236">
        <f t="shared" si="5"/>
        <v>0</v>
      </c>
    </row>
    <row r="26" spans="1:19">
      <c r="A26" s="2250"/>
      <c r="B26" s="50" t="s">
        <v>1961</v>
      </c>
      <c r="C26" s="62"/>
      <c r="D26" s="48">
        <f t="shared" si="6"/>
        <v>0</v>
      </c>
      <c r="E26" s="55">
        <f t="shared" si="1"/>
        <v>0</v>
      </c>
      <c r="F26" s="60"/>
      <c r="G26" s="61"/>
      <c r="H26" s="47">
        <f t="shared" si="7"/>
        <v>0</v>
      </c>
      <c r="I26" s="51">
        <f t="shared" si="2"/>
        <v>0</v>
      </c>
      <c r="J26" s="1380"/>
      <c r="K26" s="1386">
        <f t="shared" si="3"/>
        <v>0</v>
      </c>
      <c r="L26" s="1387">
        <f t="shared" si="4"/>
        <v>0</v>
      </c>
      <c r="M26" s="66">
        <f t="shared" si="8"/>
        <v>0</v>
      </c>
      <c r="N26" s="2251"/>
      <c r="O26" s="2252"/>
      <c r="P26" s="66">
        <f t="shared" si="9"/>
        <v>0</v>
      </c>
      <c r="R26" s="1235">
        <f t="shared" si="5"/>
        <v>0</v>
      </c>
      <c r="S26" s="1236">
        <f t="shared" si="5"/>
        <v>0</v>
      </c>
    </row>
    <row r="27" spans="1:19" ht="15.75" thickBot="1">
      <c r="A27" s="2250"/>
      <c r="B27" s="48"/>
      <c r="C27" s="2253" t="s">
        <v>1962</v>
      </c>
      <c r="D27" s="1381">
        <f>SUM(D19:D26)</f>
        <v>8573.39</v>
      </c>
      <c r="E27" s="1382">
        <f>IF(SUM(E19:E26)='数据-基础表'!BA5,SUM(E19:E26),IF(F27="地上面积有误","面积有误","地下面积有误"))</f>
        <v>20428.607999999997</v>
      </c>
      <c r="F27" s="1381">
        <f>IF(SUM(F19:F26)=E8,SUM(F19:F26),"地上面积有误")</f>
        <v>20428.607999999997</v>
      </c>
      <c r="G27" s="1383">
        <f>SUM(G19:G26)</f>
        <v>0</v>
      </c>
      <c r="H27" s="1384">
        <f>SUM(H19:H26)</f>
        <v>0</v>
      </c>
      <c r="I27" s="1385">
        <f>SUM(I19:I26)</f>
        <v>0</v>
      </c>
      <c r="J27" s="1380"/>
      <c r="K27" s="1388">
        <f>SUM(K19:K26)</f>
        <v>0</v>
      </c>
      <c r="L27" s="1389">
        <f>SUM(L19:L26)</f>
        <v>0</v>
      </c>
      <c r="M27" s="1392">
        <f>SUM(M19:M26)</f>
        <v>0</v>
      </c>
      <c r="N27" s="1388">
        <f t="shared" ref="N27:O27" si="10">SUM(N19:N26)</f>
        <v>0</v>
      </c>
      <c r="O27" s="1389">
        <f t="shared" si="10"/>
        <v>0</v>
      </c>
      <c r="P27" s="1390">
        <f>SUM(P19:P26)</f>
        <v>0</v>
      </c>
      <c r="R27" s="1237">
        <f>IF(SUM(R19:R26)=$D$3,SUM(R19:R26),SUM(R19:R26)&amp;"误差"&amp;ROUND(SUM(R19:R26)-$D$3,2))</f>
        <v>8573.39</v>
      </c>
      <c r="S27" s="1235">
        <f>IF(SUM(S19:S26)=$E$3,SUM(S19:S26),SUM(S19:S26)&amp;"误差"&amp;ROUND(SUM(S19:S26)-E3,2))</f>
        <v>20428.607999999997</v>
      </c>
    </row>
    <row r="28" spans="1:19">
      <c r="A28" s="2250"/>
      <c r="B28" s="50" t="s">
        <v>1963</v>
      </c>
      <c r="C28" s="1247" t="s">
        <v>1964</v>
      </c>
      <c r="D28" s="48">
        <f>ROUND($D$3*E28/$E$3,2)</f>
        <v>0</v>
      </c>
      <c r="E28" s="55">
        <f>SUM(F28:G28)</f>
        <v>0</v>
      </c>
      <c r="F28" s="63">
        <f>'数据-基础表'!BQ5+'数据-基础表'!BS5</f>
        <v>0</v>
      </c>
      <c r="G28" s="64">
        <f>'数据-基础表'!BR5+'数据-基础表'!BT5</f>
        <v>0</v>
      </c>
      <c r="H28" s="1380"/>
      <c r="I28" s="1380"/>
      <c r="J28" s="1380"/>
      <c r="K28" s="1380"/>
      <c r="L28" s="1380"/>
      <c r="M28" s="1380"/>
      <c r="N28" s="1380"/>
      <c r="O28" s="1380"/>
      <c r="P28" s="1380"/>
    </row>
    <row r="29" spans="1:19">
      <c r="A29" s="2250"/>
      <c r="B29" s="50" t="s">
        <v>1963</v>
      </c>
      <c r="C29" s="2254" t="s">
        <v>1965</v>
      </c>
      <c r="D29" s="48">
        <f>ROUND($D$3*E29/$E$3,2)</f>
        <v>0</v>
      </c>
      <c r="E29" s="55">
        <f>SUM(F29:G29)</f>
        <v>0</v>
      </c>
      <c r="F29" s="65">
        <f>'数据-基础表'!BM5+'数据-基础表'!BO5</f>
        <v>0</v>
      </c>
      <c r="G29" s="66">
        <f>'数据-基础表'!BN5+'数据-基础表'!BP5</f>
        <v>0</v>
      </c>
      <c r="H29" s="1380"/>
      <c r="I29" s="1380"/>
      <c r="J29" s="1380"/>
      <c r="K29" s="1380"/>
      <c r="L29" s="1380"/>
      <c r="M29" s="1380"/>
      <c r="N29" s="1380"/>
      <c r="O29" s="1380"/>
      <c r="P29" s="1380"/>
    </row>
    <row r="30" spans="1:19" ht="15">
      <c r="A30" s="2250"/>
      <c r="B30" s="50"/>
      <c r="C30" s="2255" t="s">
        <v>1962</v>
      </c>
      <c r="D30" s="1381">
        <f>SUM(D28:D29)</f>
        <v>0</v>
      </c>
      <c r="E30" s="1381">
        <f>SUM(E28:E29)</f>
        <v>0</v>
      </c>
      <c r="F30" s="1381">
        <f>SUM(F28:F29)</f>
        <v>0</v>
      </c>
      <c r="G30" s="1383">
        <f>SUM(G28:G29)</f>
        <v>0</v>
      </c>
      <c r="H30" s="1380"/>
      <c r="I30" s="1380"/>
      <c r="J30" s="1380"/>
      <c r="K30" s="1380"/>
      <c r="L30" s="1380"/>
      <c r="M30" s="1380"/>
      <c r="N30" s="1380"/>
      <c r="O30" s="1380"/>
      <c r="P30" s="1380"/>
    </row>
    <row r="31" spans="1:19" ht="15.75" thickBot="1">
      <c r="A31" s="2256"/>
      <c r="B31" s="2257"/>
      <c r="C31" s="995" t="s">
        <v>1966</v>
      </c>
      <c r="D31" s="720">
        <f>D27+D30</f>
        <v>8573.39</v>
      </c>
      <c r="E31" s="720">
        <f>E27+E30</f>
        <v>20428.607999999997</v>
      </c>
      <c r="F31" s="721">
        <f>F27+F30</f>
        <v>20428.607999999997</v>
      </c>
      <c r="G31" s="722">
        <f>G27+G30</f>
        <v>0</v>
      </c>
      <c r="H31" s="1380"/>
      <c r="I31" s="1380"/>
      <c r="J31" s="1380"/>
      <c r="K31" s="1380"/>
      <c r="L31" s="1380"/>
      <c r="M31" s="1380"/>
      <c r="N31" s="1380"/>
      <c r="O31" s="1380"/>
      <c r="P31" s="1380"/>
    </row>
    <row r="32" spans="1:19">
      <c r="A32" s="2221"/>
      <c r="B32" s="2221" t="s">
        <v>1967</v>
      </c>
      <c r="C32" s="2221"/>
      <c r="D32" s="2221"/>
      <c r="E32" s="1262">
        <f>SUMIF(C19:C26,"*住宅*",E19:E26)</f>
        <v>0</v>
      </c>
      <c r="F32" s="2221"/>
      <c r="G32" s="2221"/>
      <c r="H32" s="1380"/>
      <c r="I32" s="1380"/>
      <c r="J32" s="1380"/>
      <c r="K32" s="1380"/>
      <c r="L32" s="1380"/>
      <c r="M32" s="1380"/>
      <c r="N32" s="1380"/>
      <c r="O32" s="1380"/>
      <c r="P32" s="1380"/>
    </row>
    <row r="33" spans="4:6">
      <c r="D33" s="2258"/>
    </row>
    <row r="35" spans="4:6">
      <c r="F35" s="2214">
        <f>F20+G19</f>
        <v>0</v>
      </c>
    </row>
    <row r="37" spans="4:6">
      <c r="F37" s="2214">
        <f>F21+F22</f>
        <v>0</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R34" sqref="R34"/>
    </sheetView>
  </sheetViews>
  <sheetFormatPr defaultColWidth="13.75" defaultRowHeight="12.75"/>
  <cols>
    <col min="1" max="1" width="20.875" style="2332" customWidth="1"/>
    <col min="2" max="2" width="12" style="2262" customWidth="1"/>
    <col min="3" max="3" width="10.75" style="2262" customWidth="1"/>
    <col min="4" max="4" width="9.125" style="2333" customWidth="1"/>
    <col min="5" max="5" width="15" style="2262" bestFit="1" customWidth="1"/>
    <col min="6" max="10" width="8.875" style="2262" customWidth="1"/>
    <col min="11" max="12" width="12.375" style="2177" customWidth="1"/>
    <col min="13" max="13" width="8.625" style="2262" customWidth="1"/>
    <col min="14" max="14" width="11.875" style="2262" customWidth="1"/>
    <col min="15" max="15" width="8.5" style="2262" customWidth="1"/>
    <col min="16" max="17" width="10.875" style="2262" customWidth="1"/>
    <col min="18" max="19" width="12.5" style="2262" customWidth="1"/>
    <col min="20" max="20" width="12.125" style="2262" customWidth="1"/>
    <col min="21" max="22" width="7.5" style="2262" customWidth="1"/>
    <col min="23" max="23" width="6.75" style="2262" customWidth="1"/>
    <col min="24" max="24" width="8.5" style="2262" customWidth="1"/>
    <col min="25" max="30" width="6.75" style="2262" customWidth="1"/>
    <col min="31" max="31" width="8" style="2262" customWidth="1"/>
    <col min="32" max="34" width="7.25" style="2262" customWidth="1"/>
    <col min="35" max="39" width="8" style="2262" customWidth="1"/>
    <col min="40" max="40" width="13.75" style="2261"/>
    <col min="41" max="41" width="11.625" style="2261" customWidth="1"/>
    <col min="42" max="42" width="9.75" style="2261" customWidth="1"/>
    <col min="43" max="67" width="13.75" style="2261"/>
    <col min="68" max="16384" width="13.75" style="2262"/>
  </cols>
  <sheetData>
    <row r="1" spans="1:67" ht="19.5" thickBot="1">
      <c r="A1" s="2259" t="s">
        <v>1968</v>
      </c>
      <c r="B1" s="723"/>
      <c r="C1" s="1568"/>
      <c r="D1" s="2260"/>
      <c r="E1" s="1568"/>
      <c r="F1" s="1568"/>
      <c r="G1" s="1568"/>
      <c r="H1" s="1568"/>
      <c r="I1" s="1568"/>
      <c r="J1" s="1568"/>
      <c r="K1" s="159"/>
      <c r="L1" s="159"/>
      <c r="M1" s="1568"/>
      <c r="N1" s="1568"/>
      <c r="O1" s="1568"/>
      <c r="P1" s="1568"/>
      <c r="Q1" s="1568"/>
      <c r="R1" s="1568"/>
      <c r="S1" s="1568"/>
      <c r="T1" s="1568"/>
      <c r="U1" s="1568"/>
      <c r="V1" s="1568"/>
      <c r="W1" s="1568"/>
      <c r="X1" s="1568"/>
      <c r="Y1" s="1568"/>
      <c r="Z1" s="1568"/>
      <c r="AA1" s="1568"/>
      <c r="AB1" s="1568"/>
      <c r="AC1" s="1568"/>
      <c r="AD1" s="1568"/>
      <c r="AE1" s="1568"/>
      <c r="AF1" s="1568"/>
      <c r="AG1" s="1568"/>
      <c r="AH1" s="1568"/>
      <c r="AI1" s="1568"/>
      <c r="AJ1" s="1568"/>
      <c r="AK1" s="1568"/>
      <c r="AL1" s="1568"/>
      <c r="AM1" s="1568"/>
    </row>
    <row r="2" spans="1:67" s="2018" customFormat="1" ht="15.75" thickBot="1">
      <c r="A2" s="2263" t="s">
        <v>1969</v>
      </c>
      <c r="B2" s="1254">
        <f>项目基本情况!D3</f>
        <v>43515</v>
      </c>
      <c r="C2" s="2264"/>
      <c r="D2" s="2265"/>
      <c r="E2" s="2264"/>
      <c r="F2" s="2264"/>
      <c r="G2" s="2264"/>
      <c r="H2" s="2264"/>
      <c r="I2" s="2264"/>
      <c r="J2" s="2264"/>
      <c r="K2" s="1415"/>
      <c r="L2" s="1415"/>
      <c r="M2" s="2264"/>
      <c r="N2" s="2264"/>
      <c r="O2" s="2264"/>
      <c r="P2" s="2264"/>
      <c r="Q2" s="2264"/>
      <c r="R2" s="2264"/>
      <c r="S2" s="2264"/>
      <c r="T2" s="2264"/>
      <c r="U2" s="2264"/>
      <c r="V2" s="2264"/>
      <c r="W2" s="2264"/>
      <c r="X2" s="2264"/>
      <c r="Y2" s="2264"/>
      <c r="Z2" s="2264"/>
      <c r="AA2" s="2264"/>
      <c r="AB2" s="2264"/>
      <c r="AC2" s="2264"/>
      <c r="AD2" s="2264"/>
      <c r="AE2" s="2264"/>
      <c r="AF2" s="2264"/>
      <c r="AG2" s="2264"/>
      <c r="AH2" s="2264"/>
      <c r="AI2" s="2264"/>
      <c r="AJ2" s="2264"/>
      <c r="AK2" s="2264"/>
      <c r="AL2" s="2264"/>
      <c r="AM2" s="2264"/>
      <c r="AN2" s="2266"/>
      <c r="AO2" s="2266"/>
      <c r="AP2" s="2266"/>
      <c r="AQ2" s="2266"/>
      <c r="AR2" s="2266"/>
      <c r="AS2" s="2266"/>
      <c r="AT2" s="2266"/>
      <c r="AU2" s="2266"/>
      <c r="AV2" s="2266"/>
      <c r="AW2" s="2266"/>
      <c r="AX2" s="2266"/>
      <c r="AY2" s="2266"/>
      <c r="AZ2" s="2266"/>
      <c r="BA2" s="2266"/>
      <c r="BB2" s="2266"/>
      <c r="BC2" s="2266"/>
      <c r="BD2" s="2266"/>
      <c r="BE2" s="2266"/>
      <c r="BF2" s="2266"/>
      <c r="BG2" s="2266"/>
      <c r="BH2" s="2266"/>
      <c r="BI2" s="2266"/>
      <c r="BJ2" s="2266"/>
      <c r="BK2" s="2266"/>
      <c r="BL2" s="2266"/>
      <c r="BM2" s="2266"/>
      <c r="BN2" s="2266"/>
      <c r="BO2" s="2266"/>
    </row>
    <row r="3" spans="1:67" s="2018" customFormat="1" ht="15" thickBot="1">
      <c r="A3" s="2016"/>
      <c r="B3" s="2267"/>
      <c r="C3" s="2264"/>
      <c r="D3" s="2265"/>
      <c r="E3" s="2264"/>
      <c r="F3" s="2264"/>
      <c r="G3" s="2264"/>
      <c r="H3" s="2264"/>
      <c r="I3" s="2264"/>
      <c r="J3" s="2264"/>
      <c r="K3" s="1415"/>
      <c r="L3" s="1415"/>
      <c r="M3" s="2264"/>
      <c r="N3" s="2264"/>
      <c r="O3" s="2264"/>
      <c r="P3" s="2264"/>
      <c r="Q3" s="2264"/>
      <c r="R3" s="2264"/>
      <c r="S3" s="2264"/>
      <c r="T3" s="2264"/>
      <c r="U3" s="2264"/>
      <c r="V3" s="2264"/>
      <c r="W3" s="2264"/>
      <c r="X3" s="2264"/>
      <c r="Y3" s="2264"/>
      <c r="Z3" s="2264"/>
      <c r="AA3" s="2264"/>
      <c r="AB3" s="2264"/>
      <c r="AC3" s="2264"/>
      <c r="AD3" s="2264"/>
      <c r="AE3" s="2264"/>
      <c r="AF3" s="2264"/>
      <c r="AG3" s="2264"/>
      <c r="AH3" s="2264"/>
      <c r="AI3" s="2264"/>
      <c r="AJ3" s="2264"/>
      <c r="AK3" s="2264"/>
      <c r="AL3" s="2264"/>
      <c r="AM3" s="2264"/>
      <c r="AN3" s="2266"/>
      <c r="AO3" s="2266"/>
      <c r="AP3" s="2266"/>
      <c r="AQ3" s="2266"/>
      <c r="AR3" s="2266"/>
      <c r="AS3" s="2266"/>
      <c r="AT3" s="2266"/>
      <c r="AU3" s="2266"/>
      <c r="AV3" s="2266"/>
      <c r="AW3" s="2266"/>
      <c r="AX3" s="2266"/>
      <c r="AY3" s="2266"/>
      <c r="AZ3" s="2266"/>
      <c r="BA3" s="2266"/>
      <c r="BB3" s="2266"/>
      <c r="BC3" s="2266"/>
      <c r="BD3" s="2266"/>
      <c r="BE3" s="2266"/>
      <c r="BF3" s="2266"/>
      <c r="BG3" s="2266"/>
      <c r="BH3" s="2266"/>
      <c r="BI3" s="2266"/>
      <c r="BJ3" s="2266"/>
      <c r="BK3" s="2266"/>
      <c r="BL3" s="2266"/>
      <c r="BM3" s="2266"/>
      <c r="BN3" s="2266"/>
      <c r="BO3" s="2266"/>
    </row>
    <row r="4" spans="1:67" s="2018" customFormat="1" ht="15" thickBot="1">
      <c r="A4" s="67" t="s">
        <v>1970</v>
      </c>
      <c r="B4" s="2268"/>
      <c r="C4" s="2269"/>
      <c r="D4" s="2270"/>
      <c r="E4" s="2269" t="s">
        <v>1971</v>
      </c>
      <c r="F4" s="2269"/>
      <c r="G4" s="2269"/>
      <c r="H4" s="2269"/>
      <c r="I4" s="2269"/>
      <c r="J4" s="2271"/>
      <c r="K4" s="2272"/>
      <c r="L4" s="2273"/>
      <c r="M4" s="2269"/>
      <c r="N4" s="2269" t="s">
        <v>1972</v>
      </c>
      <c r="O4" s="2269"/>
      <c r="P4" s="2269"/>
      <c r="Q4" s="2269"/>
      <c r="R4" s="2269"/>
      <c r="S4" s="2271"/>
      <c r="T4" s="2274" t="str">
        <f>'数据-汇总表'!I17</f>
        <v>按面积比例</v>
      </c>
      <c r="U4" s="2268" t="s">
        <v>1973</v>
      </c>
      <c r="V4" s="2269"/>
      <c r="W4" s="2269"/>
      <c r="X4" s="2269"/>
      <c r="Y4" s="2271"/>
      <c r="Z4" s="2232" t="s">
        <v>1974</v>
      </c>
      <c r="AA4" s="2232"/>
      <c r="AB4" s="2232"/>
      <c r="AC4" s="2232"/>
      <c r="AD4" s="2232"/>
      <c r="AE4" s="2230" t="s">
        <v>1975</v>
      </c>
      <c r="AF4" s="2232"/>
      <c r="AG4" s="2275"/>
      <c r="AH4" s="2268"/>
      <c r="AI4" s="2269"/>
      <c r="AJ4" s="2269"/>
      <c r="AK4" s="2269"/>
      <c r="AL4" s="2269"/>
      <c r="AM4" s="2271"/>
      <c r="AN4" s="2266"/>
      <c r="AO4" s="2266"/>
      <c r="AP4" s="2266"/>
      <c r="AQ4" s="2266"/>
      <c r="AR4" s="2266"/>
      <c r="AS4" s="2266"/>
      <c r="AT4" s="2266"/>
      <c r="AU4" s="2266"/>
      <c r="AV4" s="2266"/>
      <c r="AW4" s="2266"/>
      <c r="AX4" s="2266"/>
      <c r="AY4" s="2266"/>
      <c r="AZ4" s="2266"/>
      <c r="BA4" s="2266"/>
      <c r="BB4" s="2266"/>
      <c r="BC4" s="2266"/>
      <c r="BD4" s="2266"/>
      <c r="BE4" s="2266"/>
      <c r="BF4" s="2266"/>
      <c r="BG4" s="2266"/>
      <c r="BH4" s="2266"/>
      <c r="BI4" s="2266"/>
      <c r="BJ4" s="2266"/>
      <c r="BK4" s="2266"/>
      <c r="BL4" s="2266"/>
      <c r="BM4" s="2266"/>
      <c r="BN4" s="2266"/>
      <c r="BO4" s="2266"/>
    </row>
    <row r="5" spans="1:67" s="2019" customFormat="1" ht="42">
      <c r="A5" s="2276" t="s">
        <v>1976</v>
      </c>
      <c r="B5" s="2277" t="s">
        <v>1977</v>
      </c>
      <c r="C5" s="2278" t="s">
        <v>1978</v>
      </c>
      <c r="D5" s="2279" t="s">
        <v>1979</v>
      </c>
      <c r="E5" s="1256" t="s">
        <v>1980</v>
      </c>
      <c r="F5" s="2280" t="s">
        <v>1981</v>
      </c>
      <c r="G5" s="1256" t="s">
        <v>1982</v>
      </c>
      <c r="H5" s="1256" t="s">
        <v>1983</v>
      </c>
      <c r="I5" s="1256" t="s">
        <v>1984</v>
      </c>
      <c r="J5" s="2281" t="s">
        <v>1985</v>
      </c>
      <c r="K5" s="2282" t="s">
        <v>1986</v>
      </c>
      <c r="L5" s="2283" t="s">
        <v>1987</v>
      </c>
      <c r="M5" s="2284" t="s">
        <v>1988</v>
      </c>
      <c r="N5" s="2285" t="s">
        <v>1989</v>
      </c>
      <c r="O5" s="2283" t="s">
        <v>1990</v>
      </c>
      <c r="P5" s="2286" t="s">
        <v>1991</v>
      </c>
      <c r="Q5" s="68" t="s">
        <v>1992</v>
      </c>
      <c r="R5" s="2287" t="s">
        <v>1993</v>
      </c>
      <c r="S5" s="2288" t="s">
        <v>1994</v>
      </c>
      <c r="T5" s="2289" t="s">
        <v>1995</v>
      </c>
      <c r="U5" s="1255" t="s">
        <v>1996</v>
      </c>
      <c r="V5" s="1256" t="s">
        <v>1997</v>
      </c>
      <c r="W5" s="1256" t="s">
        <v>1998</v>
      </c>
      <c r="X5" s="70"/>
      <c r="Y5" s="69" t="s">
        <v>1999</v>
      </c>
      <c r="Z5" s="2290" t="s">
        <v>1996</v>
      </c>
      <c r="AA5" s="1256" t="s">
        <v>1997</v>
      </c>
      <c r="AB5" s="1256" t="s">
        <v>1998</v>
      </c>
      <c r="AC5" s="70"/>
      <c r="AD5" s="70" t="s">
        <v>1999</v>
      </c>
      <c r="AE5" s="1255" t="s">
        <v>2000</v>
      </c>
      <c r="AF5" s="1256" t="s">
        <v>2001</v>
      </c>
      <c r="AG5" s="69" t="s">
        <v>2002</v>
      </c>
      <c r="AH5" s="1255" t="s">
        <v>2003</v>
      </c>
      <c r="AI5" s="2290" t="s">
        <v>2004</v>
      </c>
      <c r="AJ5" s="2290" t="s">
        <v>2005</v>
      </c>
      <c r="AK5" s="1256" t="s">
        <v>2006</v>
      </c>
      <c r="AL5" s="1256" t="s">
        <v>2007</v>
      </c>
      <c r="AM5" s="69" t="s">
        <v>2008</v>
      </c>
      <c r="AN5" s="2291" t="s">
        <v>2009</v>
      </c>
      <c r="AO5" s="2062" t="s">
        <v>2010</v>
      </c>
      <c r="AP5" s="1237" t="s">
        <v>2011</v>
      </c>
      <c r="AQ5" s="2292" t="s">
        <v>2012</v>
      </c>
      <c r="AR5" s="2292" t="s">
        <v>2013</v>
      </c>
      <c r="AS5" s="2145"/>
      <c r="AT5" s="2145"/>
      <c r="AU5" s="2145"/>
      <c r="AV5" s="2145"/>
      <c r="AW5" s="2145"/>
      <c r="AX5" s="2145"/>
      <c r="AY5" s="2145"/>
      <c r="AZ5" s="2145"/>
      <c r="BA5" s="2145"/>
      <c r="BB5" s="2145"/>
      <c r="BC5" s="2145"/>
      <c r="BD5" s="2145"/>
      <c r="BE5" s="2145"/>
      <c r="BF5" s="2145"/>
      <c r="BG5" s="2145"/>
      <c r="BH5" s="2145"/>
      <c r="BI5" s="2145"/>
      <c r="BJ5" s="2145"/>
      <c r="BK5" s="2145"/>
      <c r="BL5" s="2145"/>
      <c r="BM5" s="2145"/>
      <c r="BN5" s="2145"/>
      <c r="BO5" s="2145"/>
    </row>
    <row r="6" spans="1:67" s="2018" customFormat="1" ht="14.25">
      <c r="A6" s="2293" t="str">
        <f>'数据-汇总表'!C19</f>
        <v>抵押物商业</v>
      </c>
      <c r="B6" s="2294" t="str">
        <f>IF(A6=0,"","经营性")</f>
        <v>经营性</v>
      </c>
      <c r="C6" s="2295" t="s">
        <v>1377</v>
      </c>
      <c r="D6" s="1039">
        <f>SUMIF(项目基本情况!D$12:I$12,C6,项目基本情况!D$14:I$14)</f>
        <v>40</v>
      </c>
      <c r="E6" s="1036">
        <f>IF(B6="","",SUMIF(项目基本情况!D$12:I$12,C6,项目基本情况!D$13:I$13))</f>
        <v>55824</v>
      </c>
      <c r="F6" s="71">
        <f>SUMIF(项目基本情况!D$12:I$12,C6,项目基本情况!D$15:I$15)</f>
        <v>33.72</v>
      </c>
      <c r="G6" s="72">
        <f>IF(ISERROR(ROUND(POWER(1+H6,D6-F6)*(POWER(1+H6,F6)-1)/(POWER(1+H6,D6)-1),3)),0,ROUND(POWER(1+H6,D6-F6)*(POWER(1+H6,F6)-1)/(POWER(1+H6,D6)-1),3))</f>
        <v>0.94099999999999995</v>
      </c>
      <c r="H6" s="792">
        <v>0.05</v>
      </c>
      <c r="I6" s="792">
        <v>5.5E-2</v>
      </c>
      <c r="J6" s="73">
        <v>8.5000000000000006E-2</v>
      </c>
      <c r="K6" s="1239">
        <f>SUMIF('数据-汇总表'!C$19:C$33,A6,'数据-汇总表'!E$19:E$33)</f>
        <v>20428.607999999997</v>
      </c>
      <c r="L6" s="3073">
        <v>2800</v>
      </c>
      <c r="M6" s="74">
        <f t="shared" ref="M6:M14" si="0">ROUND(K6*L6/10000,0)</f>
        <v>5720</v>
      </c>
      <c r="N6" s="3076">
        <v>0.99</v>
      </c>
      <c r="O6" s="74">
        <f>IF($N$5="成新度","——",ROUND(M6*N6,0))</f>
        <v>5663</v>
      </c>
      <c r="P6" s="75">
        <f>IF($N$5="成新度","——",M6-O6)</f>
        <v>57</v>
      </c>
      <c r="Q6" s="3077">
        <v>0.15</v>
      </c>
      <c r="R6" s="76">
        <f ca="1">SUMIF('数据-汇总表'!C$19:C$33,A6,'数据-汇总表'!R$19:R$27)</f>
        <v>8573.39</v>
      </c>
      <c r="S6" s="53">
        <f>IF('数据-汇总表'!$I$17="按面积比例",SUMIF('数据-汇总表'!C$19:C$33,A6,'数据-汇总表'!K$19:K$33),SUMIF('数据-汇总表'!C$19:C$33,A6,'数据-汇总表'!N$19:N$33))</f>
        <v>0</v>
      </c>
      <c r="T6" s="1431">
        <f>ROUND($L$14*S6/10000,0)</f>
        <v>0</v>
      </c>
      <c r="U6" s="3072">
        <v>2.1</v>
      </c>
      <c r="V6" s="78">
        <v>0.03</v>
      </c>
      <c r="W6" s="78">
        <v>0.1</v>
      </c>
      <c r="X6" s="1249"/>
      <c r="Y6" s="2996">
        <f>N6</f>
        <v>0.99</v>
      </c>
      <c r="Z6" s="80"/>
      <c r="AA6" s="73"/>
      <c r="AB6" s="73"/>
      <c r="AC6" s="1249"/>
      <c r="AD6" s="81"/>
      <c r="AE6" s="1250">
        <f ca="1">IF(AN6="",0,SUMIF(INDIRECT("'"&amp;AN6&amp;"'"&amp;"!E:E"),$AE$5,INDIRECT("'"&amp;AN6&amp;"'"&amp;"!F:F")))</f>
        <v>33.619999999999997</v>
      </c>
      <c r="AF6" s="1791"/>
      <c r="AG6" s="138">
        <f>IF(AF6="",0,AE6-AF6)</f>
        <v>0</v>
      </c>
      <c r="AH6" s="82"/>
      <c r="AI6" s="84">
        <v>365</v>
      </c>
      <c r="AJ6" s="85"/>
      <c r="AK6" s="86">
        <v>1.4999999999999999E-2</v>
      </c>
      <c r="AL6" s="87">
        <v>1.5E-3</v>
      </c>
      <c r="AM6" s="88">
        <v>0.01</v>
      </c>
      <c r="AN6" s="2296" t="s">
        <v>3185</v>
      </c>
      <c r="AO6" s="54">
        <f ca="1">SUMIF(INDIRECT("'"&amp;AN6&amp;"'"&amp;"!A:A"),"总价",INDIRECT("'"&amp;AN6&amp;"'"&amp;"!B:B"))</f>
        <v>22361</v>
      </c>
      <c r="AP6" s="2297">
        <f>IF(C6="住宅",K6*L6,0)</f>
        <v>0</v>
      </c>
      <c r="AQ6" s="54">
        <f>ROUND($L$14*$N$14*S6/10000,0)</f>
        <v>0</v>
      </c>
      <c r="AR6" s="54">
        <f>ROUND($L$14*(1-$N$14)*S6/10000,0)</f>
        <v>0</v>
      </c>
      <c r="AS6" s="2266"/>
      <c r="AT6" s="2266"/>
      <c r="AU6" s="2266"/>
      <c r="AV6" s="2266"/>
      <c r="AW6" s="2266"/>
      <c r="AX6" s="2266"/>
      <c r="AY6" s="2266"/>
      <c r="AZ6" s="2266"/>
      <c r="BA6" s="2266"/>
      <c r="BB6" s="2266"/>
      <c r="BC6" s="2266"/>
      <c r="BD6" s="2266"/>
      <c r="BE6" s="2266"/>
      <c r="BF6" s="2266"/>
      <c r="BG6" s="2266"/>
      <c r="BH6" s="2266"/>
      <c r="BI6" s="2266"/>
      <c r="BJ6" s="2266"/>
      <c r="BK6" s="2266"/>
      <c r="BL6" s="2266"/>
      <c r="BM6" s="2266"/>
      <c r="BN6" s="2266"/>
      <c r="BO6" s="2266"/>
    </row>
    <row r="7" spans="1:67" s="2018" customFormat="1" ht="14.25" hidden="1">
      <c r="A7" s="2293">
        <f>'数据-汇总表'!C20</f>
        <v>0</v>
      </c>
      <c r="B7" s="2294" t="str">
        <f t="shared" ref="B7:B13" si="1">IF(A7=0,"","经营性")</f>
        <v/>
      </c>
      <c r="C7" s="2295"/>
      <c r="D7" s="1039">
        <f>SUMIF(项目基本情况!D$12:I$12,C7,项目基本情况!D$14:I$14)</f>
        <v>0</v>
      </c>
      <c r="E7" s="1036" t="str">
        <f>IF(B7="","",SUMIF(项目基本情况!D$12:I$12,C7,项目基本情况!D$13:I$13))</f>
        <v/>
      </c>
      <c r="F7" s="71">
        <f>SUMIF(项目基本情况!D$12:I$12,C7,项目基本情况!D$15:I$15)</f>
        <v>0</v>
      </c>
      <c r="G7" s="72">
        <f t="shared" ref="G7:G11" si="2">IF(ISERROR(ROUND(POWER(1+H7,D7-F7)*(POWER(1+H7,F7)-1)/(POWER(1+H7,D7)-1),3)),0,ROUND(POWER(1+H7,D7-F7)*(POWER(1+H7,F7)-1)/(POWER(1+H7,D7)-1),3))</f>
        <v>0</v>
      </c>
      <c r="H7" s="792"/>
      <c r="I7" s="792"/>
      <c r="J7" s="73"/>
      <c r="K7" s="1239">
        <f>SUMIF('数据-汇总表'!C$19:C$33,A7,'数据-汇总表'!E$19:E$33)</f>
        <v>0</v>
      </c>
      <c r="L7" s="793"/>
      <c r="M7" s="74">
        <f t="shared" si="0"/>
        <v>0</v>
      </c>
      <c r="N7" s="2993"/>
      <c r="O7" s="74">
        <f t="shared" ref="O7:O14" si="3">IF($N$5="成新度","——",ROUND(M7*N7,0))</f>
        <v>0</v>
      </c>
      <c r="P7" s="75">
        <f t="shared" ref="P7:P14" si="4">IF($N$5="成新度","——",M7-O7)</f>
        <v>0</v>
      </c>
      <c r="Q7" s="2981"/>
      <c r="R7" s="76">
        <f ca="1">SUMIF('数据-汇总表'!C$19:C$33,A7,'数据-汇总表'!R$19:R$27)</f>
        <v>0</v>
      </c>
      <c r="S7" s="53">
        <f>IF('数据-汇总表'!$I$17="按面积比例",SUMIF('数据-汇总表'!C$19:C$33,A7,'数据-汇总表'!K$19:K$33),SUMIF('数据-汇总表'!C$19:C$33,A7,'数据-汇总表'!N$19:N$33))</f>
        <v>0</v>
      </c>
      <c r="T7" s="1431">
        <f t="shared" ref="T7:T13" si="5">ROUND($L$14*S7/10000,0)</f>
        <v>0</v>
      </c>
      <c r="U7" s="2994"/>
      <c r="V7" s="78"/>
      <c r="W7" s="78"/>
      <c r="X7" s="1249"/>
      <c r="Y7" s="2996"/>
      <c r="Z7" s="80"/>
      <c r="AA7" s="73"/>
      <c r="AB7" s="73"/>
      <c r="AC7" s="1249"/>
      <c r="AD7" s="81"/>
      <c r="AE7" s="1250">
        <f t="shared" ref="AE7:AE13" ca="1" si="6">IF(AN7="",0,SUMIF(INDIRECT("'"&amp;AN7&amp;"'"&amp;"!E:E"),$AE$5,INDIRECT("'"&amp;AN7&amp;"'"&amp;"!F:F")))</f>
        <v>0</v>
      </c>
      <c r="AF7" s="1791"/>
      <c r="AG7" s="138">
        <f t="shared" ref="AG7:AG13" si="7">IF(AF7="",0,AE7-AF7)</f>
        <v>0</v>
      </c>
      <c r="AH7" s="82"/>
      <c r="AI7" s="84"/>
      <c r="AJ7" s="85"/>
      <c r="AK7" s="86"/>
      <c r="AL7" s="87"/>
      <c r="AM7" s="88"/>
      <c r="AN7" s="2296"/>
      <c r="AO7" s="54" t="e">
        <f t="shared" ref="AO7:AO13" ca="1" si="8">SUMIF(INDIRECT("'"&amp;AN7&amp;"'"&amp;"!A:A"),"总价",INDIRECT("'"&amp;AN7&amp;"'"&amp;"!B:B"))</f>
        <v>#REF!</v>
      </c>
      <c r="AP7" s="2297">
        <f t="shared" ref="AP7:AP13" si="9">IF(C7="住宅",K7*L7,0)</f>
        <v>0</v>
      </c>
      <c r="AQ7" s="54">
        <f t="shared" ref="AQ7:AQ13" si="10">ROUND($L$14*$N$14*S7/10000,0)</f>
        <v>0</v>
      </c>
      <c r="AR7" s="54">
        <f t="shared" ref="AR7:AR13" si="11">ROUND($L$14*(1-$N$14)*S7/10000,0)</f>
        <v>0</v>
      </c>
      <c r="AS7" s="2266"/>
      <c r="AT7" s="2266"/>
      <c r="AU7" s="2266"/>
      <c r="AV7" s="2266"/>
      <c r="AW7" s="2266"/>
      <c r="AX7" s="2266"/>
      <c r="AY7" s="2266"/>
      <c r="AZ7" s="2266"/>
      <c r="BA7" s="2266"/>
      <c r="BB7" s="2266"/>
      <c r="BC7" s="2266"/>
      <c r="BD7" s="2266"/>
      <c r="BE7" s="2266"/>
      <c r="BF7" s="2266"/>
      <c r="BG7" s="2266"/>
      <c r="BH7" s="2266"/>
      <c r="BI7" s="2266"/>
      <c r="BJ7" s="2266"/>
      <c r="BK7" s="2266"/>
      <c r="BL7" s="2266"/>
      <c r="BM7" s="2266"/>
      <c r="BN7" s="2266"/>
      <c r="BO7" s="2266"/>
    </row>
    <row r="8" spans="1:67" s="2018" customFormat="1" ht="14.25" hidden="1">
      <c r="A8" s="2293">
        <f>'数据-汇总表'!C21</f>
        <v>0</v>
      </c>
      <c r="B8" s="2294" t="str">
        <f t="shared" si="1"/>
        <v/>
      </c>
      <c r="C8" s="2295"/>
      <c r="D8" s="1039">
        <f>SUMIF(项目基本情况!D$12:I$12,C8,项目基本情况!D$14:I$14)</f>
        <v>0</v>
      </c>
      <c r="E8" s="1036" t="str">
        <f>IF(B8="","",SUMIF(项目基本情况!D$12:I$12,C8,项目基本情况!D$13:I$13))</f>
        <v/>
      </c>
      <c r="F8" s="71">
        <f>SUMIF(项目基本情况!D$12:I$12,C8,项目基本情况!D$15:I$15)</f>
        <v>0</v>
      </c>
      <c r="G8" s="72">
        <f t="shared" si="2"/>
        <v>0</v>
      </c>
      <c r="H8" s="792"/>
      <c r="I8" s="792"/>
      <c r="J8" s="73"/>
      <c r="K8" s="1239">
        <f>SUMIF('数据-汇总表'!C$19:C$33,A8,'数据-汇总表'!E$19:E$33)</f>
        <v>0</v>
      </c>
      <c r="L8" s="793"/>
      <c r="M8" s="74">
        <f>ROUND(K8*L8/10000,0)</f>
        <v>0</v>
      </c>
      <c r="N8" s="2993"/>
      <c r="O8" s="74">
        <f t="shared" si="3"/>
        <v>0</v>
      </c>
      <c r="P8" s="75">
        <f t="shared" si="4"/>
        <v>0</v>
      </c>
      <c r="Q8" s="2981"/>
      <c r="R8" s="76">
        <f ca="1">SUMIF('数据-汇总表'!C$19:C$33,A8,'数据-汇总表'!R$19:R$27)</f>
        <v>0</v>
      </c>
      <c r="S8" s="53">
        <f>IF('数据-汇总表'!$I$17="按面积比例",SUMIF('数据-汇总表'!C$19:C$33,A8,'数据-汇总表'!K$19:K$33),SUMIF('数据-汇总表'!C$19:C$33,A8,'数据-汇总表'!N$19:N$33))</f>
        <v>0</v>
      </c>
      <c r="T8" s="1431">
        <f t="shared" si="5"/>
        <v>0</v>
      </c>
      <c r="U8" s="2995"/>
      <c r="V8" s="794"/>
      <c r="W8" s="794"/>
      <c r="X8" s="1249"/>
      <c r="Y8" s="2996"/>
      <c r="Z8" s="80"/>
      <c r="AA8" s="73"/>
      <c r="AB8" s="73"/>
      <c r="AC8" s="1249"/>
      <c r="AD8" s="81"/>
      <c r="AE8" s="1250">
        <f t="shared" ca="1" si="6"/>
        <v>0</v>
      </c>
      <c r="AF8" s="1791"/>
      <c r="AG8" s="138">
        <f t="shared" si="7"/>
        <v>0</v>
      </c>
      <c r="AH8" s="795"/>
      <c r="AI8" s="84"/>
      <c r="AJ8" s="85"/>
      <c r="AK8" s="796"/>
      <c r="AL8" s="87"/>
      <c r="AM8" s="797"/>
      <c r="AN8" s="2296"/>
      <c r="AO8" s="54" t="e">
        <f t="shared" ca="1" si="8"/>
        <v>#REF!</v>
      </c>
      <c r="AP8" s="2297">
        <f t="shared" si="9"/>
        <v>0</v>
      </c>
      <c r="AQ8" s="54">
        <f t="shared" si="10"/>
        <v>0</v>
      </c>
      <c r="AR8" s="54">
        <f t="shared" si="11"/>
        <v>0</v>
      </c>
      <c r="AS8" s="2266"/>
      <c r="AT8" s="2266"/>
      <c r="AU8" s="2266"/>
      <c r="AV8" s="2266"/>
      <c r="AW8" s="2266"/>
      <c r="AX8" s="2266"/>
      <c r="AY8" s="2266"/>
      <c r="AZ8" s="2266"/>
      <c r="BA8" s="2266"/>
      <c r="BB8" s="2266"/>
      <c r="BC8" s="2266"/>
      <c r="BD8" s="2266"/>
      <c r="BE8" s="2266"/>
      <c r="BF8" s="2266"/>
      <c r="BG8" s="2266"/>
      <c r="BH8" s="2266"/>
      <c r="BI8" s="2266"/>
      <c r="BJ8" s="2266"/>
      <c r="BK8" s="2266"/>
      <c r="BL8" s="2266"/>
      <c r="BM8" s="2266"/>
      <c r="BN8" s="2266"/>
      <c r="BO8" s="2266"/>
    </row>
    <row r="9" spans="1:67" s="2018" customFormat="1" ht="14.25" hidden="1">
      <c r="A9" s="2293">
        <f>'数据-汇总表'!C22</f>
        <v>0</v>
      </c>
      <c r="B9" s="2294" t="str">
        <f t="shared" si="1"/>
        <v/>
      </c>
      <c r="C9" s="2295"/>
      <c r="D9" s="1039">
        <f>SUMIF(项目基本情况!D$12:I$12,C9,项目基本情况!D$14:I$14)</f>
        <v>0</v>
      </c>
      <c r="E9" s="1036" t="str">
        <f>IF(B9="","",SUMIF(项目基本情况!D$12:I$12,C9,项目基本情况!D$13:I$13))</f>
        <v/>
      </c>
      <c r="F9" s="71">
        <f>SUMIF(项目基本情况!D$12:I$12,C9,项目基本情况!D$15:I$15)</f>
        <v>0</v>
      </c>
      <c r="G9" s="72">
        <f t="shared" si="2"/>
        <v>0</v>
      </c>
      <c r="H9" s="73"/>
      <c r="I9" s="73"/>
      <c r="J9" s="73"/>
      <c r="K9" s="1239">
        <f>SUMIF('数据-汇总表'!C$19:C$33,A9,'数据-汇总表'!E$19:E$33)</f>
        <v>0</v>
      </c>
      <c r="L9" s="793"/>
      <c r="M9" s="74">
        <f t="shared" si="0"/>
        <v>0</v>
      </c>
      <c r="N9" s="2993"/>
      <c r="O9" s="74">
        <f t="shared" si="3"/>
        <v>0</v>
      </c>
      <c r="P9" s="75">
        <f t="shared" si="4"/>
        <v>0</v>
      </c>
      <c r="Q9" s="2982"/>
      <c r="R9" s="76">
        <f ca="1">SUMIF('数据-汇总表'!C$19:C$33,A9,'数据-汇总表'!R$19:R$27)</f>
        <v>0</v>
      </c>
      <c r="S9" s="53">
        <f>IF('数据-汇总表'!$I$17="按面积比例",SUMIF('数据-汇总表'!C$19:C$33,A9,'数据-汇总表'!K$19:K$33),SUMIF('数据-汇总表'!C$19:C$33,A9,'数据-汇总表'!N$19:N$33))</f>
        <v>0</v>
      </c>
      <c r="T9" s="1431">
        <f t="shared" si="5"/>
        <v>0</v>
      </c>
      <c r="U9" s="2994"/>
      <c r="V9" s="78"/>
      <c r="W9" s="78"/>
      <c r="X9" s="1249"/>
      <c r="Y9" s="2996"/>
      <c r="Z9" s="80"/>
      <c r="AA9" s="73"/>
      <c r="AB9" s="73"/>
      <c r="AC9" s="1249"/>
      <c r="AD9" s="81"/>
      <c r="AE9" s="1250">
        <f t="shared" ca="1" si="6"/>
        <v>0</v>
      </c>
      <c r="AF9" s="1791"/>
      <c r="AG9" s="138">
        <f t="shared" si="7"/>
        <v>0</v>
      </c>
      <c r="AH9" s="82"/>
      <c r="AI9" s="84"/>
      <c r="AJ9" s="85"/>
      <c r="AK9" s="86"/>
      <c r="AL9" s="87"/>
      <c r="AM9" s="88"/>
      <c r="AN9" s="2296"/>
      <c r="AO9" s="54" t="e">
        <f t="shared" ca="1" si="8"/>
        <v>#REF!</v>
      </c>
      <c r="AP9" s="2297">
        <f t="shared" si="9"/>
        <v>0</v>
      </c>
      <c r="AQ9" s="54">
        <f t="shared" si="10"/>
        <v>0</v>
      </c>
      <c r="AR9" s="54">
        <f t="shared" si="11"/>
        <v>0</v>
      </c>
      <c r="AS9" s="2266"/>
      <c r="AT9" s="2266"/>
      <c r="AU9" s="2266"/>
      <c r="AV9" s="2266"/>
      <c r="AW9" s="2266"/>
      <c r="AX9" s="2266"/>
      <c r="AY9" s="2266"/>
      <c r="AZ9" s="2266"/>
      <c r="BA9" s="2266"/>
      <c r="BB9" s="2266"/>
      <c r="BC9" s="2266"/>
      <c r="BD9" s="2266"/>
      <c r="BE9" s="2266"/>
      <c r="BF9" s="2266"/>
      <c r="BG9" s="2266"/>
      <c r="BH9" s="2266"/>
      <c r="BI9" s="2266"/>
      <c r="BJ9" s="2266"/>
      <c r="BK9" s="2266"/>
      <c r="BL9" s="2266"/>
      <c r="BM9" s="2266"/>
      <c r="BN9" s="2266"/>
      <c r="BO9" s="2266"/>
    </row>
    <row r="10" spans="1:67" s="2018" customFormat="1" ht="14.25" hidden="1">
      <c r="A10" s="2293">
        <f>'数据-汇总表'!C23</f>
        <v>0</v>
      </c>
      <c r="B10" s="2294" t="str">
        <f t="shared" si="1"/>
        <v/>
      </c>
      <c r="C10" s="2295"/>
      <c r="D10" s="1039">
        <f>SUMIF(项目基本情况!D$12:I$12,C10,项目基本情况!D$14:I$14)</f>
        <v>0</v>
      </c>
      <c r="E10" s="1036" t="str">
        <f>IF(B10="","",SUMIF(项目基本情况!D$12:I$12,C10,项目基本情况!D$13:I$13))</f>
        <v/>
      </c>
      <c r="F10" s="71">
        <f>SUMIF(项目基本情况!D$12:I$12,C10,项目基本情况!D$15:I$15)</f>
        <v>0</v>
      </c>
      <c r="G10" s="72">
        <f t="shared" si="2"/>
        <v>0</v>
      </c>
      <c r="H10" s="73"/>
      <c r="I10" s="73"/>
      <c r="J10" s="73"/>
      <c r="K10" s="1239">
        <f>SUMIF('数据-汇总表'!C$19:C$33,A10,'数据-汇总表'!E$19:E$33)</f>
        <v>0</v>
      </c>
      <c r="L10" s="793"/>
      <c r="M10" s="74">
        <f t="shared" si="0"/>
        <v>0</v>
      </c>
      <c r="N10" s="2993"/>
      <c r="O10" s="74">
        <f t="shared" si="3"/>
        <v>0</v>
      </c>
      <c r="P10" s="75">
        <f t="shared" si="4"/>
        <v>0</v>
      </c>
      <c r="Q10" s="2982"/>
      <c r="R10" s="76">
        <f ca="1">SUMIF('数据-汇总表'!C$19:C$33,A10,'数据-汇总表'!R$19:R$27)</f>
        <v>0</v>
      </c>
      <c r="S10" s="53">
        <f>IF('数据-汇总表'!$I$17="按面积比例",SUMIF('数据-汇总表'!C$19:C$33,A10,'数据-汇总表'!K$19:K$33),SUMIF('数据-汇总表'!C$19:C$33,A10,'数据-汇总表'!N$19:N$33))</f>
        <v>0</v>
      </c>
      <c r="T10" s="1431">
        <f t="shared" si="5"/>
        <v>0</v>
      </c>
      <c r="U10" s="2994"/>
      <c r="V10" s="78"/>
      <c r="W10" s="78"/>
      <c r="X10" s="1249"/>
      <c r="Y10" s="2996"/>
      <c r="Z10" s="80"/>
      <c r="AA10" s="73"/>
      <c r="AB10" s="73"/>
      <c r="AC10" s="1249"/>
      <c r="AD10" s="81"/>
      <c r="AE10" s="1250">
        <f t="shared" ca="1" si="6"/>
        <v>0</v>
      </c>
      <c r="AF10" s="1791"/>
      <c r="AG10" s="138">
        <f t="shared" si="7"/>
        <v>0</v>
      </c>
      <c r="AH10" s="82"/>
      <c r="AI10" s="84"/>
      <c r="AJ10" s="85"/>
      <c r="AK10" s="86"/>
      <c r="AL10" s="87"/>
      <c r="AM10" s="88"/>
      <c r="AN10" s="2296"/>
      <c r="AO10" s="54" t="e">
        <f t="shared" ca="1" si="8"/>
        <v>#REF!</v>
      </c>
      <c r="AP10" s="2297">
        <f t="shared" si="9"/>
        <v>0</v>
      </c>
      <c r="AQ10" s="54">
        <f t="shared" si="10"/>
        <v>0</v>
      </c>
      <c r="AR10" s="54">
        <f t="shared" si="11"/>
        <v>0</v>
      </c>
      <c r="AS10" s="2266"/>
      <c r="AT10" s="2266"/>
      <c r="AU10" s="2266"/>
      <c r="AV10" s="2266"/>
      <c r="AW10" s="2266"/>
      <c r="AX10" s="2266"/>
      <c r="AY10" s="2266"/>
      <c r="AZ10" s="2266"/>
      <c r="BA10" s="2266"/>
      <c r="BB10" s="2266"/>
      <c r="BC10" s="2266"/>
      <c r="BD10" s="2266"/>
      <c r="BE10" s="2266"/>
      <c r="BF10" s="2266"/>
      <c r="BG10" s="2266"/>
      <c r="BH10" s="2266"/>
      <c r="BI10" s="2266"/>
      <c r="BJ10" s="2266"/>
      <c r="BK10" s="2266"/>
      <c r="BL10" s="2266"/>
      <c r="BM10" s="2266"/>
      <c r="BN10" s="2266"/>
      <c r="BO10" s="2266"/>
    </row>
    <row r="11" spans="1:67" s="2018" customFormat="1" ht="14.25" hidden="1">
      <c r="A11" s="2293">
        <f>'数据-汇总表'!C24</f>
        <v>0</v>
      </c>
      <c r="B11" s="2294" t="str">
        <f t="shared" si="1"/>
        <v/>
      </c>
      <c r="C11" s="2295"/>
      <c r="D11" s="1039">
        <f>SUMIF(项目基本情况!D$12:I$12,C11,项目基本情况!D$14:I$14)</f>
        <v>0</v>
      </c>
      <c r="E11" s="1036" t="str">
        <f>IF(B11="","",SUMIF(项目基本情况!D$12:I$12,C11,项目基本情况!D$13:I$13))</f>
        <v/>
      </c>
      <c r="F11" s="71">
        <f>SUMIF(项目基本情况!D$12:I$12,C11,项目基本情况!D$15:I$15)</f>
        <v>0</v>
      </c>
      <c r="G11" s="72">
        <f t="shared" si="2"/>
        <v>0</v>
      </c>
      <c r="H11" s="73"/>
      <c r="I11" s="73"/>
      <c r="J11" s="73"/>
      <c r="K11" s="1239">
        <f>SUMIF('数据-汇总表'!C$19:C$33,A11,'数据-汇总表'!E$19:E$33)</f>
        <v>0</v>
      </c>
      <c r="L11" s="89"/>
      <c r="M11" s="74">
        <f t="shared" si="0"/>
        <v>0</v>
      </c>
      <c r="N11" s="2993"/>
      <c r="O11" s="74">
        <f t="shared" si="3"/>
        <v>0</v>
      </c>
      <c r="P11" s="75">
        <f t="shared" si="4"/>
        <v>0</v>
      </c>
      <c r="Q11" s="2982"/>
      <c r="R11" s="76">
        <f ca="1">SUMIF('数据-汇总表'!C$19:C$33,A11,'数据-汇总表'!R$19:R$27)</f>
        <v>0</v>
      </c>
      <c r="S11" s="53">
        <f>IF('数据-汇总表'!$I$17="按面积比例",SUMIF('数据-汇总表'!C$19:C$33,A11,'数据-汇总表'!K$19:K$33),SUMIF('数据-汇总表'!C$19:C$33,A11,'数据-汇总表'!N$19:N$33))</f>
        <v>0</v>
      </c>
      <c r="T11" s="1431">
        <f t="shared" si="5"/>
        <v>0</v>
      </c>
      <c r="U11" s="82"/>
      <c r="V11" s="73"/>
      <c r="W11" s="73"/>
      <c r="X11" s="1249"/>
      <c r="Y11" s="2996"/>
      <c r="Z11" s="90"/>
      <c r="AA11" s="73"/>
      <c r="AB11" s="73"/>
      <c r="AC11" s="1249"/>
      <c r="AD11" s="81"/>
      <c r="AE11" s="1250">
        <f t="shared" ca="1" si="6"/>
        <v>0</v>
      </c>
      <c r="AF11" s="1791"/>
      <c r="AG11" s="138">
        <f t="shared" si="7"/>
        <v>0</v>
      </c>
      <c r="AH11" s="82"/>
      <c r="AI11" s="84"/>
      <c r="AJ11" s="85"/>
      <c r="AK11" s="86"/>
      <c r="AL11" s="87"/>
      <c r="AM11" s="88"/>
      <c r="AN11" s="2296"/>
      <c r="AO11" s="54" t="e">
        <f t="shared" ca="1" si="8"/>
        <v>#REF!</v>
      </c>
      <c r="AP11" s="2297">
        <f t="shared" si="9"/>
        <v>0</v>
      </c>
      <c r="AQ11" s="54">
        <f t="shared" si="10"/>
        <v>0</v>
      </c>
      <c r="AR11" s="54">
        <f t="shared" si="11"/>
        <v>0</v>
      </c>
      <c r="AS11" s="2266"/>
      <c r="AT11" s="2266"/>
      <c r="AU11" s="2266"/>
      <c r="AV11" s="2266"/>
      <c r="AW11" s="2266"/>
      <c r="AX11" s="2266"/>
      <c r="AY11" s="2266"/>
      <c r="AZ11" s="2266"/>
      <c r="BA11" s="2266"/>
      <c r="BB11" s="2266"/>
      <c r="BC11" s="2266"/>
      <c r="BD11" s="2266"/>
      <c r="BE11" s="2266"/>
      <c r="BF11" s="2266"/>
      <c r="BG11" s="2266"/>
      <c r="BH11" s="2266"/>
      <c r="BI11" s="2266"/>
      <c r="BJ11" s="2266"/>
      <c r="BK11" s="2266"/>
      <c r="BL11" s="2266"/>
      <c r="BM11" s="2266"/>
      <c r="BN11" s="2266"/>
      <c r="BO11" s="2266"/>
    </row>
    <row r="12" spans="1:67" s="2018" customFormat="1" ht="14.25" hidden="1">
      <c r="A12" s="2293">
        <f>'数据-汇总表'!C25</f>
        <v>0</v>
      </c>
      <c r="B12" s="2294" t="str">
        <f t="shared" si="1"/>
        <v/>
      </c>
      <c r="C12" s="2295"/>
      <c r="D12" s="1039">
        <f>SUMIF(项目基本情况!D$12:I$12,C12,项目基本情况!D$14:I$14)</f>
        <v>0</v>
      </c>
      <c r="E12" s="1036"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39">
        <f>SUMIF('数据-汇总表'!C$19:C$33,A12,'数据-汇总表'!E$19:E$33)</f>
        <v>0</v>
      </c>
      <c r="L12" s="89"/>
      <c r="M12" s="74">
        <f>ROUND(K12*L12/10000,0)</f>
        <v>0</v>
      </c>
      <c r="N12" s="2993"/>
      <c r="O12" s="74">
        <f t="shared" si="3"/>
        <v>0</v>
      </c>
      <c r="P12" s="75">
        <f t="shared" si="4"/>
        <v>0</v>
      </c>
      <c r="Q12" s="2982"/>
      <c r="R12" s="76">
        <f ca="1">SUMIF('数据-汇总表'!C$19:C$33,A12,'数据-汇总表'!R$19:R$27)</f>
        <v>0</v>
      </c>
      <c r="S12" s="53">
        <f>IF('数据-汇总表'!$I$17="按面积比例",SUMIF('数据-汇总表'!C$19:C$33,A12,'数据-汇总表'!K$19:K$33),SUMIF('数据-汇总表'!C$19:C$33,A12,'数据-汇总表'!N$19:N$33))</f>
        <v>0</v>
      </c>
      <c r="T12" s="1431">
        <f t="shared" si="5"/>
        <v>0</v>
      </c>
      <c r="U12" s="82"/>
      <c r="V12" s="73"/>
      <c r="W12" s="73"/>
      <c r="X12" s="1249"/>
      <c r="Y12" s="79"/>
      <c r="Z12" s="90"/>
      <c r="AA12" s="73"/>
      <c r="AB12" s="73"/>
      <c r="AC12" s="1249"/>
      <c r="AD12" s="81"/>
      <c r="AE12" s="1250">
        <f t="shared" ca="1" si="6"/>
        <v>0</v>
      </c>
      <c r="AF12" s="1791"/>
      <c r="AG12" s="138">
        <f t="shared" si="7"/>
        <v>0</v>
      </c>
      <c r="AH12" s="82"/>
      <c r="AI12" s="84"/>
      <c r="AJ12" s="85"/>
      <c r="AK12" s="86"/>
      <c r="AL12" s="87"/>
      <c r="AM12" s="88"/>
      <c r="AN12" s="2296"/>
      <c r="AO12" s="54" t="e">
        <f t="shared" ca="1" si="8"/>
        <v>#REF!</v>
      </c>
      <c r="AP12" s="2297">
        <f t="shared" si="9"/>
        <v>0</v>
      </c>
      <c r="AQ12" s="54">
        <f t="shared" si="10"/>
        <v>0</v>
      </c>
      <c r="AR12" s="54">
        <f t="shared" si="11"/>
        <v>0</v>
      </c>
      <c r="AS12" s="2266"/>
      <c r="AT12" s="2266"/>
      <c r="AU12" s="2266"/>
      <c r="AV12" s="2266"/>
      <c r="AW12" s="2266"/>
      <c r="AX12" s="2266"/>
      <c r="AY12" s="2266"/>
      <c r="AZ12" s="2266"/>
      <c r="BA12" s="2266"/>
      <c r="BB12" s="2266"/>
      <c r="BC12" s="2266"/>
      <c r="BD12" s="2266"/>
      <c r="BE12" s="2266"/>
      <c r="BF12" s="2266"/>
      <c r="BG12" s="2266"/>
      <c r="BH12" s="2266"/>
      <c r="BI12" s="2266"/>
      <c r="BJ12" s="2266"/>
      <c r="BK12" s="2266"/>
      <c r="BL12" s="2266"/>
      <c r="BM12" s="2266"/>
      <c r="BN12" s="2266"/>
      <c r="BO12" s="2266"/>
    </row>
    <row r="13" spans="1:67" s="2018" customFormat="1" ht="14.25" hidden="1">
      <c r="A13" s="2293">
        <f>'数据-汇总表'!C26</f>
        <v>0</v>
      </c>
      <c r="B13" s="2294" t="str">
        <f t="shared" si="1"/>
        <v/>
      </c>
      <c r="C13" s="2295"/>
      <c r="D13" s="1039">
        <f>SUMIF(项目基本情况!D$12:I$12,C13,项目基本情况!D$14:I$14)</f>
        <v>0</v>
      </c>
      <c r="E13" s="1036"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39">
        <f>SUMIF('数据-汇总表'!C$19:C$33,A13,'数据-汇总表'!E$19:E$33)</f>
        <v>0</v>
      </c>
      <c r="L13" s="89"/>
      <c r="M13" s="74">
        <f>ROUND(K13*L13/10000,0)</f>
        <v>0</v>
      </c>
      <c r="N13" s="2993"/>
      <c r="O13" s="74">
        <f t="shared" si="3"/>
        <v>0</v>
      </c>
      <c r="P13" s="75">
        <f t="shared" si="4"/>
        <v>0</v>
      </c>
      <c r="Q13" s="2982"/>
      <c r="R13" s="76">
        <f ca="1">SUMIF('数据-汇总表'!C$19:C$33,A13,'数据-汇总表'!R$19:R$27)</f>
        <v>0</v>
      </c>
      <c r="S13" s="53">
        <f>IF('数据-汇总表'!$I$17="按面积比例",SUMIF('数据-汇总表'!C$19:C$33,A13,'数据-汇总表'!K$19:K$33),SUMIF('数据-汇总表'!C$19:C$33,A13,'数据-汇总表'!N$19:N$33))</f>
        <v>0</v>
      </c>
      <c r="T13" s="1431">
        <f t="shared" si="5"/>
        <v>0</v>
      </c>
      <c r="U13" s="77"/>
      <c r="V13" s="73"/>
      <c r="W13" s="78"/>
      <c r="X13" s="1249"/>
      <c r="Y13" s="79"/>
      <c r="Z13" s="80"/>
      <c r="AA13" s="73"/>
      <c r="AB13" s="73"/>
      <c r="AC13" s="1249"/>
      <c r="AD13" s="81"/>
      <c r="AE13" s="1250">
        <f t="shared" ca="1" si="6"/>
        <v>0</v>
      </c>
      <c r="AF13" s="1791"/>
      <c r="AG13" s="138">
        <f t="shared" si="7"/>
        <v>0</v>
      </c>
      <c r="AH13" s="82"/>
      <c r="AI13" s="84"/>
      <c r="AJ13" s="85"/>
      <c r="AK13" s="86"/>
      <c r="AL13" s="87"/>
      <c r="AM13" s="88"/>
      <c r="AN13" s="2296"/>
      <c r="AO13" s="54" t="e">
        <f t="shared" ca="1" si="8"/>
        <v>#REF!</v>
      </c>
      <c r="AP13" s="2297">
        <f t="shared" si="9"/>
        <v>0</v>
      </c>
      <c r="AQ13" s="54">
        <f t="shared" si="10"/>
        <v>0</v>
      </c>
      <c r="AR13" s="54">
        <f t="shared" si="11"/>
        <v>0</v>
      </c>
      <c r="AS13" s="2266"/>
      <c r="AT13" s="2266"/>
      <c r="AU13" s="2266"/>
      <c r="AV13" s="2266"/>
      <c r="AW13" s="2266"/>
      <c r="AX13" s="2266"/>
      <c r="AY13" s="2266"/>
      <c r="AZ13" s="2266"/>
      <c r="BA13" s="2266"/>
      <c r="BB13" s="2266"/>
      <c r="BC13" s="2266"/>
      <c r="BD13" s="2266"/>
      <c r="BE13" s="2266"/>
      <c r="BF13" s="2266"/>
      <c r="BG13" s="2266"/>
      <c r="BH13" s="2266"/>
      <c r="BI13" s="2266"/>
      <c r="BJ13" s="2266"/>
      <c r="BK13" s="2266"/>
      <c r="BL13" s="2266"/>
      <c r="BM13" s="2266"/>
      <c r="BN13" s="2266"/>
      <c r="BO13" s="2266"/>
    </row>
    <row r="14" spans="1:67" s="2018" customFormat="1" ht="14.25" hidden="1">
      <c r="A14" s="2298" t="s">
        <v>2014</v>
      </c>
      <c r="B14" s="2294" t="s">
        <v>2015</v>
      </c>
      <c r="C14" s="2299" t="s">
        <v>2014</v>
      </c>
      <c r="D14" s="1039"/>
      <c r="E14" s="1036"/>
      <c r="F14" s="71"/>
      <c r="G14" s="72"/>
      <c r="H14" s="1238"/>
      <c r="I14" s="1238"/>
      <c r="J14" s="1238"/>
      <c r="K14" s="1239">
        <f>SUMIF('数据-汇总表'!C$19:C$33,A14,'数据-汇总表'!E$19:E$33)</f>
        <v>0</v>
      </c>
      <c r="L14" s="89"/>
      <c r="M14" s="74">
        <f t="shared" si="0"/>
        <v>0</v>
      </c>
      <c r="N14" s="2993"/>
      <c r="O14" s="74">
        <f t="shared" si="3"/>
        <v>0</v>
      </c>
      <c r="P14" s="75">
        <f t="shared" si="4"/>
        <v>0</v>
      </c>
      <c r="Q14" s="1242"/>
      <c r="R14" s="76"/>
      <c r="S14" s="53"/>
      <c r="T14" s="1431"/>
      <c r="U14" s="714"/>
      <c r="V14" s="1244"/>
      <c r="W14" s="1244"/>
      <c r="X14" s="1245"/>
      <c r="Y14" s="1246"/>
      <c r="Z14" s="1247"/>
      <c r="AA14" s="1248"/>
      <c r="AB14" s="1248"/>
      <c r="AC14" s="1249"/>
      <c r="AD14" s="1245"/>
      <c r="AE14" s="1250"/>
      <c r="AF14" s="54"/>
      <c r="AG14" s="138"/>
      <c r="AH14" s="1250"/>
      <c r="AI14" s="1802"/>
      <c r="AJ14" s="764"/>
      <c r="AK14" s="1251"/>
      <c r="AL14" s="1252"/>
      <c r="AM14" s="1253"/>
      <c r="AN14" s="2261"/>
      <c r="AO14" s="2266"/>
      <c r="AP14" s="2266"/>
      <c r="AQ14" s="2266"/>
      <c r="AR14" s="2266"/>
      <c r="AS14" s="2266"/>
      <c r="AT14" s="2266"/>
      <c r="AU14" s="2266"/>
      <c r="AV14" s="2266"/>
      <c r="AW14" s="2266"/>
      <c r="AX14" s="2266"/>
      <c r="AY14" s="2266"/>
      <c r="AZ14" s="2266"/>
      <c r="BA14" s="2266"/>
      <c r="BB14" s="2266"/>
      <c r="BC14" s="2266"/>
      <c r="BD14" s="2266"/>
      <c r="BE14" s="2266"/>
      <c r="BF14" s="2266"/>
      <c r="BG14" s="2266"/>
      <c r="BH14" s="2266"/>
      <c r="BI14" s="2266"/>
      <c r="BJ14" s="2266"/>
      <c r="BK14" s="2266"/>
      <c r="BL14" s="2266"/>
      <c r="BM14" s="2266"/>
      <c r="BN14" s="2266"/>
      <c r="BO14" s="2266"/>
    </row>
    <row r="15" spans="1:67" s="2018" customFormat="1" ht="27">
      <c r="A15" s="2298" t="s">
        <v>2016</v>
      </c>
      <c r="B15" s="2294" t="s">
        <v>2015</v>
      </c>
      <c r="C15" s="2299" t="s">
        <v>2017</v>
      </c>
      <c r="D15" s="1039"/>
      <c r="E15" s="1036"/>
      <c r="F15" s="71"/>
      <c r="G15" s="72"/>
      <c r="H15" s="1238"/>
      <c r="I15" s="1238"/>
      <c r="J15" s="1238"/>
      <c r="K15" s="1239">
        <f>SUMIF('数据-汇总表'!C$19:C$33,A15,'数据-汇总表'!E$19:E$33)</f>
        <v>0</v>
      </c>
      <c r="L15" s="1240"/>
      <c r="M15" s="74"/>
      <c r="N15" s="1241"/>
      <c r="O15" s="74"/>
      <c r="P15" s="75"/>
      <c r="Q15" s="1242"/>
      <c r="R15" s="76"/>
      <c r="S15" s="53"/>
      <c r="T15" s="1431"/>
      <c r="U15" s="714"/>
      <c r="V15" s="1244"/>
      <c r="W15" s="1244"/>
      <c r="X15" s="1245"/>
      <c r="Y15" s="1246"/>
      <c r="Z15" s="1247"/>
      <c r="AA15" s="1248"/>
      <c r="AB15" s="1248"/>
      <c r="AC15" s="1249"/>
      <c r="AD15" s="1245"/>
      <c r="AE15" s="1250"/>
      <c r="AF15" s="54"/>
      <c r="AG15" s="138"/>
      <c r="AH15" s="1250"/>
      <c r="AI15" s="1802"/>
      <c r="AJ15" s="764"/>
      <c r="AK15" s="1251"/>
      <c r="AL15" s="1252"/>
      <c r="AM15" s="1253"/>
      <c r="AN15" s="2261"/>
      <c r="AO15" s="2266"/>
      <c r="AP15" s="2266"/>
      <c r="AQ15" s="2266"/>
      <c r="AR15" s="2266"/>
      <c r="AS15" s="2266"/>
      <c r="AT15" s="2266"/>
      <c r="AU15" s="2266"/>
      <c r="AV15" s="2266"/>
      <c r="AW15" s="2266"/>
      <c r="AX15" s="2266"/>
      <c r="AY15" s="2266"/>
      <c r="AZ15" s="2266"/>
      <c r="BA15" s="2266"/>
      <c r="BB15" s="2266"/>
      <c r="BC15" s="2266"/>
      <c r="BD15" s="2266"/>
      <c r="BE15" s="2266"/>
      <c r="BF15" s="2266"/>
      <c r="BG15" s="2266"/>
      <c r="BH15" s="2266"/>
      <c r="BI15" s="2266"/>
      <c r="BJ15" s="2266"/>
      <c r="BK15" s="2266"/>
      <c r="BL15" s="2266"/>
      <c r="BM15" s="2266"/>
      <c r="BN15" s="2266"/>
      <c r="BO15" s="2266"/>
    </row>
    <row r="16" spans="1:67" s="2018" customFormat="1" ht="15.75" thickBot="1">
      <c r="A16" s="2300" t="s">
        <v>2018</v>
      </c>
      <c r="B16" s="91"/>
      <c r="C16" s="993"/>
      <c r="D16" s="2301"/>
      <c r="E16" s="91"/>
      <c r="F16" s="91"/>
      <c r="G16" s="92">
        <f>ROUND(SUMPRODUCT(G6:G13,K6:K13)/SUMPRODUCT((G6:G13&gt;0)*(K6:K13)),3)</f>
        <v>0.94099999999999995</v>
      </c>
      <c r="H16" s="93">
        <f>ROUND(SUMPRODUCT(H6:H13,K6:K13)/SUMPRODUCT((H6:H13&gt;0)*(K6:K13)),3)</f>
        <v>0.05</v>
      </c>
      <c r="I16" s="94"/>
      <c r="J16" s="94"/>
      <c r="K16" s="95">
        <f>SUM(K6:K15)</f>
        <v>20428.607999999997</v>
      </c>
      <c r="L16" s="96">
        <f>ROUND(M16*10000/SUM(K6:K14),0)</f>
        <v>2800</v>
      </c>
      <c r="M16" s="96">
        <f>SUM(M6:M14)</f>
        <v>5720</v>
      </c>
      <c r="N16" s="97">
        <f>ROUND(SUMPRODUCT(M6:M14,N6:N14)/M16,3)</f>
        <v>0.99</v>
      </c>
      <c r="O16" s="96">
        <f>SUM(O6:O14)</f>
        <v>5663</v>
      </c>
      <c r="P16" s="96">
        <f>SUM(P6:P14)</f>
        <v>57</v>
      </c>
      <c r="Q16" s="98">
        <f>ROUND(SUMPRODUCT(Q6:Q13,K6:K13)/SUMPRODUCT((Q6:Q13&gt;0)*(K6:K13)),2)</f>
        <v>0.15</v>
      </c>
      <c r="R16" s="1243">
        <f ca="1">SUM(R6:R13)</f>
        <v>8573.39</v>
      </c>
      <c r="S16" s="99">
        <f>SUM(S6:S13)</f>
        <v>0</v>
      </c>
      <c r="T16" s="100">
        <f>IF(SUMIF(T6:T13,"&lt;9E307")=M14,SUMIF(T6:T13,"&lt;9E307"),"有误，请检查")</f>
        <v>0</v>
      </c>
      <c r="U16" s="101"/>
      <c r="V16" s="102"/>
      <c r="W16" s="102"/>
      <c r="X16" s="105"/>
      <c r="Y16" s="103"/>
      <c r="Z16" s="104"/>
      <c r="AA16" s="102"/>
      <c r="AB16" s="102"/>
      <c r="AC16" s="105"/>
      <c r="AD16" s="105"/>
      <c r="AE16" s="101"/>
      <c r="AF16" s="102"/>
      <c r="AG16" s="103"/>
      <c r="AH16" s="101"/>
      <c r="AI16" s="104"/>
      <c r="AJ16" s="104"/>
      <c r="AK16" s="102"/>
      <c r="AL16" s="102"/>
      <c r="AM16" s="103"/>
      <c r="AN16" s="2261"/>
      <c r="AO16" s="2266"/>
      <c r="AP16" s="2266"/>
      <c r="AQ16" s="2266"/>
      <c r="AR16" s="2266"/>
      <c r="AS16" s="2266"/>
      <c r="AT16" s="2266"/>
      <c r="AU16" s="2266"/>
      <c r="AV16" s="2266"/>
      <c r="AW16" s="2266"/>
      <c r="AX16" s="2266"/>
      <c r="AY16" s="2266"/>
      <c r="AZ16" s="2266"/>
      <c r="BA16" s="2266"/>
      <c r="BB16" s="2266"/>
      <c r="BC16" s="2266"/>
      <c r="BD16" s="2266"/>
      <c r="BE16" s="2266"/>
      <c r="BF16" s="2266"/>
      <c r="BG16" s="2266"/>
      <c r="BH16" s="2266"/>
      <c r="BI16" s="2266"/>
      <c r="BJ16" s="2266"/>
      <c r="BK16" s="2266"/>
      <c r="BL16" s="2266"/>
      <c r="BM16" s="2266"/>
      <c r="BN16" s="2266"/>
      <c r="BO16" s="2266"/>
    </row>
    <row r="17" spans="1:67" ht="13.5" thickBot="1">
      <c r="A17" s="2302"/>
      <c r="B17" s="723"/>
      <c r="C17" s="1568"/>
      <c r="D17" s="2260"/>
      <c r="E17" s="2260"/>
      <c r="F17" s="1568"/>
      <c r="G17" s="1568"/>
      <c r="H17" s="1568"/>
      <c r="I17" s="1568"/>
      <c r="J17" s="1568"/>
      <c r="K17" s="159"/>
      <c r="L17" s="159"/>
      <c r="M17" s="1568"/>
      <c r="N17" s="1568"/>
      <c r="O17" s="1568"/>
      <c r="P17" s="1568"/>
      <c r="Q17" s="1568"/>
      <c r="R17" s="1568"/>
      <c r="S17" s="1568"/>
      <c r="T17" s="1568"/>
      <c r="U17" s="1568"/>
      <c r="V17" s="1568"/>
      <c r="W17" s="1568"/>
      <c r="X17" s="1568"/>
      <c r="Y17" s="1568"/>
      <c r="Z17" s="1568"/>
      <c r="AA17" s="1568"/>
      <c r="AB17" s="1568"/>
      <c r="AC17" s="1568"/>
      <c r="AD17" s="1568"/>
      <c r="AE17" s="1568"/>
      <c r="AF17" s="1568"/>
      <c r="AG17" s="1568"/>
      <c r="AH17" s="1568"/>
      <c r="AI17" s="1568"/>
      <c r="AJ17" s="1568"/>
      <c r="AK17" s="1568"/>
      <c r="AL17" s="1568"/>
      <c r="AM17" s="1568"/>
    </row>
    <row r="18" spans="1:67" ht="15" thickBot="1">
      <c r="A18" s="67" t="s">
        <v>2019</v>
      </c>
      <c r="B18" s="2267"/>
      <c r="C18" s="2264"/>
      <c r="D18" s="2265"/>
      <c r="E18" s="2264"/>
      <c r="F18" s="2264"/>
      <c r="G18" s="2264"/>
      <c r="H18" s="2264"/>
      <c r="I18" s="2264"/>
      <c r="J18" s="2264"/>
      <c r="K18" s="159"/>
      <c r="L18" s="159"/>
      <c r="M18" s="1568"/>
      <c r="N18" s="1568"/>
      <c r="O18" s="1568"/>
      <c r="P18" s="1568"/>
      <c r="Q18" s="1568"/>
      <c r="R18" s="1568"/>
      <c r="S18" s="1568"/>
      <c r="T18" s="1568"/>
      <c r="U18" s="1568"/>
      <c r="V18" s="1568"/>
      <c r="W18" s="1568"/>
      <c r="X18" s="1568"/>
      <c r="Y18" s="1568"/>
      <c r="Z18" s="1568"/>
      <c r="AA18" s="1568"/>
      <c r="AB18" s="1568"/>
      <c r="AC18" s="1568"/>
      <c r="AD18" s="1568"/>
      <c r="AE18" s="1568"/>
      <c r="AF18" s="1568"/>
      <c r="AG18" s="1568"/>
      <c r="AH18" s="1568"/>
      <c r="AI18" s="1568"/>
      <c r="AJ18" s="1568"/>
      <c r="AK18" s="1568"/>
      <c r="AL18" s="1568"/>
      <c r="AM18" s="1568"/>
    </row>
    <row r="19" spans="1:67" ht="14.25">
      <c r="A19" s="2303" t="s">
        <v>2020</v>
      </c>
      <c r="B19" s="106">
        <v>0</v>
      </c>
      <c r="C19" s="2264" t="s">
        <v>2021</v>
      </c>
      <c r="D19" s="2265"/>
      <c r="E19" s="2264"/>
      <c r="F19" s="2264"/>
      <c r="G19" s="2264"/>
      <c r="H19" s="2264"/>
      <c r="I19" s="2264"/>
      <c r="J19" s="2264"/>
      <c r="K19" s="159"/>
      <c r="L19" s="159"/>
      <c r="M19" s="1568"/>
      <c r="N19" s="1568"/>
      <c r="O19" s="1568"/>
      <c r="P19" s="1568"/>
      <c r="Q19" s="1568"/>
      <c r="R19" s="1568"/>
      <c r="S19" s="1568"/>
      <c r="T19" s="1568"/>
      <c r="U19" s="1568"/>
      <c r="V19" s="1568"/>
      <c r="W19" s="1568"/>
      <c r="X19" s="1568"/>
      <c r="Y19" s="1568"/>
      <c r="Z19" s="1568"/>
      <c r="AA19" s="1568"/>
      <c r="AB19" s="1568"/>
      <c r="AC19" s="1568"/>
      <c r="AD19" s="1568"/>
      <c r="AE19" s="1568"/>
      <c r="AF19" s="1568"/>
      <c r="AG19" s="1568"/>
      <c r="AH19" s="1568"/>
      <c r="AI19" s="1568"/>
      <c r="AJ19" s="1568"/>
      <c r="AK19" s="1568"/>
      <c r="AL19" s="1568"/>
      <c r="AM19" s="1568"/>
    </row>
    <row r="20" spans="1:67" ht="14.25">
      <c r="A20" s="2304" t="s">
        <v>2022</v>
      </c>
      <c r="B20" s="3071">
        <v>2</v>
      </c>
      <c r="C20" s="2264" t="s">
        <v>2023</v>
      </c>
      <c r="D20" s="2265"/>
      <c r="E20" s="2264"/>
      <c r="F20" s="2264"/>
      <c r="G20" s="2264"/>
      <c r="H20" s="2264"/>
      <c r="I20" s="2264"/>
      <c r="J20" s="2264"/>
      <c r="K20" s="159"/>
      <c r="L20" s="159"/>
      <c r="M20" s="1568"/>
      <c r="N20" s="1568"/>
      <c r="O20" s="1568"/>
      <c r="P20" s="1568"/>
      <c r="Q20" s="1568"/>
      <c r="R20" s="1568"/>
      <c r="S20" s="1568"/>
      <c r="T20" s="1568"/>
      <c r="U20" s="1568"/>
      <c r="V20" s="1568"/>
      <c r="W20" s="1568"/>
      <c r="X20" s="1568"/>
      <c r="Y20" s="1568"/>
      <c r="Z20" s="1568"/>
      <c r="AA20" s="1568"/>
      <c r="AB20" s="1568"/>
      <c r="AC20" s="1568"/>
      <c r="AD20" s="1568"/>
      <c r="AE20" s="1568"/>
      <c r="AF20" s="1568"/>
      <c r="AG20" s="1568"/>
      <c r="AH20" s="1568"/>
      <c r="AI20" s="1568"/>
      <c r="AJ20" s="1568"/>
      <c r="AK20" s="1568"/>
      <c r="AL20" s="1568"/>
      <c r="AM20" s="1568"/>
    </row>
    <row r="21" spans="1:67" ht="14.25">
      <c r="A21" s="2305" t="s">
        <v>2024</v>
      </c>
      <c r="B21" s="3071">
        <v>1.9</v>
      </c>
      <c r="C21" s="2264"/>
      <c r="D21" s="2265"/>
      <c r="E21" s="2264"/>
      <c r="F21" s="2264"/>
      <c r="G21" s="2264"/>
      <c r="H21" s="2264"/>
      <c r="I21" s="2264"/>
      <c r="J21" s="2264"/>
      <c r="K21" s="159"/>
      <c r="L21" s="159"/>
      <c r="M21" s="1568"/>
      <c r="N21" s="1568"/>
      <c r="O21" s="1568"/>
      <c r="P21" s="1568"/>
      <c r="Q21" s="1568"/>
      <c r="R21" s="1568"/>
      <c r="S21" s="1568"/>
      <c r="T21" s="1568"/>
      <c r="U21" s="1568"/>
      <c r="V21" s="1568"/>
      <c r="W21" s="1568"/>
      <c r="X21" s="1568"/>
      <c r="Y21" s="1568"/>
      <c r="Z21" s="1568"/>
      <c r="AA21" s="1568"/>
      <c r="AB21" s="1568"/>
      <c r="AC21" s="1568"/>
      <c r="AD21" s="1568"/>
      <c r="AE21" s="1568"/>
      <c r="AF21" s="1568"/>
      <c r="AG21" s="1568"/>
      <c r="AH21" s="1568"/>
      <c r="AI21" s="1568"/>
      <c r="AJ21" s="1568"/>
      <c r="AK21" s="1568"/>
      <c r="AL21" s="1568"/>
      <c r="AM21" s="1568"/>
    </row>
    <row r="22" spans="1:67" ht="14.25">
      <c r="A22" s="2304" t="s">
        <v>2025</v>
      </c>
      <c r="B22" s="107">
        <f>B19+B20</f>
        <v>2</v>
      </c>
      <c r="C22" s="2264"/>
      <c r="D22" s="2265"/>
      <c r="E22" s="2264"/>
      <c r="F22" s="2264"/>
      <c r="G22" s="2264"/>
      <c r="H22" s="2264"/>
      <c r="I22" s="2264"/>
      <c r="J22" s="2264"/>
      <c r="K22" s="159"/>
      <c r="L22" s="159"/>
      <c r="M22" s="1568"/>
      <c r="N22" s="1568"/>
      <c r="O22" s="1568"/>
      <c r="P22" s="1568"/>
      <c r="Q22" s="1568"/>
      <c r="R22" s="1568"/>
      <c r="S22" s="1568"/>
      <c r="T22" s="1568"/>
      <c r="U22" s="1568"/>
      <c r="V22" s="1568"/>
      <c r="W22" s="1568"/>
      <c r="X22" s="1568"/>
      <c r="Y22" s="1568"/>
      <c r="Z22" s="1568"/>
      <c r="AA22" s="1568"/>
      <c r="AB22" s="1568"/>
      <c r="AC22" s="1568"/>
      <c r="AD22" s="1568"/>
      <c r="AE22" s="1568"/>
      <c r="AF22" s="1568"/>
      <c r="AG22" s="1568"/>
      <c r="AH22" s="1568"/>
      <c r="AI22" s="1568"/>
      <c r="AJ22" s="1568"/>
      <c r="AK22" s="1568"/>
      <c r="AL22" s="1568"/>
      <c r="AM22" s="1568"/>
    </row>
    <row r="23" spans="1:67" ht="14.25">
      <c r="A23" s="2305" t="s">
        <v>2026</v>
      </c>
      <c r="B23" s="107">
        <f>B19+B21</f>
        <v>1.9</v>
      </c>
      <c r="C23" s="2264"/>
      <c r="D23" s="2265"/>
      <c r="E23" s="2264"/>
      <c r="F23" s="2264"/>
      <c r="G23" s="2264"/>
      <c r="H23" s="2264"/>
      <c r="I23" s="2264"/>
      <c r="J23" s="2264"/>
      <c r="K23" s="159"/>
      <c r="L23" s="159"/>
      <c r="M23" s="1568"/>
      <c r="N23" s="1568"/>
      <c r="O23" s="1568"/>
      <c r="P23" s="1568"/>
      <c r="Q23" s="1568"/>
      <c r="R23" s="1568"/>
      <c r="S23" s="1568"/>
      <c r="T23" s="1568"/>
      <c r="U23" s="1568"/>
      <c r="V23" s="1568"/>
      <c r="W23" s="1568"/>
      <c r="X23" s="1568"/>
      <c r="Y23" s="1568"/>
      <c r="Z23" s="1568"/>
      <c r="AA23" s="1568"/>
      <c r="AB23" s="1568"/>
      <c r="AC23" s="1568"/>
      <c r="AD23" s="1568"/>
      <c r="AE23" s="1568"/>
      <c r="AF23" s="1568"/>
      <c r="AG23" s="1568"/>
      <c r="AH23" s="1568"/>
      <c r="AI23" s="1568"/>
      <c r="AJ23" s="1568"/>
      <c r="AK23" s="1568"/>
      <c r="AL23" s="1568"/>
      <c r="AM23" s="1568"/>
    </row>
    <row r="24" spans="1:67" ht="15" thickBot="1">
      <c r="A24" s="2306" t="s">
        <v>2027</v>
      </c>
      <c r="B24" s="108">
        <f>B20-B21</f>
        <v>0.10000000000000009</v>
      </c>
      <c r="C24" s="2264"/>
      <c r="D24" s="2265"/>
      <c r="E24" s="2264"/>
      <c r="F24" s="2264"/>
      <c r="G24" s="2264"/>
      <c r="H24" s="2264"/>
      <c r="I24" s="2264"/>
      <c r="J24" s="2264"/>
      <c r="K24" s="159"/>
      <c r="L24" s="159"/>
      <c r="M24" s="1568"/>
      <c r="N24" s="1568"/>
      <c r="O24" s="1568"/>
      <c r="P24" s="1568"/>
      <c r="Q24" s="1568"/>
      <c r="R24" s="1568"/>
      <c r="S24" s="1568"/>
      <c r="T24" s="1568"/>
      <c r="U24" s="1568"/>
      <c r="V24" s="1568"/>
      <c r="W24" s="1568"/>
      <c r="X24" s="1568"/>
      <c r="Y24" s="1568"/>
      <c r="Z24" s="1568"/>
      <c r="AA24" s="1568"/>
      <c r="AB24" s="1568"/>
      <c r="AC24" s="1568"/>
      <c r="AD24" s="1568"/>
      <c r="AE24" s="1568"/>
      <c r="AF24" s="1568"/>
      <c r="AG24" s="1568"/>
      <c r="AH24" s="1568"/>
      <c r="AI24" s="1568"/>
      <c r="AJ24" s="1568"/>
      <c r="AK24" s="1568"/>
      <c r="AL24" s="1568"/>
      <c r="AM24" s="1568"/>
    </row>
    <row r="25" spans="1:67" ht="15" thickBot="1">
      <c r="A25" s="2016"/>
      <c r="B25" s="2267"/>
      <c r="C25" s="2264"/>
      <c r="D25" s="2265"/>
      <c r="E25" s="2264"/>
      <c r="F25" s="2264"/>
      <c r="G25" s="2264"/>
      <c r="H25" s="2264"/>
      <c r="I25" s="2264"/>
      <c r="J25" s="2264"/>
      <c r="K25" s="159"/>
      <c r="L25" s="159"/>
      <c r="M25" s="1568"/>
      <c r="N25" s="1568"/>
      <c r="O25" s="1568"/>
      <c r="P25" s="1568"/>
      <c r="Q25" s="1568"/>
      <c r="R25" s="1568"/>
      <c r="S25" s="1568"/>
      <c r="T25" s="1568"/>
      <c r="U25" s="1568"/>
      <c r="V25" s="1568"/>
      <c r="W25" s="1568"/>
      <c r="X25" s="1568"/>
      <c r="Y25" s="1568"/>
      <c r="Z25" s="1568"/>
      <c r="AA25" s="1568"/>
      <c r="AB25" s="1568"/>
      <c r="AC25" s="1568"/>
      <c r="AD25" s="1568"/>
      <c r="AE25" s="1568"/>
      <c r="AF25" s="1568"/>
      <c r="AG25" s="1568"/>
      <c r="AH25" s="1568"/>
      <c r="AI25" s="1568"/>
      <c r="AJ25" s="1568"/>
      <c r="AK25" s="1568"/>
      <c r="AL25" s="1568"/>
      <c r="AM25" s="1568"/>
    </row>
    <row r="26" spans="1:67" ht="15" thickBot="1">
      <c r="A26" s="2263" t="s">
        <v>2028</v>
      </c>
      <c r="B26" s="2307" t="s">
        <v>2029</v>
      </c>
      <c r="C26" s="2308" t="s">
        <v>2030</v>
      </c>
      <c r="D26" s="2265"/>
      <c r="E26" s="2264"/>
      <c r="F26" s="2264"/>
      <c r="G26" s="2264"/>
      <c r="H26" s="2264"/>
      <c r="I26" s="2264"/>
      <c r="J26" s="2264"/>
      <c r="K26" s="159"/>
      <c r="L26" s="159"/>
      <c r="M26" s="1568"/>
      <c r="N26" s="1568"/>
      <c r="O26" s="1568"/>
      <c r="P26" s="1568"/>
      <c r="Q26" s="1568"/>
      <c r="R26" s="1568"/>
      <c r="S26" s="1568"/>
      <c r="T26" s="1568"/>
      <c r="U26" s="1568"/>
      <c r="V26" s="1568"/>
      <c r="W26" s="1568"/>
      <c r="X26" s="1568"/>
      <c r="Y26" s="1568"/>
      <c r="Z26" s="1568"/>
      <c r="AA26" s="1568"/>
      <c r="AB26" s="1568"/>
      <c r="AC26" s="1568"/>
      <c r="AD26" s="1568"/>
      <c r="AE26" s="1568"/>
      <c r="AF26" s="1568"/>
      <c r="AG26" s="1568"/>
      <c r="AH26" s="1568"/>
      <c r="AI26" s="1568"/>
      <c r="AJ26" s="1568"/>
      <c r="AK26" s="1568"/>
      <c r="AL26" s="1568"/>
      <c r="AM26" s="1568"/>
    </row>
    <row r="27" spans="1:67" s="2311" customFormat="1" ht="27.75">
      <c r="A27" s="2309" t="s">
        <v>2031</v>
      </c>
      <c r="B27" s="109">
        <v>30</v>
      </c>
      <c r="C27" s="2975" t="s">
        <v>3176</v>
      </c>
      <c r="D27" s="2310"/>
      <c r="E27" s="1415"/>
      <c r="F27" s="1415"/>
      <c r="G27" s="2264"/>
      <c r="H27" s="2264"/>
      <c r="I27" s="2264"/>
      <c r="J27" s="2264"/>
      <c r="K27" s="159"/>
      <c r="L27" s="159"/>
      <c r="M27" s="1568"/>
      <c r="N27" s="1568"/>
      <c r="O27" s="1568"/>
      <c r="P27" s="1568"/>
      <c r="Q27" s="1568"/>
      <c r="R27" s="1568"/>
      <c r="S27" s="1568"/>
      <c r="T27" s="1568"/>
      <c r="U27" s="1568"/>
      <c r="V27" s="1568"/>
      <c r="W27" s="1568"/>
      <c r="X27" s="1568"/>
      <c r="Y27" s="1568"/>
      <c r="Z27" s="1568"/>
      <c r="AA27" s="1568"/>
      <c r="AB27" s="1568"/>
      <c r="AC27" s="1568"/>
      <c r="AD27" s="1568"/>
      <c r="AE27" s="1568"/>
      <c r="AF27" s="1568"/>
      <c r="AG27" s="1568"/>
      <c r="AH27" s="1568"/>
      <c r="AI27" s="1568"/>
      <c r="AJ27" s="1568"/>
      <c r="AK27" s="1568"/>
      <c r="AL27" s="1568"/>
      <c r="AM27" s="1568"/>
      <c r="AN27" s="954"/>
      <c r="AO27" s="954"/>
      <c r="AP27" s="954"/>
      <c r="AQ27" s="954"/>
      <c r="AR27" s="954"/>
      <c r="AS27" s="954"/>
      <c r="AT27" s="954"/>
      <c r="AU27" s="954"/>
      <c r="AV27" s="954"/>
      <c r="AW27" s="954"/>
      <c r="AX27" s="954"/>
      <c r="AY27" s="954"/>
      <c r="AZ27" s="954"/>
      <c r="BA27" s="954"/>
      <c r="BB27" s="954"/>
      <c r="BC27" s="954"/>
      <c r="BD27" s="954"/>
      <c r="BE27" s="954"/>
      <c r="BF27" s="954"/>
      <c r="BG27" s="954"/>
      <c r="BH27" s="954"/>
      <c r="BI27" s="954"/>
      <c r="BJ27" s="954"/>
      <c r="BK27" s="954"/>
      <c r="BL27" s="954"/>
      <c r="BM27" s="954"/>
      <c r="BN27" s="954"/>
      <c r="BO27" s="954"/>
    </row>
    <row r="28" spans="1:67" s="2311" customFormat="1" ht="27.75">
      <c r="A28" s="2312" t="s">
        <v>2032</v>
      </c>
      <c r="B28" s="112">
        <v>30</v>
      </c>
      <c r="C28" s="2313"/>
      <c r="D28" s="2310"/>
      <c r="E28" s="1415"/>
      <c r="F28" s="1415"/>
      <c r="G28" s="2264"/>
      <c r="H28" s="2264"/>
      <c r="I28" s="2264"/>
      <c r="J28" s="2264"/>
      <c r="K28" s="159"/>
      <c r="L28" s="159"/>
      <c r="M28" s="1568"/>
      <c r="N28" s="1568"/>
      <c r="O28" s="1568"/>
      <c r="P28" s="1568"/>
      <c r="Q28" s="1568"/>
      <c r="R28" s="1568"/>
      <c r="S28" s="1568"/>
      <c r="T28" s="1568"/>
      <c r="U28" s="1568"/>
      <c r="V28" s="1568"/>
      <c r="W28" s="1568"/>
      <c r="X28" s="1568"/>
      <c r="Y28" s="1568"/>
      <c r="Z28" s="1568"/>
      <c r="AA28" s="1568"/>
      <c r="AB28" s="1568"/>
      <c r="AC28" s="1568"/>
      <c r="AD28" s="1568"/>
      <c r="AE28" s="1568"/>
      <c r="AF28" s="1568"/>
      <c r="AG28" s="1568"/>
      <c r="AH28" s="1568"/>
      <c r="AI28" s="1568"/>
      <c r="AJ28" s="1568"/>
      <c r="AK28" s="1568"/>
      <c r="AL28" s="1568"/>
      <c r="AM28" s="1568"/>
      <c r="AN28" s="954"/>
      <c r="AO28" s="954"/>
      <c r="AP28" s="954"/>
      <c r="AQ28" s="954"/>
      <c r="AR28" s="954"/>
      <c r="AS28" s="954"/>
      <c r="AT28" s="954"/>
      <c r="AU28" s="954"/>
      <c r="AV28" s="954"/>
      <c r="AW28" s="954"/>
      <c r="AX28" s="954"/>
      <c r="AY28" s="954"/>
      <c r="AZ28" s="954"/>
      <c r="BA28" s="954"/>
      <c r="BB28" s="954"/>
      <c r="BC28" s="954"/>
      <c r="BD28" s="954"/>
      <c r="BE28" s="954"/>
      <c r="BF28" s="954"/>
      <c r="BG28" s="954"/>
      <c r="BH28" s="954"/>
      <c r="BI28" s="954"/>
      <c r="BJ28" s="954"/>
      <c r="BK28" s="954"/>
      <c r="BL28" s="954"/>
      <c r="BM28" s="954"/>
      <c r="BN28" s="954"/>
      <c r="BO28" s="954"/>
    </row>
    <row r="29" spans="1:67" s="2311" customFormat="1" ht="28.5" thickBot="1">
      <c r="A29" s="2314" t="s">
        <v>2033</v>
      </c>
      <c r="B29" s="2991">
        <v>0</v>
      </c>
      <c r="C29" s="1751" t="s">
        <v>2034</v>
      </c>
      <c r="D29" s="2310"/>
      <c r="E29" s="1415"/>
      <c r="F29" s="1415"/>
      <c r="G29" s="2264"/>
      <c r="H29" s="2264"/>
      <c r="I29" s="2264"/>
      <c r="J29" s="2264"/>
      <c r="K29" s="159"/>
      <c r="L29" s="159"/>
      <c r="M29" s="1568"/>
      <c r="N29" s="1568"/>
      <c r="O29" s="1568"/>
      <c r="P29" s="1568"/>
      <c r="Q29" s="1568"/>
      <c r="R29" s="1568"/>
      <c r="S29" s="1568"/>
      <c r="T29" s="1568"/>
      <c r="U29" s="1568"/>
      <c r="V29" s="1568"/>
      <c r="W29" s="1568"/>
      <c r="X29" s="1568"/>
      <c r="Y29" s="1568"/>
      <c r="Z29" s="1568"/>
      <c r="AA29" s="1568"/>
      <c r="AB29" s="1568"/>
      <c r="AC29" s="1568"/>
      <c r="AD29" s="1568"/>
      <c r="AE29" s="1568"/>
      <c r="AF29" s="1568"/>
      <c r="AG29" s="1568"/>
      <c r="AH29" s="1568"/>
      <c r="AI29" s="1568"/>
      <c r="AJ29" s="1568"/>
      <c r="AK29" s="1568"/>
      <c r="AL29" s="1568"/>
      <c r="AM29" s="1568"/>
      <c r="AN29" s="954"/>
      <c r="AO29" s="954"/>
      <c r="AP29" s="954"/>
      <c r="AQ29" s="954"/>
      <c r="AR29" s="954"/>
      <c r="AS29" s="954"/>
      <c r="AT29" s="954"/>
      <c r="AU29" s="954"/>
      <c r="AV29" s="954"/>
      <c r="AW29" s="954"/>
      <c r="AX29" s="954"/>
      <c r="AY29" s="954"/>
      <c r="AZ29" s="954"/>
      <c r="BA29" s="954"/>
      <c r="BB29" s="954"/>
      <c r="BC29" s="954"/>
      <c r="BD29" s="954"/>
      <c r="BE29" s="954"/>
      <c r="BF29" s="954"/>
      <c r="BG29" s="954"/>
      <c r="BH29" s="954"/>
      <c r="BI29" s="954"/>
      <c r="BJ29" s="954"/>
      <c r="BK29" s="954"/>
      <c r="BL29" s="954"/>
      <c r="BM29" s="954"/>
      <c r="BN29" s="954"/>
      <c r="BO29" s="954"/>
    </row>
    <row r="30" spans="1:67" s="2311" customFormat="1" ht="27">
      <c r="A30" s="2315" t="s">
        <v>2035</v>
      </c>
      <c r="B30" s="715">
        <v>200</v>
      </c>
      <c r="C30" s="2313"/>
      <c r="D30" s="2310"/>
      <c r="E30" s="1415"/>
      <c r="F30" s="1415"/>
      <c r="G30" s="2264"/>
      <c r="H30" s="2264"/>
      <c r="I30" s="2264"/>
      <c r="J30" s="2264"/>
      <c r="K30" s="159"/>
      <c r="L30" s="159"/>
      <c r="M30" s="1568"/>
      <c r="N30" s="1568"/>
      <c r="O30" s="1568"/>
      <c r="P30" s="1568"/>
      <c r="Q30" s="1568"/>
      <c r="R30" s="1568"/>
      <c r="S30" s="1568"/>
      <c r="T30" s="1568"/>
      <c r="U30" s="1568"/>
      <c r="V30" s="1568"/>
      <c r="W30" s="1568"/>
      <c r="X30" s="1568"/>
      <c r="Y30" s="1568"/>
      <c r="Z30" s="1568"/>
      <c r="AA30" s="1568"/>
      <c r="AB30" s="1568"/>
      <c r="AC30" s="1568"/>
      <c r="AD30" s="1568"/>
      <c r="AE30" s="1568"/>
      <c r="AF30" s="1568"/>
      <c r="AG30" s="1568"/>
      <c r="AH30" s="1568"/>
      <c r="AI30" s="1568"/>
      <c r="AJ30" s="1568"/>
      <c r="AK30" s="1568"/>
      <c r="AL30" s="1568"/>
      <c r="AM30" s="1568"/>
      <c r="AN30" s="954"/>
      <c r="AO30" s="954"/>
      <c r="AP30" s="954"/>
      <c r="AQ30" s="954"/>
      <c r="AR30" s="954"/>
      <c r="AS30" s="954"/>
      <c r="AT30" s="954"/>
      <c r="AU30" s="954"/>
      <c r="AV30" s="954"/>
      <c r="AW30" s="954"/>
      <c r="AX30" s="954"/>
      <c r="AY30" s="954"/>
      <c r="AZ30" s="954"/>
      <c r="BA30" s="954"/>
      <c r="BB30" s="954"/>
      <c r="BC30" s="954"/>
      <c r="BD30" s="954"/>
      <c r="BE30" s="954"/>
      <c r="BF30" s="954"/>
      <c r="BG30" s="954"/>
      <c r="BH30" s="954"/>
      <c r="BI30" s="954"/>
      <c r="BJ30" s="954"/>
      <c r="BK30" s="954"/>
      <c r="BL30" s="954"/>
      <c r="BM30" s="954"/>
      <c r="BN30" s="954"/>
      <c r="BO30" s="954"/>
    </row>
    <row r="31" spans="1:67" s="2311" customFormat="1" ht="27">
      <c r="A31" s="2312" t="s">
        <v>2036</v>
      </c>
      <c r="B31" s="113">
        <f>B30-B32</f>
        <v>200</v>
      </c>
      <c r="C31" s="1751"/>
      <c r="D31" s="2310"/>
      <c r="E31" s="1415"/>
      <c r="F31" s="1415"/>
      <c r="G31" s="2264"/>
      <c r="H31" s="2264"/>
      <c r="I31" s="2264"/>
      <c r="J31" s="2264"/>
      <c r="K31" s="159"/>
      <c r="L31" s="159"/>
      <c r="M31" s="1568"/>
      <c r="N31" s="1568"/>
      <c r="O31" s="1568"/>
      <c r="P31" s="1568"/>
      <c r="Q31" s="1568"/>
      <c r="R31" s="1568"/>
      <c r="S31" s="1568"/>
      <c r="T31" s="1568"/>
      <c r="U31" s="1568"/>
      <c r="V31" s="1568"/>
      <c r="W31" s="1568"/>
      <c r="X31" s="1568"/>
      <c r="Y31" s="1568"/>
      <c r="Z31" s="1568"/>
      <c r="AA31" s="1568"/>
      <c r="AB31" s="1568"/>
      <c r="AC31" s="1568"/>
      <c r="AD31" s="1568"/>
      <c r="AE31" s="1568"/>
      <c r="AF31" s="1568"/>
      <c r="AG31" s="1568"/>
      <c r="AH31" s="1568"/>
      <c r="AI31" s="1568"/>
      <c r="AJ31" s="1568"/>
      <c r="AK31" s="1568"/>
      <c r="AL31" s="1568"/>
      <c r="AM31" s="1568"/>
      <c r="AN31" s="954"/>
      <c r="AO31" s="954"/>
      <c r="AP31" s="954"/>
      <c r="AQ31" s="954"/>
      <c r="AR31" s="954"/>
      <c r="AS31" s="954"/>
      <c r="AT31" s="954"/>
      <c r="AU31" s="954"/>
      <c r="AV31" s="954"/>
      <c r="AW31" s="954"/>
      <c r="AX31" s="954"/>
      <c r="AY31" s="954"/>
      <c r="AZ31" s="954"/>
      <c r="BA31" s="954"/>
      <c r="BB31" s="954"/>
      <c r="BC31" s="954"/>
      <c r="BD31" s="954"/>
      <c r="BE31" s="954"/>
      <c r="BF31" s="954"/>
      <c r="BG31" s="954"/>
      <c r="BH31" s="954"/>
      <c r="BI31" s="954"/>
      <c r="BJ31" s="954"/>
      <c r="BK31" s="954"/>
      <c r="BL31" s="954"/>
      <c r="BM31" s="954"/>
      <c r="BN31" s="954"/>
      <c r="BO31" s="954"/>
    </row>
    <row r="32" spans="1:67" s="2311" customFormat="1" ht="27.75" thickBot="1">
      <c r="A32" s="2316" t="s">
        <v>2037</v>
      </c>
      <c r="B32" s="716">
        <v>0</v>
      </c>
      <c r="C32" s="2313"/>
      <c r="D32" s="2265"/>
      <c r="E32" s="2264"/>
      <c r="F32" s="2264"/>
      <c r="G32" s="2264"/>
      <c r="H32" s="2264"/>
      <c r="I32" s="2264"/>
      <c r="J32" s="2264"/>
      <c r="K32" s="159"/>
      <c r="L32" s="159"/>
      <c r="M32" s="1568"/>
      <c r="N32" s="1568"/>
      <c r="O32" s="1568"/>
      <c r="P32" s="1568"/>
      <c r="Q32" s="1568"/>
      <c r="R32" s="1568"/>
      <c r="S32" s="1568"/>
      <c r="T32" s="1568"/>
      <c r="U32" s="1568"/>
      <c r="V32" s="1568"/>
      <c r="W32" s="1568"/>
      <c r="X32" s="1568"/>
      <c r="Y32" s="1568"/>
      <c r="Z32" s="1568"/>
      <c r="AA32" s="1568"/>
      <c r="AB32" s="1568"/>
      <c r="AC32" s="1568"/>
      <c r="AD32" s="1568"/>
      <c r="AE32" s="1568"/>
      <c r="AF32" s="1568"/>
      <c r="AG32" s="1568"/>
      <c r="AH32" s="1568"/>
      <c r="AI32" s="1568"/>
      <c r="AJ32" s="1568"/>
      <c r="AK32" s="1568"/>
      <c r="AL32" s="1568"/>
      <c r="AM32" s="1568"/>
      <c r="AN32" s="954"/>
      <c r="AO32" s="954"/>
      <c r="AP32" s="954"/>
      <c r="AQ32" s="954"/>
      <c r="AR32" s="954"/>
      <c r="AS32" s="954"/>
      <c r="AT32" s="954"/>
      <c r="AU32" s="954"/>
      <c r="AV32" s="954"/>
      <c r="AW32" s="954"/>
      <c r="AX32" s="954"/>
      <c r="AY32" s="954"/>
      <c r="AZ32" s="954"/>
      <c r="BA32" s="954"/>
      <c r="BB32" s="954"/>
      <c r="BC32" s="954"/>
      <c r="BD32" s="954"/>
      <c r="BE32" s="954"/>
      <c r="BF32" s="954"/>
      <c r="BG32" s="954"/>
      <c r="BH32" s="954"/>
      <c r="BI32" s="954"/>
      <c r="BJ32" s="954"/>
      <c r="BK32" s="954"/>
      <c r="BL32" s="954"/>
      <c r="BM32" s="954"/>
      <c r="BN32" s="954"/>
      <c r="BO32" s="954"/>
    </row>
    <row r="33" spans="1:67" s="2311" customFormat="1" ht="14.25">
      <c r="A33" s="2309" t="s">
        <v>2038</v>
      </c>
      <c r="B33" s="717">
        <v>0.03</v>
      </c>
      <c r="C33" s="1750" t="s">
        <v>2039</v>
      </c>
      <c r="D33" s="2265"/>
      <c r="E33" s="2264"/>
      <c r="F33" s="2264"/>
      <c r="G33" s="2264"/>
      <c r="H33" s="2264"/>
      <c r="I33" s="2264"/>
      <c r="J33" s="2264"/>
      <c r="K33" s="159"/>
      <c r="L33" s="159"/>
      <c r="M33" s="1568"/>
      <c r="N33" s="1568"/>
      <c r="O33" s="1568"/>
      <c r="P33" s="1568"/>
      <c r="Q33" s="1568"/>
      <c r="R33" s="1568"/>
      <c r="S33" s="1568"/>
      <c r="T33" s="1568"/>
      <c r="U33" s="1568"/>
      <c r="V33" s="1568"/>
      <c r="W33" s="1568"/>
      <c r="X33" s="1568"/>
      <c r="Y33" s="1568"/>
      <c r="Z33" s="1568"/>
      <c r="AA33" s="1568"/>
      <c r="AB33" s="1568"/>
      <c r="AC33" s="1568"/>
      <c r="AD33" s="1568"/>
      <c r="AE33" s="1568"/>
      <c r="AF33" s="1568"/>
      <c r="AG33" s="1568"/>
      <c r="AH33" s="1568"/>
      <c r="AI33" s="1568"/>
      <c r="AJ33" s="1568"/>
      <c r="AK33" s="1568"/>
      <c r="AL33" s="1568"/>
      <c r="AM33" s="1568"/>
      <c r="AN33" s="954"/>
      <c r="AO33" s="954"/>
      <c r="AP33" s="954"/>
      <c r="AQ33" s="954"/>
      <c r="AR33" s="954"/>
      <c r="AS33" s="954"/>
      <c r="AT33" s="954"/>
      <c r="AU33" s="954"/>
      <c r="AV33" s="954"/>
      <c r="AW33" s="954"/>
      <c r="AX33" s="954"/>
      <c r="AY33" s="954"/>
      <c r="AZ33" s="954"/>
      <c r="BA33" s="954"/>
      <c r="BB33" s="954"/>
      <c r="BC33" s="954"/>
      <c r="BD33" s="954"/>
      <c r="BE33" s="954"/>
      <c r="BF33" s="954"/>
      <c r="BG33" s="954"/>
      <c r="BH33" s="954"/>
      <c r="BI33" s="954"/>
      <c r="BJ33" s="954"/>
      <c r="BK33" s="954"/>
      <c r="BL33" s="954"/>
      <c r="BM33" s="954"/>
      <c r="BN33" s="954"/>
      <c r="BO33" s="954"/>
    </row>
    <row r="34" spans="1:67" s="2311" customFormat="1" ht="14.25">
      <c r="A34" s="2312" t="s">
        <v>2040</v>
      </c>
      <c r="B34" s="114">
        <v>0</v>
      </c>
      <c r="C34" s="1750" t="s">
        <v>2041</v>
      </c>
      <c r="D34" s="2265" t="s">
        <v>2042</v>
      </c>
      <c r="E34" s="723"/>
      <c r="F34" s="2264"/>
      <c r="G34" s="2264"/>
      <c r="H34" s="2264"/>
      <c r="I34" s="2264"/>
      <c r="J34" s="2264"/>
      <c r="K34" s="159"/>
      <c r="L34" s="159"/>
      <c r="M34" s="1568"/>
      <c r="N34" s="1568"/>
      <c r="O34" s="1568"/>
      <c r="P34" s="1568"/>
      <c r="Q34" s="1568"/>
      <c r="R34" s="1568"/>
      <c r="S34" s="1568"/>
      <c r="T34" s="1568"/>
      <c r="U34" s="1568"/>
      <c r="V34" s="1568"/>
      <c r="W34" s="1568"/>
      <c r="X34" s="1568"/>
      <c r="Y34" s="1568"/>
      <c r="Z34" s="1568"/>
      <c r="AA34" s="1568"/>
      <c r="AB34" s="1568"/>
      <c r="AC34" s="1568"/>
      <c r="AD34" s="1568"/>
      <c r="AE34" s="1568"/>
      <c r="AF34" s="1568"/>
      <c r="AG34" s="1568"/>
      <c r="AH34" s="1568"/>
      <c r="AI34" s="1568"/>
      <c r="AJ34" s="1568"/>
      <c r="AK34" s="1568"/>
      <c r="AL34" s="1568"/>
      <c r="AM34" s="1568"/>
      <c r="AN34" s="954"/>
      <c r="AO34" s="954"/>
      <c r="AP34" s="954"/>
      <c r="AQ34" s="954"/>
      <c r="AR34" s="954"/>
      <c r="AS34" s="954"/>
      <c r="AT34" s="954"/>
      <c r="AU34" s="954"/>
      <c r="AV34" s="954"/>
      <c r="AW34" s="954"/>
      <c r="AX34" s="954"/>
      <c r="AY34" s="954"/>
      <c r="AZ34" s="954"/>
      <c r="BA34" s="954"/>
      <c r="BB34" s="954"/>
      <c r="BC34" s="954"/>
      <c r="BD34" s="954"/>
      <c r="BE34" s="954"/>
      <c r="BF34" s="954"/>
      <c r="BG34" s="954"/>
      <c r="BH34" s="954"/>
      <c r="BI34" s="954"/>
      <c r="BJ34" s="954"/>
      <c r="BK34" s="954"/>
      <c r="BL34" s="954"/>
      <c r="BM34" s="954"/>
      <c r="BN34" s="954"/>
      <c r="BO34" s="954"/>
    </row>
    <row r="35" spans="1:67" s="2311" customFormat="1" ht="14.25">
      <c r="A35" s="2312" t="s">
        <v>2043</v>
      </c>
      <c r="B35" s="112">
        <v>200</v>
      </c>
      <c r="C35" s="1750" t="s">
        <v>2044</v>
      </c>
      <c r="D35" s="2310"/>
      <c r="E35" s="1415"/>
      <c r="F35" s="1415"/>
      <c r="G35" s="2264"/>
      <c r="H35" s="2264"/>
      <c r="I35" s="2264"/>
      <c r="J35" s="2264"/>
      <c r="K35" s="159"/>
      <c r="L35" s="159"/>
      <c r="M35" s="1568"/>
      <c r="N35" s="1568"/>
      <c r="O35" s="1568"/>
      <c r="P35" s="1568"/>
      <c r="Q35" s="1568"/>
      <c r="R35" s="1568"/>
      <c r="S35" s="1568"/>
      <c r="T35" s="1568"/>
      <c r="U35" s="1568"/>
      <c r="V35" s="1568"/>
      <c r="W35" s="1568"/>
      <c r="X35" s="1568"/>
      <c r="Y35" s="1568"/>
      <c r="Z35" s="1568"/>
      <c r="AA35" s="1568"/>
      <c r="AB35" s="1568"/>
      <c r="AC35" s="1568"/>
      <c r="AD35" s="1568"/>
      <c r="AE35" s="1568"/>
      <c r="AF35" s="1568"/>
      <c r="AG35" s="1568"/>
      <c r="AH35" s="1568"/>
      <c r="AI35" s="1568"/>
      <c r="AJ35" s="1568"/>
      <c r="AK35" s="1568"/>
      <c r="AL35" s="1568"/>
      <c r="AM35" s="1568"/>
      <c r="AN35" s="954"/>
      <c r="AO35" s="954"/>
      <c r="AP35" s="954"/>
      <c r="AQ35" s="954"/>
      <c r="AR35" s="954"/>
      <c r="AS35" s="954"/>
      <c r="AT35" s="954"/>
      <c r="AU35" s="954"/>
      <c r="AV35" s="954"/>
      <c r="AW35" s="954"/>
      <c r="AX35" s="954"/>
      <c r="AY35" s="954"/>
      <c r="AZ35" s="954"/>
      <c r="BA35" s="954"/>
      <c r="BB35" s="954"/>
      <c r="BC35" s="954"/>
      <c r="BD35" s="954"/>
      <c r="BE35" s="954"/>
      <c r="BF35" s="954"/>
      <c r="BG35" s="954"/>
      <c r="BH35" s="954"/>
      <c r="BI35" s="954"/>
      <c r="BJ35" s="954"/>
      <c r="BK35" s="954"/>
      <c r="BL35" s="954"/>
      <c r="BM35" s="954"/>
      <c r="BN35" s="954"/>
      <c r="BO35" s="954"/>
    </row>
    <row r="36" spans="1:67" ht="15" thickBot="1">
      <c r="A36" s="2314" t="s">
        <v>2045</v>
      </c>
      <c r="B36" s="115">
        <v>1.4999999999999999E-2</v>
      </c>
      <c r="C36" s="1750" t="s">
        <v>2046</v>
      </c>
      <c r="D36" s="2265"/>
      <c r="E36" s="2264"/>
      <c r="F36" s="2264"/>
      <c r="G36" s="2264"/>
      <c r="H36" s="2264"/>
      <c r="I36" s="2264"/>
      <c r="J36" s="2264"/>
      <c r="K36" s="159"/>
      <c r="L36" s="159"/>
      <c r="M36" s="1568"/>
      <c r="N36" s="1568"/>
      <c r="O36" s="1568"/>
      <c r="P36" s="1568"/>
      <c r="Q36" s="1568"/>
      <c r="R36" s="1568"/>
      <c r="S36" s="1568"/>
      <c r="T36" s="1568"/>
      <c r="U36" s="1568"/>
      <c r="V36" s="1568"/>
      <c r="W36" s="1568"/>
      <c r="X36" s="1568"/>
      <c r="Y36" s="1568"/>
      <c r="Z36" s="1568"/>
      <c r="AA36" s="1568"/>
      <c r="AB36" s="1568"/>
      <c r="AC36" s="1568"/>
      <c r="AD36" s="1568"/>
      <c r="AE36" s="1568"/>
      <c r="AF36" s="1568"/>
      <c r="AG36" s="1568"/>
      <c r="AH36" s="1568"/>
      <c r="AI36" s="1568"/>
      <c r="AJ36" s="1568"/>
      <c r="AK36" s="1568"/>
      <c r="AL36" s="1568"/>
      <c r="AM36" s="1568"/>
    </row>
    <row r="37" spans="1:67" ht="14.25">
      <c r="A37" s="2315" t="s">
        <v>2047</v>
      </c>
      <c r="B37" s="2992">
        <v>0.02</v>
      </c>
      <c r="C37" s="1750" t="s">
        <v>2048</v>
      </c>
      <c r="D37" s="2265"/>
      <c r="E37" s="2264"/>
      <c r="F37" s="2264"/>
      <c r="G37" s="2264"/>
      <c r="H37" s="2264"/>
      <c r="I37" s="2264"/>
      <c r="J37" s="2264"/>
      <c r="K37" s="159"/>
      <c r="L37" s="159"/>
      <c r="M37" s="1568"/>
      <c r="N37" s="1568"/>
      <c r="O37" s="1568"/>
      <c r="P37" s="1568"/>
      <c r="Q37" s="1568"/>
      <c r="R37" s="1568"/>
      <c r="S37" s="1568"/>
      <c r="T37" s="1568"/>
      <c r="U37" s="1568"/>
      <c r="V37" s="1568"/>
      <c r="W37" s="1568"/>
      <c r="X37" s="1568"/>
      <c r="Y37" s="1568"/>
      <c r="Z37" s="1568"/>
      <c r="AA37" s="1568"/>
      <c r="AB37" s="1568"/>
      <c r="AC37" s="1568"/>
      <c r="AD37" s="1568"/>
      <c r="AE37" s="1568"/>
      <c r="AF37" s="1568"/>
      <c r="AG37" s="1568"/>
      <c r="AH37" s="1568"/>
      <c r="AI37" s="1568"/>
      <c r="AJ37" s="1568"/>
      <c r="AK37" s="1568"/>
      <c r="AL37" s="1568"/>
      <c r="AM37" s="1568"/>
    </row>
    <row r="38" spans="1:67" ht="14.25">
      <c r="A38" s="2312" t="s">
        <v>2049</v>
      </c>
      <c r="B38" s="116">
        <v>1.4999999999999999E-2</v>
      </c>
      <c r="C38" s="1750" t="s">
        <v>2048</v>
      </c>
      <c r="D38" s="2265"/>
      <c r="E38" s="2264"/>
      <c r="F38" s="2264"/>
      <c r="G38" s="2264"/>
      <c r="H38" s="2264"/>
      <c r="I38" s="2264"/>
      <c r="J38" s="2264"/>
      <c r="K38" s="159"/>
      <c r="L38" s="159"/>
      <c r="M38" s="1568"/>
      <c r="N38" s="1568"/>
      <c r="O38" s="1568"/>
      <c r="P38" s="1568"/>
      <c r="Q38" s="1568"/>
      <c r="R38" s="1568"/>
      <c r="S38" s="1568"/>
      <c r="T38" s="1568"/>
      <c r="U38" s="1568"/>
      <c r="V38" s="1568"/>
      <c r="W38" s="1568"/>
      <c r="X38" s="1568"/>
      <c r="Y38" s="1568"/>
      <c r="Z38" s="1568"/>
      <c r="AA38" s="1568"/>
      <c r="AB38" s="1568"/>
      <c r="AC38" s="1568"/>
      <c r="AD38" s="1568"/>
      <c r="AE38" s="1568"/>
      <c r="AF38" s="1568"/>
      <c r="AG38" s="1568"/>
      <c r="AH38" s="1568"/>
      <c r="AI38" s="1568"/>
      <c r="AJ38" s="1568"/>
      <c r="AK38" s="1568"/>
      <c r="AL38" s="1568"/>
      <c r="AM38" s="1568"/>
    </row>
    <row r="39" spans="1:67" ht="14.25">
      <c r="A39" s="2316" t="s">
        <v>2050</v>
      </c>
      <c r="B39" s="353">
        <f ca="1">存贷款利率!I1</f>
        <v>1.4999999999999999E-2</v>
      </c>
      <c r="C39" s="1750"/>
      <c r="D39" s="2265"/>
      <c r="E39" s="2264"/>
      <c r="F39" s="2264"/>
      <c r="G39" s="2264"/>
      <c r="H39" s="2264"/>
      <c r="I39" s="2264"/>
      <c r="J39" s="2264"/>
      <c r="K39" s="159"/>
      <c r="L39" s="159"/>
      <c r="M39" s="1568"/>
      <c r="N39" s="1568"/>
      <c r="O39" s="1568"/>
      <c r="P39" s="1568"/>
      <c r="Q39" s="1568"/>
      <c r="R39" s="1568"/>
      <c r="S39" s="1568"/>
      <c r="T39" s="1568"/>
      <c r="U39" s="1568"/>
      <c r="V39" s="1568"/>
      <c r="W39" s="1568"/>
      <c r="X39" s="1568"/>
      <c r="Y39" s="1568"/>
      <c r="Z39" s="1568"/>
      <c r="AA39" s="1568"/>
      <c r="AB39" s="1568"/>
      <c r="AC39" s="1568"/>
      <c r="AD39" s="1568"/>
      <c r="AE39" s="1568"/>
      <c r="AF39" s="1568"/>
      <c r="AG39" s="1568"/>
      <c r="AH39" s="1568"/>
      <c r="AI39" s="1568"/>
      <c r="AJ39" s="1568"/>
      <c r="AK39" s="1568"/>
      <c r="AL39" s="1568"/>
      <c r="AM39" s="1568"/>
    </row>
    <row r="40" spans="1:67" ht="15" thickBot="1">
      <c r="A40" s="2316" t="s">
        <v>2051</v>
      </c>
      <c r="B40" s="1288">
        <f ca="1">存贷款利率!G1</f>
        <v>4.7500000000000001E-2</v>
      </c>
      <c r="C40" s="1750" t="s">
        <v>2052</v>
      </c>
      <c r="D40" s="1568"/>
      <c r="E40" s="2265"/>
      <c r="F40" s="2264"/>
      <c r="G40" s="2264"/>
      <c r="H40" s="2264"/>
      <c r="I40" s="2264"/>
      <c r="J40" s="2264"/>
      <c r="K40" s="159"/>
      <c r="L40" s="159"/>
      <c r="M40" s="1568"/>
      <c r="N40" s="1568"/>
      <c r="O40" s="1568"/>
      <c r="P40" s="1568"/>
      <c r="Q40" s="1568"/>
      <c r="R40" s="1568"/>
      <c r="S40" s="1568"/>
      <c r="T40" s="1568"/>
      <c r="U40" s="1568"/>
      <c r="V40" s="1568"/>
      <c r="W40" s="1568"/>
      <c r="X40" s="1568"/>
      <c r="Y40" s="1568"/>
      <c r="Z40" s="1568"/>
      <c r="AA40" s="1568"/>
      <c r="AB40" s="1568"/>
      <c r="AC40" s="1568"/>
      <c r="AD40" s="1568"/>
      <c r="AE40" s="1568"/>
      <c r="AF40" s="1568"/>
      <c r="AG40" s="1568"/>
      <c r="AH40" s="1568"/>
      <c r="AI40" s="1568"/>
      <c r="AJ40" s="1568"/>
      <c r="AK40" s="1568"/>
      <c r="AL40" s="1568"/>
      <c r="AM40" s="1568"/>
    </row>
    <row r="41" spans="1:67" ht="14.25">
      <c r="A41" s="2309" t="s">
        <v>2053</v>
      </c>
      <c r="B41" s="117">
        <f>B42+B43</f>
        <v>5.6000000000000001E-2</v>
      </c>
      <c r="C41" s="1751"/>
      <c r="D41" s="1568"/>
      <c r="E41" s="2265"/>
      <c r="F41" s="2264"/>
      <c r="G41" s="2264"/>
      <c r="H41" s="2264"/>
      <c r="I41" s="2264"/>
      <c r="J41" s="2264"/>
      <c r="K41" s="159"/>
      <c r="L41" s="159"/>
      <c r="M41" s="1568"/>
      <c r="N41" s="1568"/>
      <c r="O41" s="1568"/>
      <c r="P41" s="1568"/>
      <c r="Q41" s="1568"/>
      <c r="R41" s="1568"/>
      <c r="S41" s="1568"/>
      <c r="T41" s="1568"/>
      <c r="U41" s="1568"/>
      <c r="V41" s="1568"/>
      <c r="W41" s="1568"/>
      <c r="X41" s="1568"/>
      <c r="Y41" s="1568"/>
      <c r="Z41" s="1568"/>
      <c r="AA41" s="1568"/>
      <c r="AB41" s="1568"/>
      <c r="AC41" s="1568"/>
      <c r="AD41" s="1568"/>
      <c r="AE41" s="1568"/>
      <c r="AF41" s="1568"/>
      <c r="AG41" s="1568"/>
      <c r="AH41" s="1568"/>
      <c r="AI41" s="1568"/>
      <c r="AJ41" s="1568"/>
      <c r="AK41" s="1568"/>
      <c r="AL41" s="1568"/>
      <c r="AM41" s="1568"/>
    </row>
    <row r="42" spans="1:67" ht="14.25">
      <c r="A42" s="2317" t="s">
        <v>2054</v>
      </c>
      <c r="B42" s="118">
        <v>0.05</v>
      </c>
      <c r="C42" s="2318">
        <f>IF(B2&lt;DATE(2016,5,1),0,B42)</f>
        <v>0.05</v>
      </c>
      <c r="D42" s="2265"/>
      <c r="E42" s="2264"/>
      <c r="F42" s="2264"/>
      <c r="G42" s="2264"/>
      <c r="H42" s="2264"/>
      <c r="I42" s="2264"/>
      <c r="J42" s="2264"/>
      <c r="K42" s="159"/>
      <c r="L42" s="159"/>
      <c r="M42" s="1568"/>
      <c r="N42" s="1568"/>
      <c r="O42" s="1568"/>
      <c r="P42" s="1568"/>
      <c r="Q42" s="1568"/>
      <c r="R42" s="1568"/>
      <c r="S42" s="1568"/>
      <c r="T42" s="1568"/>
      <c r="U42" s="1568"/>
      <c r="V42" s="1568"/>
      <c r="W42" s="1568"/>
      <c r="X42" s="1568"/>
      <c r="Y42" s="1568"/>
      <c r="Z42" s="1568"/>
      <c r="AA42" s="1568"/>
      <c r="AB42" s="1568"/>
      <c r="AC42" s="1568"/>
      <c r="AD42" s="1568"/>
      <c r="AE42" s="1568"/>
      <c r="AF42" s="1568"/>
      <c r="AG42" s="1568"/>
      <c r="AH42" s="1568"/>
      <c r="AI42" s="1568"/>
      <c r="AJ42" s="1568"/>
      <c r="AK42" s="1568"/>
      <c r="AL42" s="1568"/>
      <c r="AM42" s="1568"/>
    </row>
    <row r="43" spans="1:67" ht="14.25">
      <c r="A43" s="2317" t="s">
        <v>2055</v>
      </c>
      <c r="B43" s="119">
        <f>B42*(B44+B45+B46)+B47</f>
        <v>6.000000000000001E-3</v>
      </c>
      <c r="C43" s="1751"/>
      <c r="D43" s="2265"/>
      <c r="E43" s="2264"/>
      <c r="F43" s="2264"/>
      <c r="G43" s="2264"/>
      <c r="H43" s="2264"/>
      <c r="I43" s="2264"/>
      <c r="J43" s="2264"/>
      <c r="K43" s="159"/>
      <c r="L43" s="159"/>
      <c r="M43" s="1568"/>
      <c r="N43" s="1568"/>
      <c r="O43" s="1568"/>
      <c r="P43" s="1568"/>
      <c r="Q43" s="1568"/>
      <c r="R43" s="1568"/>
      <c r="S43" s="1568"/>
      <c r="T43" s="1568"/>
      <c r="U43" s="1568"/>
      <c r="V43" s="1568"/>
      <c r="W43" s="1568"/>
      <c r="X43" s="1568"/>
      <c r="Y43" s="1568"/>
      <c r="Z43" s="1568"/>
      <c r="AA43" s="1568"/>
      <c r="AB43" s="1568"/>
      <c r="AC43" s="1568"/>
      <c r="AD43" s="1568"/>
      <c r="AE43" s="1568"/>
      <c r="AF43" s="1568"/>
      <c r="AG43" s="1568"/>
      <c r="AH43" s="1568"/>
      <c r="AI43" s="1568"/>
      <c r="AJ43" s="1568"/>
      <c r="AK43" s="1568"/>
      <c r="AL43" s="1568"/>
      <c r="AM43" s="1568"/>
    </row>
    <row r="44" spans="1:67" ht="14.25">
      <c r="A44" s="2319" t="s">
        <v>2056</v>
      </c>
      <c r="B44" s="2968">
        <v>7.0000000000000007E-2</v>
      </c>
      <c r="C44" s="1750" t="s">
        <v>2057</v>
      </c>
      <c r="D44" s="2265"/>
      <c r="E44" s="2264"/>
      <c r="F44" s="2264"/>
      <c r="G44" s="2264"/>
      <c r="H44" s="2264"/>
      <c r="I44" s="2264"/>
      <c r="J44" s="2264"/>
      <c r="K44" s="159"/>
      <c r="L44" s="159"/>
      <c r="M44" s="1568"/>
      <c r="N44" s="1568"/>
      <c r="O44" s="1568"/>
      <c r="P44" s="1568"/>
      <c r="Q44" s="1568"/>
      <c r="R44" s="1568"/>
      <c r="S44" s="1568"/>
      <c r="T44" s="1568"/>
      <c r="U44" s="1568"/>
      <c r="V44" s="1568"/>
      <c r="W44" s="1568"/>
      <c r="X44" s="1568"/>
      <c r="Y44" s="1568"/>
      <c r="Z44" s="1568"/>
      <c r="AA44" s="1568"/>
      <c r="AB44" s="1568"/>
      <c r="AC44" s="1568"/>
      <c r="AD44" s="1568"/>
      <c r="AE44" s="1568"/>
      <c r="AF44" s="1568"/>
      <c r="AG44" s="1568"/>
      <c r="AH44" s="1568"/>
      <c r="AI44" s="1568"/>
      <c r="AJ44" s="1568"/>
      <c r="AK44" s="1568"/>
      <c r="AL44" s="1568"/>
      <c r="AM44" s="1568"/>
    </row>
    <row r="45" spans="1:67" ht="14.25">
      <c r="A45" s="2319" t="s">
        <v>2058</v>
      </c>
      <c r="B45" s="118">
        <v>0.03</v>
      </c>
      <c r="C45" s="1751" t="s">
        <v>2059</v>
      </c>
      <c r="D45" s="2265"/>
      <c r="E45" s="2264"/>
      <c r="F45" s="2264"/>
      <c r="G45" s="2264"/>
      <c r="H45" s="2264"/>
      <c r="I45" s="2264"/>
      <c r="J45" s="2264"/>
      <c r="K45" s="159"/>
      <c r="L45" s="159"/>
      <c r="M45" s="1568"/>
      <c r="N45" s="1568"/>
      <c r="O45" s="1568"/>
      <c r="P45" s="1568"/>
      <c r="Q45" s="1568"/>
      <c r="R45" s="1568"/>
      <c r="S45" s="1568"/>
      <c r="T45" s="1568"/>
      <c r="U45" s="1568"/>
      <c r="V45" s="1568"/>
      <c r="W45" s="1568"/>
      <c r="X45" s="1568"/>
      <c r="Y45" s="1568"/>
      <c r="Z45" s="1568"/>
      <c r="AA45" s="1568"/>
      <c r="AB45" s="1568"/>
      <c r="AC45" s="1568"/>
      <c r="AD45" s="1568"/>
      <c r="AE45" s="1568"/>
      <c r="AF45" s="1568"/>
      <c r="AG45" s="1568"/>
      <c r="AH45" s="1568"/>
      <c r="AI45" s="1568"/>
      <c r="AJ45" s="1568"/>
      <c r="AK45" s="1568"/>
      <c r="AL45" s="1568"/>
      <c r="AM45" s="1568"/>
    </row>
    <row r="46" spans="1:67" ht="14.25">
      <c r="A46" s="2319" t="s">
        <v>2060</v>
      </c>
      <c r="B46" s="118">
        <v>0.02</v>
      </c>
      <c r="C46" s="1751" t="s">
        <v>2061</v>
      </c>
      <c r="D46" s="2265"/>
      <c r="E46" s="2264"/>
      <c r="F46" s="2264"/>
      <c r="G46" s="2264"/>
      <c r="H46" s="2264"/>
      <c r="I46" s="2264"/>
      <c r="J46" s="2264"/>
      <c r="K46" s="159"/>
      <c r="L46" s="159"/>
      <c r="M46" s="1568"/>
      <c r="N46" s="1568"/>
      <c r="O46" s="1568"/>
      <c r="P46" s="1568"/>
      <c r="Q46" s="1568"/>
      <c r="R46" s="1568"/>
      <c r="S46" s="1568"/>
      <c r="T46" s="1568"/>
      <c r="U46" s="1568"/>
      <c r="V46" s="1568"/>
      <c r="W46" s="1568"/>
      <c r="X46" s="1568"/>
      <c r="Y46" s="1568"/>
      <c r="Z46" s="1568"/>
      <c r="AA46" s="1568"/>
      <c r="AB46" s="1568"/>
      <c r="AC46" s="1568"/>
      <c r="AD46" s="1568"/>
      <c r="AE46" s="1568"/>
      <c r="AF46" s="1568"/>
      <c r="AG46" s="1568"/>
      <c r="AH46" s="1568"/>
      <c r="AI46" s="1568"/>
      <c r="AJ46" s="1568"/>
      <c r="AK46" s="1568"/>
      <c r="AL46" s="1568"/>
      <c r="AM46" s="1568"/>
    </row>
    <row r="47" spans="1:67" ht="15" thickBot="1">
      <c r="A47" s="2320" t="s">
        <v>2062</v>
      </c>
      <c r="B47" s="120">
        <v>0</v>
      </c>
      <c r="C47" s="1751" t="s">
        <v>2063</v>
      </c>
      <c r="D47" s="2265"/>
      <c r="E47" s="2264"/>
      <c r="F47" s="2264"/>
      <c r="G47" s="2264"/>
      <c r="H47" s="2264"/>
      <c r="I47" s="2264"/>
      <c r="J47" s="2264"/>
      <c r="K47" s="159"/>
      <c r="L47" s="159"/>
      <c r="M47" s="1568"/>
      <c r="N47" s="1568"/>
      <c r="O47" s="1568"/>
      <c r="P47" s="1568"/>
      <c r="Q47" s="1568"/>
      <c r="R47" s="1568"/>
      <c r="S47" s="1568"/>
      <c r="T47" s="1568"/>
      <c r="U47" s="1568"/>
      <c r="V47" s="1568"/>
      <c r="W47" s="1568"/>
      <c r="X47" s="1568"/>
      <c r="Y47" s="1568"/>
      <c r="Z47" s="1568"/>
      <c r="AA47" s="1568"/>
      <c r="AB47" s="1568"/>
      <c r="AC47" s="1568"/>
      <c r="AD47" s="1568"/>
      <c r="AE47" s="1568"/>
      <c r="AF47" s="1568"/>
      <c r="AG47" s="1568"/>
      <c r="AH47" s="1568"/>
      <c r="AI47" s="1568"/>
      <c r="AJ47" s="1568"/>
      <c r="AK47" s="1568"/>
      <c r="AL47" s="1568"/>
      <c r="AM47" s="1568"/>
    </row>
    <row r="48" spans="1:67" ht="14.25">
      <c r="A48" s="2321" t="s">
        <v>2064</v>
      </c>
      <c r="B48" s="121">
        <v>0.03</v>
      </c>
      <c r="C48" s="1758" t="s">
        <v>2065</v>
      </c>
      <c r="D48" s="2265"/>
      <c r="E48" s="2264"/>
      <c r="F48" s="2264"/>
      <c r="G48" s="2264"/>
      <c r="H48" s="2264"/>
      <c r="I48" s="2264"/>
      <c r="J48" s="2264"/>
      <c r="K48" s="159"/>
      <c r="L48" s="159"/>
      <c r="M48" s="1568"/>
      <c r="N48" s="1568"/>
      <c r="O48" s="1568"/>
      <c r="P48" s="1568"/>
      <c r="Q48" s="1568"/>
      <c r="R48" s="1568"/>
      <c r="S48" s="1568"/>
      <c r="T48" s="1568"/>
      <c r="U48" s="1568"/>
      <c r="V48" s="1568"/>
      <c r="W48" s="1568"/>
      <c r="X48" s="1568"/>
      <c r="Y48" s="1568"/>
      <c r="Z48" s="1568"/>
      <c r="AA48" s="1568"/>
      <c r="AB48" s="1568"/>
      <c r="AC48" s="1568"/>
      <c r="AD48" s="1568"/>
      <c r="AE48" s="1568"/>
      <c r="AF48" s="1568"/>
      <c r="AG48" s="1568"/>
      <c r="AH48" s="1568"/>
      <c r="AI48" s="1568"/>
      <c r="AJ48" s="1568"/>
      <c r="AK48" s="1568"/>
      <c r="AL48" s="1568"/>
      <c r="AM48" s="1568"/>
    </row>
    <row r="49" spans="1:39" ht="15" thickBot="1">
      <c r="A49" s="2316" t="s">
        <v>2066</v>
      </c>
      <c r="B49" s="118">
        <v>5.0000000000000001E-4</v>
      </c>
      <c r="C49" s="1758" t="s">
        <v>2067</v>
      </c>
      <c r="D49" s="2265"/>
      <c r="E49" s="2264"/>
      <c r="F49" s="2264"/>
      <c r="G49" s="2264"/>
      <c r="H49" s="2264"/>
      <c r="I49" s="2264"/>
      <c r="J49" s="2264"/>
      <c r="K49" s="159"/>
      <c r="L49" s="159"/>
      <c r="M49" s="1568"/>
      <c r="N49" s="1568"/>
      <c r="O49" s="1568"/>
      <c r="P49" s="1568"/>
      <c r="Q49" s="1568"/>
      <c r="R49" s="1568"/>
      <c r="S49" s="1568"/>
      <c r="T49" s="1568"/>
      <c r="U49" s="1568"/>
      <c r="V49" s="1568"/>
      <c r="W49" s="1568"/>
      <c r="X49" s="1568"/>
      <c r="Y49" s="1568"/>
      <c r="Z49" s="1568"/>
      <c r="AA49" s="1568"/>
      <c r="AB49" s="1568"/>
      <c r="AC49" s="1568"/>
      <c r="AD49" s="1568"/>
      <c r="AE49" s="1568"/>
      <c r="AF49" s="1568"/>
      <c r="AG49" s="1568"/>
      <c r="AH49" s="1568"/>
      <c r="AI49" s="1568"/>
      <c r="AJ49" s="1568"/>
      <c r="AK49" s="1568"/>
      <c r="AL49" s="1568"/>
      <c r="AM49" s="1568"/>
    </row>
    <row r="50" spans="1:39" ht="14.25">
      <c r="A50" s="2322" t="s">
        <v>2068</v>
      </c>
      <c r="B50" s="122">
        <v>1.2E-2</v>
      </c>
      <c r="C50" s="1415"/>
      <c r="D50" s="2265"/>
      <c r="E50" s="2264"/>
      <c r="F50" s="2264"/>
      <c r="G50" s="2264"/>
      <c r="H50" s="2264"/>
      <c r="I50" s="2264"/>
      <c r="J50" s="2264"/>
      <c r="K50" s="159"/>
      <c r="L50" s="159"/>
      <c r="M50" s="1568"/>
      <c r="N50" s="1568"/>
      <c r="O50" s="1568"/>
      <c r="P50" s="1568"/>
      <c r="Q50" s="1568"/>
      <c r="R50" s="1568"/>
      <c r="S50" s="1568"/>
      <c r="T50" s="1568"/>
      <c r="U50" s="1568"/>
      <c r="V50" s="1568"/>
      <c r="W50" s="1568"/>
      <c r="X50" s="1568"/>
      <c r="Y50" s="1568"/>
      <c r="Z50" s="1568"/>
      <c r="AA50" s="1568"/>
      <c r="AB50" s="1568"/>
      <c r="AC50" s="1568"/>
      <c r="AD50" s="1568"/>
      <c r="AE50" s="1568"/>
      <c r="AF50" s="1568"/>
      <c r="AG50" s="1568"/>
      <c r="AH50" s="1568"/>
      <c r="AI50" s="1568"/>
      <c r="AJ50" s="1568"/>
      <c r="AK50" s="1568"/>
      <c r="AL50" s="1568"/>
      <c r="AM50" s="1568"/>
    </row>
    <row r="51" spans="1:39" ht="15" thickBot="1">
      <c r="A51" s="2314" t="s">
        <v>2069</v>
      </c>
      <c r="B51" s="123">
        <v>0.12</v>
      </c>
      <c r="C51" s="1415"/>
      <c r="D51" s="2265"/>
      <c r="E51" s="2264"/>
      <c r="F51" s="2264"/>
      <c r="G51" s="2264"/>
      <c r="H51" s="2264"/>
      <c r="I51" s="2264"/>
      <c r="J51" s="2264"/>
      <c r="K51" s="159"/>
      <c r="L51" s="159"/>
      <c r="M51" s="1568"/>
      <c r="N51" s="1568"/>
      <c r="O51" s="1568"/>
      <c r="P51" s="1568"/>
      <c r="Q51" s="1568"/>
      <c r="R51" s="1568"/>
      <c r="S51" s="1568"/>
      <c r="T51" s="1568"/>
      <c r="U51" s="1568"/>
      <c r="V51" s="1568"/>
      <c r="W51" s="1568"/>
      <c r="X51" s="1568"/>
      <c r="Y51" s="1568"/>
      <c r="Z51" s="1568"/>
      <c r="AA51" s="1568"/>
      <c r="AB51" s="1568"/>
      <c r="AC51" s="1568"/>
      <c r="AD51" s="1568"/>
      <c r="AE51" s="1568"/>
      <c r="AF51" s="1568"/>
      <c r="AG51" s="1568"/>
      <c r="AH51" s="1568"/>
      <c r="AI51" s="1568"/>
      <c r="AJ51" s="1568"/>
      <c r="AK51" s="1568"/>
      <c r="AL51" s="1568"/>
      <c r="AM51" s="1568"/>
    </row>
    <row r="52" spans="1:39" ht="14.25">
      <c r="A52" s="2322" t="s">
        <v>2070</v>
      </c>
      <c r="B52" s="124">
        <f>SUMIF(A54:A63,B53,B54:B63)</f>
        <v>6</v>
      </c>
      <c r="C52" s="1415"/>
      <c r="D52" s="2265"/>
      <c r="E52" s="2264"/>
      <c r="F52" s="2264"/>
      <c r="G52" s="2264"/>
      <c r="H52" s="2264"/>
      <c r="I52" s="2264"/>
      <c r="J52" s="2264"/>
      <c r="K52" s="159"/>
      <c r="L52" s="159"/>
      <c r="M52" s="1568"/>
      <c r="N52" s="1568"/>
      <c r="O52" s="1568"/>
      <c r="P52" s="1568"/>
      <c r="Q52" s="1568"/>
      <c r="R52" s="1568"/>
      <c r="S52" s="1568"/>
      <c r="T52" s="1568"/>
      <c r="U52" s="1568"/>
      <c r="V52" s="1568"/>
      <c r="W52" s="1568"/>
      <c r="X52" s="1568"/>
      <c r="Y52" s="1568"/>
      <c r="Z52" s="1568"/>
      <c r="AA52" s="1568"/>
      <c r="AB52" s="1568"/>
      <c r="AC52" s="1568"/>
      <c r="AD52" s="1568"/>
      <c r="AE52" s="1568"/>
      <c r="AF52" s="1568"/>
      <c r="AG52" s="1568"/>
      <c r="AH52" s="1568"/>
      <c r="AI52" s="1568"/>
      <c r="AJ52" s="1568"/>
      <c r="AK52" s="1568"/>
      <c r="AL52" s="1568"/>
      <c r="AM52" s="1568"/>
    </row>
    <row r="53" spans="1:39" ht="27">
      <c r="A53" s="2312" t="s">
        <v>2071</v>
      </c>
      <c r="B53" s="2323" t="s">
        <v>269</v>
      </c>
      <c r="C53" s="1415" t="s">
        <v>2072</v>
      </c>
      <c r="D53" s="2324" t="s">
        <v>2073</v>
      </c>
      <c r="E53" s="2264"/>
      <c r="F53" s="2264"/>
      <c r="G53" s="2264"/>
      <c r="H53" s="2264"/>
      <c r="I53" s="2264"/>
      <c r="J53" s="2264"/>
      <c r="K53" s="159"/>
      <c r="L53" s="159"/>
      <c r="M53" s="1568"/>
      <c r="N53" s="1568"/>
      <c r="O53" s="1568"/>
      <c r="P53" s="1568"/>
      <c r="Q53" s="1568"/>
      <c r="R53" s="1568"/>
      <c r="S53" s="1568"/>
      <c r="T53" s="1568"/>
      <c r="U53" s="1568"/>
      <c r="V53" s="1568"/>
      <c r="W53" s="1568"/>
      <c r="X53" s="1568"/>
      <c r="Y53" s="1568"/>
      <c r="Z53" s="1568"/>
      <c r="AA53" s="1568"/>
      <c r="AB53" s="1568"/>
      <c r="AC53" s="1568"/>
      <c r="AD53" s="1568"/>
      <c r="AE53" s="1568"/>
      <c r="AF53" s="1568"/>
      <c r="AG53" s="1568"/>
      <c r="AH53" s="1568"/>
      <c r="AI53" s="1568"/>
      <c r="AJ53" s="1568"/>
      <c r="AK53" s="1568"/>
      <c r="AL53" s="1568"/>
      <c r="AM53" s="1568"/>
    </row>
    <row r="54" spans="1:39" ht="14.25">
      <c r="A54" s="2325" t="s">
        <v>2074</v>
      </c>
      <c r="B54" s="83"/>
      <c r="C54" s="1415">
        <v>30</v>
      </c>
      <c r="D54" s="2265"/>
      <c r="E54" s="2264"/>
      <c r="F54" s="2264"/>
      <c r="G54" s="2264"/>
      <c r="H54" s="2264"/>
      <c r="I54" s="2264"/>
      <c r="J54" s="2264"/>
      <c r="K54" s="159"/>
      <c r="L54" s="159"/>
      <c r="M54" s="1568"/>
      <c r="N54" s="1568"/>
      <c r="O54" s="1568"/>
      <c r="P54" s="1568"/>
      <c r="Q54" s="1568"/>
      <c r="R54" s="1568"/>
      <c r="S54" s="1568"/>
      <c r="T54" s="1568"/>
      <c r="U54" s="1568"/>
      <c r="V54" s="1568"/>
      <c r="W54" s="1568"/>
      <c r="X54" s="1568"/>
      <c r="Y54" s="1568"/>
      <c r="Z54" s="1568"/>
      <c r="AA54" s="1568"/>
      <c r="AB54" s="1568"/>
      <c r="AC54" s="1568"/>
      <c r="AD54" s="1568"/>
      <c r="AE54" s="1568"/>
      <c r="AF54" s="1568"/>
      <c r="AG54" s="1568"/>
      <c r="AH54" s="1568"/>
      <c r="AI54" s="1568"/>
      <c r="AJ54" s="1568"/>
      <c r="AK54" s="1568"/>
      <c r="AL54" s="1568"/>
      <c r="AM54" s="1568"/>
    </row>
    <row r="55" spans="1:39" ht="14.25">
      <c r="A55" s="2325" t="s">
        <v>2075</v>
      </c>
      <c r="B55" s="83">
        <v>6</v>
      </c>
      <c r="C55" s="1415">
        <v>24</v>
      </c>
      <c r="D55" s="2265"/>
      <c r="E55" s="2264"/>
      <c r="F55" s="2264"/>
      <c r="G55" s="2264"/>
      <c r="H55" s="2264"/>
      <c r="I55" s="2326"/>
      <c r="J55" s="2264"/>
      <c r="K55" s="159"/>
      <c r="L55" s="159"/>
      <c r="M55" s="1568"/>
      <c r="N55" s="1568"/>
      <c r="O55" s="1568"/>
      <c r="P55" s="1568"/>
      <c r="Q55" s="1568"/>
      <c r="R55" s="1568"/>
      <c r="S55" s="1568"/>
      <c r="T55" s="1568"/>
      <c r="U55" s="1568"/>
      <c r="V55" s="1568"/>
      <c r="W55" s="1568"/>
      <c r="X55" s="1568"/>
      <c r="Y55" s="1568"/>
      <c r="Z55" s="1568"/>
      <c r="AA55" s="1568"/>
      <c r="AB55" s="1568"/>
      <c r="AC55" s="1568"/>
      <c r="AD55" s="1568"/>
      <c r="AE55" s="1568"/>
      <c r="AF55" s="1568"/>
      <c r="AG55" s="1568"/>
      <c r="AH55" s="1568"/>
      <c r="AI55" s="1568"/>
      <c r="AJ55" s="1568"/>
      <c r="AK55" s="1568"/>
      <c r="AL55" s="1568"/>
      <c r="AM55" s="1568"/>
    </row>
    <row r="56" spans="1:39" ht="14.25">
      <c r="A56" s="2325" t="s">
        <v>2076</v>
      </c>
      <c r="B56" s="83"/>
      <c r="C56" s="1415">
        <v>18</v>
      </c>
      <c r="D56" s="2265"/>
      <c r="E56" s="2264"/>
      <c r="F56" s="2264"/>
      <c r="G56" s="2264"/>
      <c r="H56" s="2264"/>
      <c r="I56" s="2264"/>
      <c r="J56" s="2264"/>
      <c r="K56" s="159"/>
      <c r="L56" s="159"/>
      <c r="M56" s="1568"/>
      <c r="N56" s="1568"/>
      <c r="O56" s="1568"/>
      <c r="P56" s="1568"/>
      <c r="Q56" s="1568"/>
      <c r="R56" s="1568"/>
      <c r="S56" s="1568"/>
      <c r="T56" s="1568"/>
      <c r="U56" s="1568"/>
      <c r="V56" s="1568"/>
      <c r="W56" s="1568"/>
      <c r="X56" s="1568"/>
      <c r="Y56" s="1568"/>
      <c r="Z56" s="1568"/>
      <c r="AA56" s="1568"/>
      <c r="AB56" s="1568"/>
      <c r="AC56" s="1568"/>
      <c r="AD56" s="1568"/>
      <c r="AE56" s="1568"/>
      <c r="AF56" s="1568"/>
      <c r="AG56" s="1568"/>
      <c r="AH56" s="1568"/>
      <c r="AI56" s="1568"/>
      <c r="AJ56" s="1568"/>
      <c r="AK56" s="1568"/>
      <c r="AL56" s="1568"/>
      <c r="AM56" s="1568"/>
    </row>
    <row r="57" spans="1:39" ht="14.25">
      <c r="A57" s="2325" t="s">
        <v>2077</v>
      </c>
      <c r="B57" s="83"/>
      <c r="C57" s="1415">
        <v>12</v>
      </c>
      <c r="D57" s="2265"/>
      <c r="E57" s="2264"/>
      <c r="F57" s="2264"/>
      <c r="G57" s="2264"/>
      <c r="H57" s="2264"/>
      <c r="I57" s="2264"/>
      <c r="J57" s="2264"/>
      <c r="K57" s="159"/>
      <c r="L57" s="159"/>
      <c r="M57" s="1568"/>
      <c r="N57" s="1568"/>
      <c r="O57" s="1568"/>
      <c r="P57" s="1568"/>
      <c r="Q57" s="1568"/>
      <c r="R57" s="1568"/>
      <c r="S57" s="1568"/>
      <c r="T57" s="1568"/>
      <c r="U57" s="1568"/>
      <c r="V57" s="1568"/>
      <c r="W57" s="1568"/>
      <c r="X57" s="1568"/>
      <c r="Y57" s="1568"/>
      <c r="Z57" s="1568"/>
      <c r="AA57" s="1568"/>
      <c r="AB57" s="1568"/>
      <c r="AC57" s="1568"/>
      <c r="AD57" s="1568"/>
      <c r="AE57" s="1568"/>
      <c r="AF57" s="1568"/>
      <c r="AG57" s="1568"/>
      <c r="AH57" s="1568"/>
      <c r="AI57" s="1568"/>
      <c r="AJ57" s="1568"/>
      <c r="AK57" s="1568"/>
      <c r="AL57" s="1568"/>
      <c r="AM57" s="1568"/>
    </row>
    <row r="58" spans="1:39" ht="14.25">
      <c r="A58" s="2325" t="s">
        <v>2078</v>
      </c>
      <c r="B58" s="83"/>
      <c r="C58" s="1415">
        <v>3</v>
      </c>
      <c r="D58" s="2265"/>
      <c r="E58" s="2264"/>
      <c r="F58" s="2264"/>
      <c r="G58" s="2264"/>
      <c r="H58" s="2264"/>
      <c r="I58" s="2264"/>
      <c r="J58" s="2264"/>
      <c r="K58" s="159"/>
      <c r="L58" s="159"/>
      <c r="M58" s="1568"/>
      <c r="N58" s="1568"/>
      <c r="O58" s="1568"/>
      <c r="P58" s="1568"/>
      <c r="Q58" s="1568"/>
      <c r="R58" s="1568"/>
      <c r="S58" s="1568"/>
      <c r="T58" s="1568"/>
      <c r="U58" s="1568"/>
      <c r="V58" s="1568"/>
      <c r="W58" s="1568"/>
      <c r="X58" s="1568"/>
      <c r="Y58" s="1568"/>
      <c r="Z58" s="1568"/>
      <c r="AA58" s="1568"/>
      <c r="AB58" s="1568"/>
      <c r="AC58" s="1568"/>
      <c r="AD58" s="1568"/>
      <c r="AE58" s="1568"/>
      <c r="AF58" s="1568"/>
      <c r="AG58" s="1568"/>
      <c r="AH58" s="1568"/>
      <c r="AI58" s="1568"/>
      <c r="AJ58" s="1568"/>
      <c r="AK58" s="1568"/>
      <c r="AL58" s="1568"/>
      <c r="AM58" s="1568"/>
    </row>
    <row r="59" spans="1:39" ht="14.25">
      <c r="A59" s="2325" t="s">
        <v>2079</v>
      </c>
      <c r="B59" s="83"/>
      <c r="C59" s="1415">
        <v>1.5</v>
      </c>
      <c r="D59" s="2265"/>
      <c r="E59" s="2264"/>
      <c r="F59" s="2264"/>
      <c r="G59" s="2264"/>
      <c r="H59" s="2264"/>
      <c r="I59" s="2264"/>
      <c r="J59" s="2264"/>
      <c r="K59" s="159"/>
      <c r="L59" s="159"/>
      <c r="M59" s="1568"/>
      <c r="N59" s="1568"/>
      <c r="O59" s="1568"/>
      <c r="P59" s="1568"/>
      <c r="Q59" s="1568"/>
      <c r="R59" s="1568"/>
      <c r="S59" s="1568"/>
      <c r="T59" s="1568"/>
      <c r="U59" s="1568"/>
      <c r="V59" s="1568"/>
      <c r="W59" s="1568"/>
      <c r="X59" s="1568"/>
      <c r="Y59" s="1568"/>
      <c r="Z59" s="1568"/>
      <c r="AA59" s="1568"/>
      <c r="AB59" s="1568"/>
      <c r="AC59" s="1568"/>
      <c r="AD59" s="1568"/>
      <c r="AE59" s="1568"/>
      <c r="AF59" s="1568"/>
      <c r="AG59" s="1568"/>
      <c r="AH59" s="1568"/>
      <c r="AI59" s="1568"/>
      <c r="AJ59" s="1568"/>
      <c r="AK59" s="1568"/>
      <c r="AL59" s="1568"/>
      <c r="AM59" s="1568"/>
    </row>
    <row r="60" spans="1:39" ht="14.25">
      <c r="A60" s="2325" t="s">
        <v>2080</v>
      </c>
      <c r="B60" s="83"/>
      <c r="C60" s="2264"/>
      <c r="D60" s="2265"/>
      <c r="E60" s="2264"/>
      <c r="F60" s="2264"/>
      <c r="G60" s="2264"/>
      <c r="H60" s="2264"/>
      <c r="I60" s="2264"/>
      <c r="J60" s="2264"/>
      <c r="K60" s="159"/>
      <c r="L60" s="159"/>
      <c r="M60" s="1568"/>
      <c r="N60" s="1568"/>
      <c r="O60" s="1568"/>
      <c r="P60" s="1568"/>
      <c r="Q60" s="1568"/>
      <c r="R60" s="1568"/>
      <c r="S60" s="1568"/>
      <c r="T60" s="1568"/>
      <c r="U60" s="1568"/>
      <c r="V60" s="1568"/>
      <c r="W60" s="1568"/>
      <c r="X60" s="1568"/>
      <c r="Y60" s="1568"/>
      <c r="Z60" s="1568"/>
      <c r="AA60" s="1568"/>
      <c r="AB60" s="1568"/>
      <c r="AC60" s="1568"/>
      <c r="AD60" s="1568"/>
      <c r="AE60" s="1568"/>
      <c r="AF60" s="1568"/>
      <c r="AG60" s="1568"/>
      <c r="AH60" s="1568"/>
      <c r="AI60" s="1568"/>
      <c r="AJ60" s="1568"/>
      <c r="AK60" s="1568"/>
      <c r="AL60" s="1568"/>
      <c r="AM60" s="1568"/>
    </row>
    <row r="61" spans="1:39" ht="14.25">
      <c r="A61" s="2325" t="s">
        <v>2081</v>
      </c>
      <c r="B61" s="83"/>
      <c r="C61" s="2264"/>
      <c r="D61" s="2265"/>
      <c r="E61" s="2264"/>
      <c r="F61" s="2264"/>
      <c r="G61" s="2264"/>
      <c r="H61" s="2264"/>
      <c r="I61" s="2264"/>
      <c r="J61" s="2264"/>
      <c r="K61" s="159"/>
      <c r="L61" s="159"/>
      <c r="M61" s="1568"/>
      <c r="N61" s="1568"/>
      <c r="O61" s="1568"/>
      <c r="P61" s="1568"/>
      <c r="Q61" s="1568"/>
      <c r="R61" s="1568"/>
      <c r="S61" s="1568"/>
      <c r="T61" s="1568"/>
      <c r="U61" s="1568"/>
      <c r="V61" s="1568"/>
      <c r="W61" s="1568"/>
      <c r="X61" s="1568"/>
      <c r="Y61" s="1568"/>
      <c r="Z61" s="1568"/>
      <c r="AA61" s="1568"/>
      <c r="AB61" s="1568"/>
      <c r="AC61" s="1568"/>
      <c r="AD61" s="1568"/>
      <c r="AE61" s="1568"/>
      <c r="AF61" s="1568"/>
      <c r="AG61" s="1568"/>
      <c r="AH61" s="1568"/>
      <c r="AI61" s="1568"/>
      <c r="AJ61" s="1568"/>
      <c r="AK61" s="1568"/>
      <c r="AL61" s="1568"/>
      <c r="AM61" s="1568"/>
    </row>
    <row r="62" spans="1:39" ht="14.25">
      <c r="A62" s="2325" t="s">
        <v>2082</v>
      </c>
      <c r="B62" s="83"/>
      <c r="C62" s="2264"/>
      <c r="D62" s="2265"/>
      <c r="E62" s="2264"/>
      <c r="F62" s="2264"/>
      <c r="G62" s="2264"/>
      <c r="H62" s="2264"/>
      <c r="I62" s="2264"/>
      <c r="J62" s="2264"/>
      <c r="K62" s="159"/>
      <c r="L62" s="159"/>
      <c r="M62" s="1568"/>
      <c r="N62" s="1568"/>
      <c r="O62" s="1568"/>
      <c r="P62" s="1568"/>
      <c r="Q62" s="1568"/>
      <c r="R62" s="1568"/>
      <c r="S62" s="1568"/>
      <c r="T62" s="1568"/>
      <c r="U62" s="1568"/>
      <c r="V62" s="1568"/>
      <c r="W62" s="1568"/>
      <c r="X62" s="1568"/>
      <c r="Y62" s="1568"/>
      <c r="Z62" s="1568"/>
      <c r="AA62" s="1568"/>
      <c r="AB62" s="1568"/>
      <c r="AC62" s="1568"/>
      <c r="AD62" s="1568"/>
      <c r="AE62" s="1568"/>
      <c r="AF62" s="1568"/>
      <c r="AG62" s="1568"/>
      <c r="AH62" s="1568"/>
      <c r="AI62" s="1568"/>
      <c r="AJ62" s="1568"/>
      <c r="AK62" s="1568"/>
      <c r="AL62" s="1568"/>
      <c r="AM62" s="1568"/>
    </row>
    <row r="63" spans="1:39" ht="15" thickBot="1">
      <c r="A63" s="2327" t="s">
        <v>2083</v>
      </c>
      <c r="B63" s="125"/>
      <c r="C63" s="2264"/>
      <c r="D63" s="2265"/>
      <c r="E63" s="2264"/>
      <c r="F63" s="2264"/>
      <c r="G63" s="2264"/>
      <c r="H63" s="2264"/>
      <c r="I63" s="2264"/>
      <c r="J63" s="2264"/>
      <c r="K63" s="159"/>
      <c r="L63" s="159"/>
      <c r="M63" s="1568"/>
      <c r="N63" s="1568"/>
      <c r="O63" s="1568"/>
      <c r="P63" s="1568"/>
      <c r="Q63" s="1568"/>
      <c r="R63" s="1568"/>
      <c r="S63" s="1568"/>
      <c r="T63" s="1568"/>
      <c r="U63" s="1568"/>
      <c r="V63" s="1568"/>
      <c r="W63" s="1568"/>
      <c r="X63" s="1568"/>
      <c r="Y63" s="1568"/>
      <c r="Z63" s="1568"/>
      <c r="AA63" s="1568"/>
      <c r="AB63" s="1568"/>
      <c r="AC63" s="1568"/>
      <c r="AD63" s="1568"/>
      <c r="AE63" s="1568"/>
      <c r="AF63" s="1568"/>
      <c r="AG63" s="1568"/>
      <c r="AH63" s="1568"/>
      <c r="AI63" s="1568"/>
      <c r="AJ63" s="1568"/>
      <c r="AK63" s="1568"/>
      <c r="AL63" s="1568"/>
      <c r="AM63" s="1568"/>
    </row>
    <row r="64" spans="1:39" s="953" customFormat="1">
      <c r="A64" s="2328"/>
      <c r="D64" s="2329"/>
      <c r="K64" s="789"/>
      <c r="L64" s="789"/>
    </row>
    <row r="65" spans="1:12" s="953" customFormat="1">
      <c r="A65" s="2328"/>
      <c r="D65" s="2329"/>
      <c r="K65" s="789"/>
      <c r="L65" s="789"/>
    </row>
    <row r="66" spans="1:12" s="953" customFormat="1">
      <c r="A66" s="2328"/>
      <c r="D66" s="2329"/>
      <c r="K66" s="789"/>
      <c r="L66" s="789"/>
    </row>
    <row r="67" spans="1:12" s="953" customFormat="1">
      <c r="A67" s="2328"/>
      <c r="D67" s="2329"/>
      <c r="K67" s="789"/>
      <c r="L67" s="789"/>
    </row>
    <row r="68" spans="1:12" s="953" customFormat="1">
      <c r="A68" s="2328"/>
      <c r="D68" s="2329"/>
      <c r="K68" s="789"/>
      <c r="L68" s="789"/>
    </row>
    <row r="69" spans="1:12" s="953" customFormat="1">
      <c r="A69" s="2328"/>
      <c r="D69" s="2329"/>
      <c r="K69" s="789"/>
      <c r="L69" s="789"/>
    </row>
    <row r="70" spans="1:12" s="953" customFormat="1">
      <c r="A70" s="2328"/>
      <c r="D70" s="2329"/>
      <c r="K70" s="789"/>
      <c r="L70" s="789"/>
    </row>
    <row r="71" spans="1:12" s="953" customFormat="1">
      <c r="A71" s="2328"/>
      <c r="D71" s="2329"/>
      <c r="K71" s="789"/>
      <c r="L71" s="789"/>
    </row>
    <row r="72" spans="1:12" s="953" customFormat="1">
      <c r="A72" s="2328"/>
      <c r="D72" s="2329"/>
      <c r="K72" s="789"/>
      <c r="L72" s="789"/>
    </row>
    <row r="73" spans="1:12" s="953" customFormat="1">
      <c r="A73" s="2328"/>
      <c r="D73" s="2329"/>
      <c r="K73" s="789"/>
      <c r="L73" s="789"/>
    </row>
    <row r="74" spans="1:12" s="953" customFormat="1">
      <c r="A74" s="2328"/>
      <c r="D74" s="2329"/>
      <c r="K74" s="789"/>
      <c r="L74" s="789"/>
    </row>
    <row r="75" spans="1:12" s="953" customFormat="1">
      <c r="A75" s="2328"/>
      <c r="D75" s="2329"/>
      <c r="K75" s="789"/>
      <c r="L75" s="789"/>
    </row>
    <row r="76" spans="1:12" s="953" customFormat="1">
      <c r="A76" s="2328"/>
      <c r="D76" s="2329"/>
      <c r="K76" s="789"/>
      <c r="L76" s="789"/>
    </row>
    <row r="77" spans="1:12" s="953" customFormat="1">
      <c r="A77" s="2328"/>
      <c r="D77" s="2329"/>
      <c r="K77" s="789"/>
      <c r="L77" s="789"/>
    </row>
    <row r="78" spans="1:12" s="953" customFormat="1">
      <c r="A78" s="2328"/>
      <c r="D78" s="2329"/>
      <c r="K78" s="789"/>
      <c r="L78" s="789"/>
    </row>
    <row r="79" spans="1:12" s="953" customFormat="1">
      <c r="A79" s="2328"/>
      <c r="D79" s="2329"/>
      <c r="K79" s="789"/>
      <c r="L79" s="789"/>
    </row>
    <row r="80" spans="1:12" s="953" customFormat="1">
      <c r="A80" s="2328"/>
      <c r="D80" s="2329"/>
      <c r="K80" s="789"/>
      <c r="L80" s="789"/>
    </row>
    <row r="81" spans="1:12" s="953" customFormat="1">
      <c r="A81" s="2328"/>
      <c r="D81" s="2329"/>
      <c r="K81" s="789"/>
      <c r="L81" s="789"/>
    </row>
    <row r="82" spans="1:12" s="953" customFormat="1">
      <c r="A82" s="2328"/>
      <c r="D82" s="2329"/>
      <c r="K82" s="789"/>
      <c r="L82" s="789"/>
    </row>
    <row r="83" spans="1:12" s="953" customFormat="1">
      <c r="A83" s="2328"/>
      <c r="D83" s="2329"/>
      <c r="K83" s="789"/>
      <c r="L83" s="789"/>
    </row>
    <row r="84" spans="1:12" s="953" customFormat="1">
      <c r="A84" s="2328"/>
      <c r="D84" s="2329"/>
      <c r="K84" s="789"/>
      <c r="L84" s="789"/>
    </row>
    <row r="85" spans="1:12" s="953" customFormat="1">
      <c r="A85" s="2328"/>
      <c r="D85" s="2329"/>
      <c r="K85" s="789"/>
      <c r="L85" s="789"/>
    </row>
    <row r="86" spans="1:12" s="953" customFormat="1">
      <c r="A86" s="2328"/>
      <c r="D86" s="2329"/>
      <c r="K86" s="789"/>
      <c r="L86" s="789"/>
    </row>
    <row r="87" spans="1:12" s="953" customFormat="1">
      <c r="A87" s="2328"/>
      <c r="D87" s="2329"/>
      <c r="K87" s="789"/>
      <c r="L87" s="789"/>
    </row>
    <row r="88" spans="1:12" s="953" customFormat="1">
      <c r="A88" s="2328"/>
      <c r="D88" s="2329"/>
      <c r="K88" s="789"/>
      <c r="L88" s="789"/>
    </row>
    <row r="89" spans="1:12" s="953" customFormat="1">
      <c r="A89" s="2328"/>
      <c r="D89" s="2329"/>
      <c r="K89" s="789"/>
      <c r="L89" s="789"/>
    </row>
    <row r="90" spans="1:12" s="953" customFormat="1">
      <c r="A90" s="2328"/>
      <c r="D90" s="2329"/>
      <c r="K90" s="789"/>
      <c r="L90" s="789"/>
    </row>
    <row r="91" spans="1:12" s="953" customFormat="1">
      <c r="A91" s="2328"/>
      <c r="D91" s="2329"/>
      <c r="K91" s="789"/>
      <c r="L91" s="789"/>
    </row>
    <row r="92" spans="1:12" s="953" customFormat="1">
      <c r="A92" s="2328"/>
      <c r="D92" s="2329"/>
      <c r="K92" s="789"/>
      <c r="L92" s="789"/>
    </row>
    <row r="93" spans="1:12" s="953" customFormat="1">
      <c r="A93" s="2328"/>
      <c r="D93" s="2329"/>
      <c r="K93" s="789"/>
      <c r="L93" s="789"/>
    </row>
    <row r="94" spans="1:12" s="953" customFormat="1">
      <c r="A94" s="2328"/>
      <c r="D94" s="2329"/>
      <c r="K94" s="789"/>
      <c r="L94" s="789"/>
    </row>
    <row r="95" spans="1:12" s="953" customFormat="1">
      <c r="A95" s="2328"/>
      <c r="D95" s="2329"/>
      <c r="K95" s="789"/>
      <c r="L95" s="789"/>
    </row>
    <row r="96" spans="1:12" s="953" customFormat="1">
      <c r="A96" s="2328"/>
      <c r="D96" s="2329"/>
      <c r="K96" s="789"/>
      <c r="L96" s="789"/>
    </row>
    <row r="97" spans="1:12" s="953" customFormat="1">
      <c r="A97" s="2328"/>
      <c r="D97" s="2329"/>
      <c r="K97" s="789"/>
      <c r="L97" s="789"/>
    </row>
    <row r="98" spans="1:12" s="953" customFormat="1">
      <c r="A98" s="2328"/>
      <c r="D98" s="2329"/>
      <c r="K98" s="789"/>
      <c r="L98" s="789"/>
    </row>
    <row r="99" spans="1:12" s="953" customFormat="1">
      <c r="A99" s="2328"/>
      <c r="D99" s="2329"/>
      <c r="K99" s="789"/>
      <c r="L99" s="789"/>
    </row>
    <row r="100" spans="1:12" s="953" customFormat="1">
      <c r="A100" s="2328"/>
      <c r="D100" s="2329"/>
      <c r="K100" s="789"/>
      <c r="L100" s="789"/>
    </row>
    <row r="101" spans="1:12" s="953" customFormat="1">
      <c r="A101" s="2328"/>
      <c r="D101" s="2329"/>
      <c r="K101" s="789"/>
      <c r="L101" s="789"/>
    </row>
    <row r="102" spans="1:12" s="953" customFormat="1">
      <c r="A102" s="2328"/>
      <c r="D102" s="2329"/>
      <c r="K102" s="789"/>
      <c r="L102" s="789"/>
    </row>
    <row r="103" spans="1:12" s="953" customFormat="1">
      <c r="A103" s="2328"/>
      <c r="D103" s="2329"/>
      <c r="K103" s="789"/>
      <c r="L103" s="789"/>
    </row>
    <row r="104" spans="1:12" s="953" customFormat="1">
      <c r="A104" s="2328"/>
      <c r="D104" s="2329"/>
      <c r="K104" s="789"/>
      <c r="L104" s="789"/>
    </row>
    <row r="105" spans="1:12" s="953" customFormat="1">
      <c r="A105" s="2328"/>
      <c r="D105" s="2329"/>
      <c r="K105" s="789"/>
      <c r="L105" s="789"/>
    </row>
    <row r="106" spans="1:12" s="953" customFormat="1">
      <c r="A106" s="2328"/>
      <c r="D106" s="2329"/>
      <c r="K106" s="789"/>
      <c r="L106" s="789"/>
    </row>
    <row r="107" spans="1:12" s="953" customFormat="1">
      <c r="A107" s="2328"/>
      <c r="D107" s="2329"/>
      <c r="K107" s="789"/>
      <c r="L107" s="789"/>
    </row>
    <row r="108" spans="1:12" s="953" customFormat="1">
      <c r="A108" s="2328"/>
      <c r="D108" s="2329"/>
      <c r="K108" s="789"/>
      <c r="L108" s="789"/>
    </row>
    <row r="109" spans="1:12" s="953" customFormat="1">
      <c r="A109" s="2328"/>
      <c r="D109" s="2329"/>
      <c r="K109" s="789"/>
      <c r="L109" s="789"/>
    </row>
    <row r="110" spans="1:12" s="953" customFormat="1">
      <c r="A110" s="2328"/>
      <c r="D110" s="2329"/>
      <c r="K110" s="789"/>
      <c r="L110" s="789"/>
    </row>
    <row r="111" spans="1:12" s="953" customFormat="1">
      <c r="A111" s="2328"/>
      <c r="D111" s="2329"/>
      <c r="K111" s="789"/>
      <c r="L111" s="789"/>
    </row>
    <row r="112" spans="1:12" s="953" customFormat="1">
      <c r="A112" s="2328"/>
      <c r="D112" s="2329"/>
      <c r="K112" s="789"/>
      <c r="L112" s="789"/>
    </row>
    <row r="113" spans="1:12" s="953" customFormat="1">
      <c r="A113" s="2328"/>
      <c r="D113" s="2329"/>
      <c r="K113" s="789"/>
      <c r="L113" s="789"/>
    </row>
    <row r="114" spans="1:12" s="953" customFormat="1">
      <c r="A114" s="2328"/>
      <c r="D114" s="2329"/>
      <c r="K114" s="789"/>
      <c r="L114" s="789"/>
    </row>
    <row r="115" spans="1:12" s="953" customFormat="1">
      <c r="A115" s="2328"/>
      <c r="D115" s="2329"/>
      <c r="K115" s="789"/>
      <c r="L115" s="789"/>
    </row>
    <row r="116" spans="1:12" s="953" customFormat="1">
      <c r="A116" s="2328"/>
      <c r="D116" s="2329"/>
      <c r="K116" s="789"/>
      <c r="L116" s="789"/>
    </row>
    <row r="117" spans="1:12" s="953" customFormat="1">
      <c r="A117" s="2328"/>
      <c r="D117" s="2329"/>
      <c r="K117" s="789"/>
      <c r="L117" s="789"/>
    </row>
    <row r="118" spans="1:12" s="953" customFormat="1">
      <c r="A118" s="2328"/>
      <c r="D118" s="2329"/>
      <c r="K118" s="789"/>
      <c r="L118" s="789"/>
    </row>
    <row r="119" spans="1:12" s="953" customFormat="1">
      <c r="A119" s="2328"/>
      <c r="D119" s="2329"/>
      <c r="K119" s="789"/>
      <c r="L119" s="789"/>
    </row>
    <row r="120" spans="1:12" s="953" customFormat="1">
      <c r="A120" s="2328"/>
      <c r="D120" s="2329"/>
      <c r="K120" s="789"/>
      <c r="L120" s="789"/>
    </row>
    <row r="121" spans="1:12" s="953" customFormat="1">
      <c r="A121" s="2328"/>
      <c r="D121" s="2329"/>
      <c r="K121" s="789"/>
      <c r="L121" s="789"/>
    </row>
    <row r="122" spans="1:12" s="953" customFormat="1">
      <c r="A122" s="2328"/>
      <c r="D122" s="2329"/>
      <c r="K122" s="789"/>
      <c r="L122" s="789"/>
    </row>
    <row r="123" spans="1:12" s="953" customFormat="1">
      <c r="A123" s="2328"/>
      <c r="D123" s="2329"/>
      <c r="K123" s="789"/>
      <c r="L123" s="789"/>
    </row>
    <row r="124" spans="1:12" s="953" customFormat="1">
      <c r="A124" s="2328"/>
      <c r="D124" s="2329"/>
      <c r="K124" s="789"/>
      <c r="L124" s="789"/>
    </row>
    <row r="125" spans="1:12" s="953" customFormat="1">
      <c r="A125" s="2328"/>
      <c r="D125" s="2329"/>
      <c r="K125" s="789"/>
      <c r="L125" s="789"/>
    </row>
    <row r="126" spans="1:12" s="953" customFormat="1">
      <c r="A126" s="2328"/>
      <c r="D126" s="2329"/>
      <c r="K126" s="789"/>
      <c r="L126" s="789"/>
    </row>
    <row r="127" spans="1:12" s="953" customFormat="1">
      <c r="A127" s="2328"/>
      <c r="D127" s="2329"/>
      <c r="K127" s="789"/>
      <c r="L127" s="789"/>
    </row>
    <row r="128" spans="1:12" s="953" customFormat="1">
      <c r="A128" s="2328"/>
      <c r="D128" s="2329"/>
      <c r="K128" s="789"/>
      <c r="L128" s="789"/>
    </row>
    <row r="129" spans="1:12" s="953" customFormat="1">
      <c r="A129" s="2328"/>
      <c r="D129" s="2329"/>
      <c r="K129" s="789"/>
      <c r="L129" s="789"/>
    </row>
    <row r="130" spans="1:12" s="953" customFormat="1">
      <c r="A130" s="2328"/>
      <c r="D130" s="2329"/>
      <c r="K130" s="789"/>
      <c r="L130" s="789"/>
    </row>
    <row r="131" spans="1:12" s="953" customFormat="1">
      <c r="A131" s="2328"/>
      <c r="D131" s="2329"/>
      <c r="K131" s="789"/>
      <c r="L131" s="789"/>
    </row>
    <row r="132" spans="1:12" s="953" customFormat="1">
      <c r="A132" s="2328"/>
      <c r="D132" s="2329"/>
      <c r="K132" s="789"/>
      <c r="L132" s="789"/>
    </row>
    <row r="133" spans="1:12" s="953" customFormat="1">
      <c r="A133" s="2328"/>
      <c r="D133" s="2329"/>
      <c r="K133" s="789"/>
      <c r="L133" s="789"/>
    </row>
    <row r="134" spans="1:12" s="2261" customFormat="1">
      <c r="A134" s="2330"/>
      <c r="D134" s="2331"/>
      <c r="K134" s="27"/>
      <c r="L134" s="27"/>
    </row>
    <row r="135" spans="1:12" s="2261" customFormat="1">
      <c r="A135" s="2330"/>
      <c r="D135" s="2331"/>
      <c r="K135" s="27"/>
      <c r="L135" s="27"/>
    </row>
    <row r="136" spans="1:12" s="2261" customFormat="1">
      <c r="A136" s="2330"/>
      <c r="D136" s="2331"/>
      <c r="K136" s="27"/>
      <c r="L136" s="27"/>
    </row>
    <row r="137" spans="1:12" s="2261" customFormat="1">
      <c r="A137" s="2330"/>
      <c r="D137" s="2331"/>
      <c r="K137" s="27"/>
      <c r="L137" s="27"/>
    </row>
    <row r="138" spans="1:12" s="2261" customFormat="1">
      <c r="A138" s="2330"/>
      <c r="D138" s="2331"/>
      <c r="K138" s="27"/>
      <c r="L138" s="27"/>
    </row>
    <row r="139" spans="1:12" s="2261" customFormat="1">
      <c r="A139" s="2330"/>
      <c r="D139" s="2331"/>
      <c r="K139" s="27"/>
      <c r="L139" s="27"/>
    </row>
    <row r="140" spans="1:12" s="2261" customFormat="1">
      <c r="A140" s="2330"/>
      <c r="D140" s="2331"/>
      <c r="K140" s="27"/>
      <c r="L140" s="27"/>
    </row>
    <row r="141" spans="1:12" s="2261" customFormat="1">
      <c r="A141" s="2330"/>
      <c r="D141" s="2331"/>
      <c r="K141" s="27"/>
      <c r="L141" s="27"/>
    </row>
    <row r="142" spans="1:12" s="2261" customFormat="1">
      <c r="A142" s="2330"/>
      <c r="D142" s="2331"/>
      <c r="K142" s="27"/>
      <c r="L142" s="27"/>
    </row>
    <row r="143" spans="1:12" s="2261" customFormat="1">
      <c r="A143" s="2330"/>
      <c r="D143" s="2331"/>
      <c r="K143" s="27"/>
      <c r="L143" s="27"/>
    </row>
    <row r="144" spans="1:12" s="2261" customFormat="1">
      <c r="A144" s="2330"/>
      <c r="D144" s="2331"/>
      <c r="K144" s="27"/>
      <c r="L144" s="27"/>
    </row>
    <row r="145" spans="1:12" s="2261" customFormat="1">
      <c r="A145" s="2330"/>
      <c r="D145" s="2331"/>
      <c r="K145" s="27"/>
      <c r="L145" s="27"/>
    </row>
    <row r="146" spans="1:12" s="2261" customFormat="1">
      <c r="A146" s="2330"/>
      <c r="D146" s="2331"/>
      <c r="K146" s="27"/>
      <c r="L146" s="27"/>
    </row>
    <row r="147" spans="1:12" s="2261" customFormat="1">
      <c r="A147" s="2330"/>
      <c r="D147" s="2331"/>
      <c r="K147" s="27"/>
      <c r="L147" s="27"/>
    </row>
    <row r="148" spans="1:12" s="2261" customFormat="1">
      <c r="A148" s="2330"/>
      <c r="D148" s="2331"/>
      <c r="K148" s="27"/>
      <c r="L148" s="27"/>
    </row>
    <row r="149" spans="1:12" s="2261" customFormat="1">
      <c r="A149" s="2330"/>
      <c r="D149" s="2331"/>
      <c r="K149" s="27"/>
      <c r="L149" s="27"/>
    </row>
    <row r="150" spans="1:12" s="2261" customFormat="1">
      <c r="A150" s="2330"/>
      <c r="D150" s="2331"/>
      <c r="K150" s="27"/>
      <c r="L150" s="27"/>
    </row>
    <row r="151" spans="1:12" s="2261" customFormat="1">
      <c r="A151" s="2330"/>
      <c r="D151" s="2331"/>
      <c r="K151" s="27"/>
      <c r="L151" s="27"/>
    </row>
    <row r="152" spans="1:12" s="2261" customFormat="1">
      <c r="A152" s="2330"/>
      <c r="D152" s="2331"/>
      <c r="K152" s="27"/>
      <c r="L152" s="27"/>
    </row>
    <row r="153" spans="1:12" s="2261" customFormat="1">
      <c r="A153" s="2330"/>
      <c r="D153" s="2331"/>
      <c r="K153" s="27"/>
      <c r="L153" s="27"/>
    </row>
    <row r="154" spans="1:12" s="2261" customFormat="1">
      <c r="A154" s="2330"/>
      <c r="D154" s="2331"/>
      <c r="K154" s="27"/>
      <c r="L154" s="27"/>
    </row>
    <row r="155" spans="1:12" s="2261" customFormat="1">
      <c r="A155" s="2330"/>
      <c r="D155" s="2331"/>
      <c r="K155" s="27"/>
      <c r="L155" s="27"/>
    </row>
    <row r="156" spans="1:12" s="2261" customFormat="1">
      <c r="A156" s="2330"/>
      <c r="D156" s="2331"/>
      <c r="K156" s="27"/>
      <c r="L156" s="27"/>
    </row>
    <row r="157" spans="1:12" s="2261" customFormat="1">
      <c r="A157" s="2330"/>
      <c r="D157" s="2331"/>
      <c r="K157" s="27"/>
      <c r="L157" s="27"/>
    </row>
    <row r="158" spans="1:12" s="2261" customFormat="1">
      <c r="A158" s="2330"/>
      <c r="D158" s="2331"/>
      <c r="K158" s="27"/>
      <c r="L158" s="27"/>
    </row>
    <row r="159" spans="1:12" s="2261" customFormat="1">
      <c r="A159" s="2330"/>
      <c r="D159" s="2331"/>
      <c r="K159" s="27"/>
      <c r="L159" s="27"/>
    </row>
    <row r="160" spans="1:12" s="2261" customFormat="1">
      <c r="A160" s="2330"/>
      <c r="D160" s="2331"/>
      <c r="K160" s="27"/>
      <c r="L160" s="27"/>
    </row>
    <row r="161" spans="1:12" s="2261" customFormat="1">
      <c r="A161" s="2330"/>
      <c r="D161" s="2331"/>
      <c r="K161" s="27"/>
      <c r="L161" s="27"/>
    </row>
    <row r="162" spans="1:12" s="2261" customFormat="1">
      <c r="A162" s="2330"/>
      <c r="D162" s="2331"/>
      <c r="K162" s="27"/>
      <c r="L162" s="27"/>
    </row>
    <row r="163" spans="1:12" s="2261" customFormat="1">
      <c r="A163" s="2330"/>
      <c r="D163" s="2331"/>
      <c r="K163" s="27"/>
      <c r="L163" s="27"/>
    </row>
    <row r="164" spans="1:12" s="2261" customFormat="1">
      <c r="A164" s="2330"/>
      <c r="D164" s="2331"/>
      <c r="K164" s="27"/>
      <c r="L164" s="27"/>
    </row>
    <row r="165" spans="1:12" s="2261" customFormat="1">
      <c r="A165" s="2330"/>
      <c r="D165" s="2331"/>
      <c r="K165" s="27"/>
      <c r="L165" s="27"/>
    </row>
    <row r="166" spans="1:12" s="2261" customFormat="1">
      <c r="A166" s="2330"/>
      <c r="D166" s="2331"/>
      <c r="K166" s="27"/>
      <c r="L166" s="27"/>
    </row>
    <row r="167" spans="1:12" s="2261" customFormat="1">
      <c r="A167" s="2330"/>
      <c r="D167" s="2331"/>
      <c r="K167" s="27"/>
      <c r="L167" s="27"/>
    </row>
    <row r="168" spans="1:12" s="2261" customFormat="1">
      <c r="A168" s="2330"/>
      <c r="D168" s="2331"/>
      <c r="K168" s="27"/>
      <c r="L168" s="27"/>
    </row>
    <row r="169" spans="1:12" s="2261" customFormat="1">
      <c r="A169" s="2330"/>
      <c r="D169" s="2331"/>
      <c r="K169" s="27"/>
      <c r="L169" s="27"/>
    </row>
    <row r="170" spans="1:12" s="2261" customFormat="1">
      <c r="A170" s="2330"/>
      <c r="D170" s="2331"/>
      <c r="K170" s="27"/>
      <c r="L170" s="27"/>
    </row>
    <row r="171" spans="1:12" s="2261" customFormat="1">
      <c r="A171" s="2330"/>
      <c r="D171" s="2331"/>
      <c r="K171" s="27"/>
      <c r="L171" s="27"/>
    </row>
    <row r="172" spans="1:12" s="2261" customFormat="1">
      <c r="A172" s="2330"/>
      <c r="D172" s="2331"/>
      <c r="K172" s="27"/>
      <c r="L172" s="27"/>
    </row>
    <row r="173" spans="1:12" s="2261" customFormat="1">
      <c r="A173" s="2330"/>
      <c r="D173" s="2331"/>
      <c r="K173" s="27"/>
      <c r="L173" s="27"/>
    </row>
    <row r="174" spans="1:12" s="2261" customFormat="1">
      <c r="A174" s="2330"/>
      <c r="D174" s="233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RowHeight="14.25"/>
  <cols>
    <col min="1" max="1" width="9.5" style="2356" customWidth="1"/>
    <col min="2" max="2" width="24.5" style="2404" customWidth="1"/>
    <col min="3" max="3" width="24.5" style="2403" customWidth="1"/>
    <col min="4" max="4" width="2.625" style="2403" customWidth="1"/>
    <col min="5" max="5" width="5.875" style="2403" customWidth="1"/>
    <col min="6" max="6" width="27" style="2404" customWidth="1"/>
    <col min="7" max="7" width="27" style="2405" customWidth="1"/>
    <col min="8" max="8" width="11.875" style="2383" customWidth="1"/>
    <col min="9" max="9" width="16.75" style="2384" customWidth="1"/>
    <col min="10" max="10" width="2.625" style="2383" customWidth="1"/>
    <col min="11" max="11" width="11.875" style="2383" customWidth="1"/>
    <col min="12" max="12" width="16.75" style="2384" customWidth="1"/>
    <col min="13" max="13" width="2.625" style="2383" customWidth="1"/>
    <col min="14" max="14" width="11.875" style="2383" customWidth="1"/>
    <col min="15" max="15" width="16.75" style="2384" customWidth="1"/>
    <col min="16" max="16" width="2.625" style="2383" customWidth="1"/>
    <col min="17" max="17" width="11.875" style="2383" customWidth="1"/>
    <col min="18" max="18" width="16.75" style="2385" customWidth="1"/>
    <col min="19" max="29" width="9" style="2355"/>
    <col min="30" max="16384" width="9" style="2356"/>
  </cols>
  <sheetData>
    <row r="1" spans="1:29" s="2349" customFormat="1" ht="19.5" thickBot="1">
      <c r="A1" s="3170" t="s">
        <v>2084</v>
      </c>
      <c r="B1" s="3171"/>
      <c r="C1" s="3171"/>
      <c r="D1" s="3171"/>
      <c r="E1" s="3171"/>
      <c r="F1" s="3171"/>
      <c r="G1" s="3171"/>
      <c r="H1" s="2344"/>
      <c r="I1" s="2345"/>
      <c r="J1" s="2344"/>
      <c r="K1" s="2344"/>
      <c r="L1" s="2345"/>
      <c r="M1" s="2344"/>
      <c r="N1" s="2344"/>
      <c r="O1" s="2345"/>
      <c r="P1" s="2344"/>
      <c r="Q1" s="2346"/>
      <c r="R1" s="2347"/>
      <c r="S1" s="2348"/>
      <c r="T1" s="2348"/>
      <c r="U1" s="2348"/>
      <c r="V1" s="2348"/>
      <c r="W1" s="2348"/>
      <c r="X1" s="2348"/>
      <c r="Y1" s="2348"/>
      <c r="Z1" s="2348"/>
      <c r="AA1" s="2348"/>
      <c r="AB1" s="2348"/>
      <c r="AC1" s="2348"/>
    </row>
    <row r="2" spans="1:29" ht="15.75" thickBot="1">
      <c r="A2" s="2350"/>
      <c r="B2" s="2351"/>
      <c r="C2" s="2352" t="s">
        <v>2085</v>
      </c>
      <c r="D2" s="2353"/>
      <c r="E2" s="2354"/>
      <c r="F2" s="2273"/>
      <c r="G2" s="2352" t="s">
        <v>2086</v>
      </c>
      <c r="H2" s="2355"/>
      <c r="I2" s="2355"/>
      <c r="J2" s="2355"/>
      <c r="K2" s="2355"/>
      <c r="L2" s="2355"/>
      <c r="M2" s="2355"/>
      <c r="N2" s="2355"/>
      <c r="O2" s="2355"/>
      <c r="P2" s="2355"/>
      <c r="Q2" s="2355"/>
      <c r="R2" s="2355"/>
    </row>
    <row r="3" spans="1:29" ht="27">
      <c r="A3" s="406" t="s">
        <v>2087</v>
      </c>
      <c r="B3" s="1256" t="s">
        <v>2088</v>
      </c>
      <c r="C3" s="2357"/>
      <c r="D3" s="2358"/>
      <c r="E3" s="422" t="s">
        <v>2087</v>
      </c>
      <c r="F3" s="2359" t="s">
        <v>2089</v>
      </c>
      <c r="G3" s="2360"/>
      <c r="H3" s="2355"/>
      <c r="I3" s="2355"/>
      <c r="J3" s="2355"/>
      <c r="K3" s="2355"/>
      <c r="L3" s="2355"/>
      <c r="M3" s="2355"/>
      <c r="N3" s="2355"/>
      <c r="O3" s="2355"/>
      <c r="P3" s="2355"/>
      <c r="Q3" s="2355"/>
      <c r="R3" s="2355"/>
    </row>
    <row r="4" spans="1:29" ht="15">
      <c r="A4" s="422"/>
      <c r="B4" s="1782" t="s">
        <v>2090</v>
      </c>
      <c r="C4" s="2361"/>
      <c r="D4" s="2358"/>
      <c r="E4" s="2362"/>
      <c r="F4" s="42" t="s">
        <v>2091</v>
      </c>
      <c r="G4" s="2363"/>
      <c r="H4" s="2355"/>
      <c r="I4" s="2355"/>
      <c r="J4" s="2355"/>
      <c r="K4" s="2355"/>
      <c r="L4" s="2355"/>
      <c r="M4" s="2355"/>
      <c r="N4" s="2355"/>
      <c r="O4" s="2355"/>
      <c r="P4" s="2355"/>
      <c r="Q4" s="2355"/>
      <c r="R4" s="2355"/>
    </row>
    <row r="5" spans="1:29" ht="15">
      <c r="A5" s="422"/>
      <c r="B5" s="1782" t="s">
        <v>2092</v>
      </c>
      <c r="C5" s="2361"/>
      <c r="D5" s="2358"/>
      <c r="E5" s="2362"/>
      <c r="F5" s="1782" t="s">
        <v>2093</v>
      </c>
      <c r="G5" s="2363"/>
      <c r="H5" s="2355"/>
      <c r="I5" s="2355"/>
      <c r="J5" s="2355"/>
      <c r="K5" s="2355"/>
      <c r="L5" s="2355"/>
      <c r="M5" s="2355"/>
      <c r="N5" s="2355"/>
      <c r="O5" s="2355"/>
      <c r="P5" s="2355"/>
      <c r="Q5" s="2355"/>
      <c r="R5" s="2355"/>
    </row>
    <row r="6" spans="1:29" ht="15">
      <c r="A6" s="422"/>
      <c r="B6" s="1782" t="s">
        <v>2094</v>
      </c>
      <c r="C6" s="2363"/>
      <c r="D6" s="2358"/>
      <c r="E6" s="2362"/>
      <c r="F6" s="1782" t="s">
        <v>2095</v>
      </c>
      <c r="G6" s="2363"/>
      <c r="H6" s="2355"/>
      <c r="I6" s="2355"/>
      <c r="J6" s="2355"/>
      <c r="K6" s="2355"/>
      <c r="L6" s="2355"/>
      <c r="M6" s="2355"/>
      <c r="N6" s="2355"/>
      <c r="O6" s="2355"/>
      <c r="P6" s="2355"/>
      <c r="Q6" s="2355"/>
      <c r="R6" s="2355"/>
    </row>
    <row r="7" spans="1:29" ht="15.75" thickBot="1">
      <c r="A7" s="422"/>
      <c r="B7" s="1782" t="s">
        <v>2093</v>
      </c>
      <c r="C7" s="2363"/>
      <c r="D7" s="2364"/>
      <c r="E7" s="2365"/>
      <c r="F7" s="2366" t="s">
        <v>2096</v>
      </c>
      <c r="G7" s="2367"/>
      <c r="H7" s="2355"/>
      <c r="I7" s="2355"/>
      <c r="J7" s="2355"/>
      <c r="K7" s="2355"/>
      <c r="L7" s="2355"/>
      <c r="M7" s="2355"/>
      <c r="N7" s="2355"/>
      <c r="O7" s="2355"/>
      <c r="P7" s="2355"/>
      <c r="Q7" s="2355"/>
      <c r="R7" s="2355"/>
    </row>
    <row r="8" spans="1:29" ht="15">
      <c r="A8" s="422"/>
      <c r="B8" s="1782" t="s">
        <v>2095</v>
      </c>
      <c r="C8" s="2363"/>
      <c r="D8" s="2364"/>
      <c r="E8" s="2364"/>
      <c r="F8" s="1121"/>
      <c r="G8" s="1121"/>
      <c r="H8" s="2355"/>
      <c r="I8" s="2355"/>
      <c r="J8" s="2355"/>
      <c r="K8" s="2355"/>
      <c r="L8" s="2355"/>
      <c r="M8" s="2355"/>
      <c r="N8" s="2355"/>
      <c r="O8" s="2355"/>
      <c r="P8" s="2355"/>
      <c r="Q8" s="2355"/>
      <c r="R8" s="2355"/>
    </row>
    <row r="9" spans="1:29" ht="15">
      <c r="A9" s="422"/>
      <c r="B9" s="1782" t="s">
        <v>2097</v>
      </c>
      <c r="C9" s="2361"/>
      <c r="D9" s="2358"/>
      <c r="E9" s="2364"/>
      <c r="F9" s="1121"/>
      <c r="G9" s="1121"/>
      <c r="H9" s="2355"/>
      <c r="I9" s="2355"/>
      <c r="J9" s="2355"/>
      <c r="K9" s="2355"/>
      <c r="L9" s="2355"/>
      <c r="M9" s="2355"/>
      <c r="N9" s="2355"/>
      <c r="O9" s="2355"/>
      <c r="P9" s="2355"/>
      <c r="Q9" s="2355"/>
      <c r="R9" s="2355"/>
    </row>
    <row r="10" spans="1:29" s="110" customFormat="1" ht="15.75" thickBot="1">
      <c r="A10" s="2368"/>
      <c r="B10" s="2369" t="s">
        <v>2098</v>
      </c>
      <c r="C10" s="2370"/>
      <c r="D10" s="2358"/>
      <c r="E10" s="2358"/>
      <c r="F10" s="1121"/>
      <c r="G10" s="1121"/>
      <c r="H10" s="2371"/>
      <c r="I10" s="2372"/>
      <c r="J10" s="2373"/>
      <c r="K10" s="2371"/>
      <c r="L10" s="2372"/>
      <c r="M10" s="2373"/>
      <c r="N10" s="2371"/>
      <c r="O10" s="2372"/>
      <c r="P10" s="2373"/>
      <c r="Q10" s="2371"/>
      <c r="R10" s="2372"/>
      <c r="S10" s="2355"/>
      <c r="T10" s="2355"/>
      <c r="U10" s="2355"/>
      <c r="V10" s="2355"/>
      <c r="W10" s="2355"/>
      <c r="X10" s="2355"/>
      <c r="Y10" s="2355"/>
      <c r="Z10" s="2355"/>
      <c r="AA10" s="2355"/>
      <c r="AB10" s="2355"/>
      <c r="AC10" s="2355"/>
    </row>
    <row r="11" spans="1:29" s="110" customFormat="1" ht="15">
      <c r="A11" s="2374"/>
      <c r="B11" s="2364"/>
      <c r="C11" s="2358"/>
      <c r="D11" s="2358"/>
      <c r="E11" s="2358"/>
      <c r="F11" s="2364"/>
      <c r="G11" s="1139"/>
      <c r="H11" s="2371"/>
      <c r="I11" s="2372"/>
      <c r="J11" s="2373"/>
      <c r="K11" s="2371"/>
      <c r="L11" s="2372"/>
      <c r="M11" s="2373"/>
      <c r="N11" s="2371"/>
      <c r="O11" s="2372"/>
      <c r="P11" s="2373"/>
      <c r="Q11" s="2371"/>
      <c r="R11" s="2372"/>
      <c r="S11" s="2355"/>
      <c r="T11" s="2355"/>
      <c r="U11" s="2355"/>
      <c r="V11" s="2355"/>
      <c r="W11" s="2355"/>
      <c r="X11" s="2355"/>
      <c r="Y11" s="2355"/>
      <c r="Z11" s="2355"/>
      <c r="AA11" s="2355"/>
      <c r="AB11" s="2355"/>
      <c r="AC11" s="2355"/>
    </row>
    <row r="12" spans="1:29" s="2349" customFormat="1" ht="18">
      <c r="A12" s="2374"/>
      <c r="B12" s="2364"/>
      <c r="C12" s="2358"/>
      <c r="D12" s="2375"/>
      <c r="E12" s="2358"/>
      <c r="F12" s="2364"/>
      <c r="G12" s="1139"/>
      <c r="H12" s="2376"/>
      <c r="I12" s="2377"/>
      <c r="J12" s="2376"/>
      <c r="K12" s="2376"/>
      <c r="L12" s="2378"/>
      <c r="M12" s="2376"/>
      <c r="N12" s="2379"/>
      <c r="O12" s="2380"/>
      <c r="P12" s="2379"/>
      <c r="Q12" s="2379"/>
      <c r="R12" s="2347"/>
      <c r="S12" s="2348"/>
      <c r="T12" s="2348"/>
      <c r="U12" s="2348"/>
      <c r="V12" s="2348"/>
      <c r="W12" s="2348"/>
      <c r="X12" s="2348"/>
      <c r="Y12" s="2348"/>
      <c r="Z12" s="2348"/>
      <c r="AA12" s="2348"/>
      <c r="AB12" s="2348"/>
      <c r="AC12" s="2348"/>
    </row>
    <row r="13" spans="1:29" ht="19.5" thickBot="1">
      <c r="A13" s="2381" t="s">
        <v>2099</v>
      </c>
      <c r="B13" s="2375"/>
      <c r="C13" s="2375"/>
      <c r="D13" s="2382"/>
      <c r="E13" s="2375"/>
      <c r="F13" s="2375"/>
      <c r="G13" s="2375"/>
    </row>
    <row r="14" spans="1:29" ht="15.75" thickBot="1">
      <c r="A14" s="2386"/>
      <c r="B14" s="2387"/>
      <c r="C14" s="2388" t="s">
        <v>2100</v>
      </c>
      <c r="D14" s="2358"/>
      <c r="E14" s="2389"/>
      <c r="F14" s="2389"/>
      <c r="G14" s="2352" t="s">
        <v>2101</v>
      </c>
    </row>
    <row r="15" spans="1:29" ht="27">
      <c r="A15" s="67" t="s">
        <v>2102</v>
      </c>
      <c r="B15" s="1255" t="s">
        <v>2088</v>
      </c>
      <c r="C15" s="2390">
        <f>C3</f>
        <v>0</v>
      </c>
      <c r="D15" s="2358"/>
      <c r="E15" s="2391" t="s">
        <v>2103</v>
      </c>
      <c r="F15" s="1255" t="s">
        <v>2104</v>
      </c>
      <c r="G15" s="126">
        <f>G3</f>
        <v>0</v>
      </c>
    </row>
    <row r="16" spans="1:29" ht="15">
      <c r="A16" s="636"/>
      <c r="B16" s="2392" t="s">
        <v>2090</v>
      </c>
      <c r="C16" s="2393">
        <f>C4</f>
        <v>0</v>
      </c>
      <c r="D16" s="2358"/>
      <c r="E16" s="2394"/>
      <c r="F16" s="2395" t="s">
        <v>2091</v>
      </c>
      <c r="G16" s="127">
        <f>G4</f>
        <v>0</v>
      </c>
    </row>
    <row r="17" spans="1:18" ht="15">
      <c r="A17" s="636"/>
      <c r="B17" s="2392" t="s">
        <v>2092</v>
      </c>
      <c r="C17" s="2393">
        <f>C5</f>
        <v>0</v>
      </c>
      <c r="D17" s="2364"/>
      <c r="E17" s="2394"/>
      <c r="F17" s="2395" t="s">
        <v>2105</v>
      </c>
      <c r="G17" s="1556"/>
    </row>
    <row r="18" spans="1:18" ht="15">
      <c r="A18" s="636"/>
      <c r="B18" s="2395" t="s">
        <v>2094</v>
      </c>
      <c r="C18" s="127">
        <f>C6</f>
        <v>0</v>
      </c>
      <c r="D18" s="2364"/>
      <c r="E18" s="2394"/>
      <c r="F18" s="2395" t="s">
        <v>2096</v>
      </c>
      <c r="G18" s="127">
        <f>G7</f>
        <v>0</v>
      </c>
    </row>
    <row r="19" spans="1:18" ht="15">
      <c r="A19" s="636"/>
      <c r="B19" s="2395" t="s">
        <v>2106</v>
      </c>
      <c r="C19" s="1556"/>
      <c r="D19" s="2358"/>
      <c r="E19" s="2394"/>
      <c r="F19" s="1782" t="s">
        <v>2093</v>
      </c>
      <c r="G19" s="127">
        <f>G5</f>
        <v>0</v>
      </c>
    </row>
    <row r="20" spans="1:18" ht="15">
      <c r="A20" s="636"/>
      <c r="B20" s="2395" t="s">
        <v>2107</v>
      </c>
      <c r="C20" s="2393">
        <f>C9</f>
        <v>0</v>
      </c>
      <c r="D20" s="2364"/>
      <c r="E20" s="2394"/>
      <c r="F20" s="1782" t="s">
        <v>2108</v>
      </c>
      <c r="G20" s="127">
        <f>G6</f>
        <v>0</v>
      </c>
    </row>
    <row r="21" spans="1:18" ht="15">
      <c r="A21" s="636"/>
      <c r="B21" s="1782" t="s">
        <v>2093</v>
      </c>
      <c r="C21" s="127">
        <f>C7</f>
        <v>0</v>
      </c>
      <c r="D21" s="2358"/>
      <c r="E21" s="2394"/>
      <c r="F21" s="2395" t="s">
        <v>2109</v>
      </c>
      <c r="G21" s="2396"/>
    </row>
    <row r="22" spans="1:18" ht="13.5" customHeight="1">
      <c r="A22" s="636"/>
      <c r="B22" s="1782" t="s">
        <v>2095</v>
      </c>
      <c r="C22" s="127">
        <f>C8</f>
        <v>0</v>
      </c>
      <c r="D22" s="2358"/>
      <c r="E22" s="2394"/>
      <c r="F22" s="2395" t="s">
        <v>2098</v>
      </c>
      <c r="G22" s="1556"/>
    </row>
    <row r="23" spans="1:18" s="2355" customFormat="1" ht="15.75" thickBot="1">
      <c r="A23" s="636"/>
      <c r="B23" s="2395" t="s">
        <v>2109</v>
      </c>
      <c r="C23" s="2396"/>
      <c r="D23" s="2383"/>
      <c r="E23" s="2397"/>
      <c r="F23" s="2398" t="s">
        <v>2110</v>
      </c>
      <c r="G23" s="2399"/>
      <c r="H23" s="2383"/>
      <c r="I23" s="2384"/>
      <c r="J23" s="2383"/>
      <c r="K23" s="2383"/>
      <c r="L23" s="2384"/>
      <c r="M23" s="2383"/>
      <c r="N23" s="2383"/>
      <c r="O23" s="2384"/>
      <c r="P23" s="2383"/>
      <c r="Q23" s="2383"/>
      <c r="R23" s="2385"/>
    </row>
    <row r="24" spans="1:18" s="2355" customFormat="1" ht="15.75" thickBot="1">
      <c r="A24" s="2400"/>
      <c r="B24" s="2398" t="s">
        <v>2111</v>
      </c>
      <c r="C24" s="128">
        <f>C10</f>
        <v>0</v>
      </c>
      <c r="D24" s="2383"/>
      <c r="E24" s="2401"/>
      <c r="F24" s="2401"/>
      <c r="G24" s="2402"/>
      <c r="H24" s="2383"/>
      <c r="I24" s="2384"/>
      <c r="J24" s="2383"/>
      <c r="K24" s="2383"/>
      <c r="L24" s="2384"/>
      <c r="M24" s="2383"/>
      <c r="N24" s="2383"/>
      <c r="O24" s="2384"/>
      <c r="P24" s="2383"/>
      <c r="Q24" s="2383"/>
      <c r="R24" s="2385"/>
    </row>
    <row r="25" spans="1:18" s="2355" customFormat="1">
      <c r="B25" s="2383"/>
      <c r="C25" s="2383"/>
      <c r="D25" s="2383"/>
      <c r="H25" s="2383"/>
      <c r="I25" s="2384"/>
      <c r="J25" s="2383"/>
      <c r="K25" s="2383"/>
      <c r="L25" s="2384"/>
      <c r="M25" s="2383"/>
      <c r="N25" s="2383"/>
      <c r="O25" s="2384"/>
      <c r="P25" s="2383"/>
      <c r="Q25" s="2383"/>
      <c r="R25" s="2385"/>
    </row>
    <row r="26" spans="1:18" s="2355" customFormat="1">
      <c r="B26" s="2383"/>
      <c r="C26" s="2383"/>
      <c r="D26" s="2383"/>
      <c r="H26" s="2383"/>
      <c r="I26" s="2384"/>
      <c r="J26" s="2383"/>
      <c r="K26" s="2383"/>
      <c r="L26" s="2384"/>
      <c r="M26" s="2383"/>
      <c r="N26" s="2383"/>
      <c r="O26" s="2384"/>
      <c r="P26" s="2383"/>
      <c r="Q26" s="2383"/>
      <c r="R26" s="2385"/>
    </row>
    <row r="27" spans="1:18" s="2355" customFormat="1">
      <c r="B27" s="2383"/>
      <c r="C27" s="2383"/>
      <c r="D27" s="2383"/>
      <c r="H27" s="2383"/>
      <c r="I27" s="2384"/>
      <c r="J27" s="2383"/>
      <c r="K27" s="2383"/>
      <c r="L27" s="2384"/>
      <c r="M27" s="2383"/>
      <c r="N27" s="2383"/>
      <c r="O27" s="2384"/>
      <c r="P27" s="2383"/>
      <c r="Q27" s="2383"/>
      <c r="R27" s="2385"/>
    </row>
    <row r="28" spans="1:18" s="2355" customFormat="1">
      <c r="B28" s="2383"/>
      <c r="C28" s="2383"/>
      <c r="D28" s="2383"/>
      <c r="H28" s="2383"/>
      <c r="I28" s="2384"/>
      <c r="J28" s="2383"/>
      <c r="K28" s="2383"/>
      <c r="L28" s="2384"/>
      <c r="M28" s="2383"/>
      <c r="N28" s="2383"/>
      <c r="O28" s="2384"/>
      <c r="P28" s="2383"/>
      <c r="Q28" s="2383"/>
      <c r="R28" s="2385"/>
    </row>
    <row r="29" spans="1:18" s="2355" customFormat="1">
      <c r="B29" s="2383"/>
      <c r="C29" s="2383"/>
      <c r="D29" s="2383"/>
      <c r="H29" s="2383"/>
      <c r="I29" s="2384"/>
      <c r="J29" s="2383"/>
      <c r="K29" s="2383"/>
      <c r="L29" s="2384"/>
      <c r="M29" s="2383"/>
      <c r="N29" s="2383"/>
      <c r="O29" s="2384"/>
      <c r="P29" s="2383"/>
      <c r="Q29" s="2383"/>
      <c r="R29" s="2385"/>
    </row>
    <row r="30" spans="1:18" s="2355" customFormat="1">
      <c r="B30" s="2383"/>
      <c r="C30" s="2383"/>
      <c r="D30" s="2383"/>
      <c r="H30" s="2383"/>
      <c r="I30" s="2384"/>
      <c r="J30" s="2383"/>
      <c r="K30" s="2383"/>
      <c r="L30" s="2384"/>
      <c r="M30" s="2383"/>
      <c r="N30" s="2383"/>
      <c r="O30" s="2384"/>
      <c r="P30" s="2383"/>
      <c r="Q30" s="2383"/>
      <c r="R30" s="2385"/>
    </row>
    <row r="31" spans="1:18" s="2355" customFormat="1">
      <c r="B31" s="2383"/>
      <c r="C31" s="2383"/>
      <c r="D31" s="2383"/>
      <c r="H31" s="2383"/>
      <c r="I31" s="2384"/>
      <c r="J31" s="2383"/>
      <c r="K31" s="2383"/>
      <c r="L31" s="2384"/>
      <c r="M31" s="2383"/>
      <c r="N31" s="2383"/>
      <c r="O31" s="2384"/>
      <c r="P31" s="2383"/>
      <c r="Q31" s="2383"/>
      <c r="R31" s="2385"/>
    </row>
    <row r="32" spans="1:18" s="2355" customFormat="1">
      <c r="B32" s="2383"/>
      <c r="C32" s="2383"/>
      <c r="D32" s="2383"/>
      <c r="H32" s="2383"/>
      <c r="I32" s="2384"/>
      <c r="J32" s="2383"/>
      <c r="K32" s="2383"/>
      <c r="L32" s="2384"/>
      <c r="M32" s="2383"/>
      <c r="N32" s="2383"/>
      <c r="O32" s="2384"/>
      <c r="P32" s="2383"/>
      <c r="Q32" s="2383"/>
      <c r="R32" s="2385"/>
    </row>
    <row r="33" spans="2:18" s="2355" customFormat="1">
      <c r="B33" s="2383"/>
      <c r="C33" s="2383"/>
      <c r="D33" s="2383"/>
      <c r="H33" s="2383"/>
      <c r="I33" s="2384"/>
      <c r="J33" s="2383"/>
      <c r="K33" s="2383"/>
      <c r="L33" s="2384"/>
      <c r="M33" s="2383"/>
      <c r="N33" s="2383"/>
      <c r="O33" s="2384"/>
      <c r="P33" s="2383"/>
      <c r="Q33" s="2383"/>
      <c r="R33" s="2385"/>
    </row>
    <row r="34" spans="2:18" s="2355" customFormat="1">
      <c r="B34" s="2383"/>
      <c r="C34" s="2383"/>
      <c r="D34" s="2383"/>
      <c r="H34" s="2383"/>
      <c r="I34" s="2384"/>
      <c r="J34" s="2383"/>
      <c r="K34" s="2383"/>
      <c r="L34" s="2384"/>
      <c r="M34" s="2383"/>
      <c r="N34" s="2383"/>
      <c r="O34" s="2384"/>
      <c r="P34" s="2383"/>
      <c r="Q34" s="2383"/>
      <c r="R34" s="2385"/>
    </row>
    <row r="35" spans="2:18" s="2355" customFormat="1">
      <c r="B35" s="2383"/>
      <c r="C35" s="2383"/>
      <c r="D35" s="2383"/>
      <c r="H35" s="2383"/>
      <c r="I35" s="2384"/>
      <c r="J35" s="2383"/>
      <c r="K35" s="2383"/>
      <c r="L35" s="2384"/>
      <c r="M35" s="2383"/>
      <c r="N35" s="2383"/>
      <c r="O35" s="2384"/>
      <c r="P35" s="2383"/>
      <c r="Q35" s="2383"/>
      <c r="R35" s="2385"/>
    </row>
    <row r="36" spans="2:18" s="2355" customFormat="1">
      <c r="B36" s="2383"/>
      <c r="C36" s="2383"/>
      <c r="D36" s="2383"/>
      <c r="H36" s="2383"/>
      <c r="I36" s="2384"/>
      <c r="J36" s="2383"/>
      <c r="K36" s="2383"/>
      <c r="L36" s="2384"/>
      <c r="M36" s="2383"/>
      <c r="N36" s="2383"/>
      <c r="O36" s="2384"/>
      <c r="P36" s="2383"/>
      <c r="Q36" s="2383"/>
      <c r="R36" s="2385"/>
    </row>
    <row r="37" spans="2:18" s="2355" customFormat="1">
      <c r="B37" s="2383"/>
      <c r="C37" s="2383"/>
      <c r="D37" s="2383"/>
      <c r="H37" s="2383"/>
      <c r="I37" s="2384"/>
      <c r="J37" s="2383"/>
      <c r="K37" s="2383"/>
      <c r="L37" s="2384"/>
      <c r="M37" s="2383"/>
      <c r="N37" s="2383"/>
      <c r="O37" s="2384"/>
      <c r="P37" s="2383"/>
      <c r="Q37" s="2383"/>
      <c r="R37" s="2385"/>
    </row>
    <row r="38" spans="2:18" s="2355" customFormat="1">
      <c r="B38" s="2383"/>
      <c r="C38" s="2383"/>
      <c r="D38" s="2383"/>
      <c r="E38" s="2383"/>
      <c r="F38" s="2383"/>
      <c r="G38" s="2384"/>
      <c r="H38" s="2383"/>
      <c r="I38" s="2384"/>
      <c r="J38" s="2383"/>
      <c r="K38" s="2383"/>
      <c r="L38" s="2384"/>
      <c r="M38" s="2383"/>
      <c r="N38" s="2383"/>
      <c r="O38" s="2384"/>
      <c r="P38" s="2383"/>
      <c r="Q38" s="2383"/>
      <c r="R38" s="2385"/>
    </row>
    <row r="39" spans="2:18" s="2355" customFormat="1">
      <c r="B39" s="2383"/>
      <c r="C39" s="2383"/>
      <c r="D39" s="2383"/>
      <c r="E39" s="2383"/>
      <c r="F39" s="2383"/>
      <c r="G39" s="2384"/>
      <c r="H39" s="2383"/>
      <c r="I39" s="2384"/>
      <c r="J39" s="2383"/>
      <c r="K39" s="2383"/>
      <c r="L39" s="2384"/>
      <c r="M39" s="2383"/>
      <c r="N39" s="2383"/>
      <c r="O39" s="2384"/>
      <c r="P39" s="2383"/>
      <c r="Q39" s="2383"/>
      <c r="R39" s="2385"/>
    </row>
    <row r="40" spans="2:18" s="2355" customFormat="1">
      <c r="B40" s="2383"/>
      <c r="C40" s="2383"/>
      <c r="D40" s="2383"/>
      <c r="E40" s="2383"/>
      <c r="F40" s="2383"/>
      <c r="G40" s="2384"/>
      <c r="H40" s="2383"/>
      <c r="I40" s="2384"/>
      <c r="J40" s="2383"/>
      <c r="K40" s="2383"/>
      <c r="L40" s="2384"/>
      <c r="M40" s="2383"/>
      <c r="N40" s="2383"/>
      <c r="O40" s="2384"/>
      <c r="P40" s="2383"/>
      <c r="Q40" s="2383"/>
      <c r="R40" s="2385"/>
    </row>
    <row r="41" spans="2:18" s="2355" customFormat="1">
      <c r="B41" s="2383"/>
      <c r="C41" s="2383"/>
      <c r="D41" s="2383"/>
      <c r="E41" s="2383"/>
      <c r="F41" s="2383"/>
      <c r="G41" s="2384"/>
      <c r="H41" s="2383"/>
      <c r="I41" s="2384"/>
      <c r="J41" s="2383"/>
      <c r="K41" s="2383"/>
      <c r="L41" s="2384"/>
      <c r="M41" s="2383"/>
      <c r="N41" s="2383"/>
      <c r="O41" s="2384"/>
      <c r="P41" s="2383"/>
      <c r="Q41" s="2383"/>
      <c r="R41" s="2385"/>
    </row>
    <row r="42" spans="2:18" s="2355" customFormat="1">
      <c r="B42" s="2383"/>
      <c r="C42" s="2383"/>
      <c r="D42" s="2383"/>
      <c r="E42" s="2383"/>
      <c r="F42" s="2383"/>
      <c r="G42" s="2384"/>
      <c r="H42" s="2383"/>
      <c r="I42" s="2384"/>
      <c r="J42" s="2383"/>
      <c r="K42" s="2383"/>
      <c r="L42" s="2384"/>
      <c r="M42" s="2383"/>
      <c r="N42" s="2383"/>
      <c r="O42" s="2384"/>
      <c r="P42" s="2383"/>
      <c r="Q42" s="2383"/>
      <c r="R42" s="2385"/>
    </row>
    <row r="43" spans="2:18" s="2355" customFormat="1">
      <c r="B43" s="2383"/>
      <c r="C43" s="2383"/>
      <c r="D43" s="2383"/>
      <c r="E43" s="2383"/>
      <c r="F43" s="2383"/>
      <c r="G43" s="2384"/>
      <c r="H43" s="2383"/>
      <c r="I43" s="2384"/>
      <c r="J43" s="2383"/>
      <c r="K43" s="2383"/>
      <c r="L43" s="2384"/>
      <c r="M43" s="2383"/>
      <c r="N43" s="2383"/>
      <c r="O43" s="2384"/>
      <c r="P43" s="2383"/>
      <c r="Q43" s="2383"/>
      <c r="R43" s="2385"/>
    </row>
    <row r="44" spans="2:18" s="2355" customFormat="1">
      <c r="B44" s="2383"/>
      <c r="C44" s="2383"/>
      <c r="D44" s="2383"/>
      <c r="E44" s="2383"/>
      <c r="F44" s="2383"/>
      <c r="G44" s="2384"/>
      <c r="H44" s="2383"/>
      <c r="I44" s="2384"/>
      <c r="J44" s="2383"/>
      <c r="K44" s="2383"/>
      <c r="L44" s="2384"/>
      <c r="M44" s="2383"/>
      <c r="N44" s="2383"/>
      <c r="O44" s="2384"/>
      <c r="P44" s="2383"/>
      <c r="Q44" s="2383"/>
      <c r="R44" s="2385"/>
    </row>
    <row r="45" spans="2:18" s="2355" customFormat="1">
      <c r="B45" s="2383"/>
      <c r="C45" s="2383"/>
      <c r="D45" s="2383"/>
      <c r="E45" s="2383"/>
      <c r="F45" s="2383"/>
      <c r="G45" s="2384"/>
      <c r="H45" s="2383"/>
      <c r="I45" s="2384"/>
      <c r="J45" s="2383"/>
      <c r="K45" s="2383"/>
      <c r="L45" s="2384"/>
      <c r="M45" s="2383"/>
      <c r="N45" s="2383"/>
      <c r="O45" s="2384"/>
      <c r="P45" s="2383"/>
      <c r="Q45" s="2383"/>
      <c r="R45" s="2385"/>
    </row>
    <row r="46" spans="2:18" s="2355" customFormat="1">
      <c r="B46" s="2383"/>
      <c r="C46" s="2383"/>
      <c r="D46" s="2383"/>
      <c r="E46" s="2383"/>
      <c r="F46" s="2383"/>
      <c r="G46" s="2384"/>
      <c r="H46" s="2383"/>
      <c r="I46" s="2384"/>
      <c r="J46" s="2383"/>
      <c r="K46" s="2383"/>
      <c r="L46" s="2384"/>
      <c r="M46" s="2383"/>
      <c r="N46" s="2383"/>
      <c r="O46" s="2384"/>
      <c r="P46" s="2383"/>
      <c r="Q46" s="2383"/>
      <c r="R46" s="2385"/>
    </row>
    <row r="47" spans="2:18" s="2355" customFormat="1">
      <c r="B47" s="2383"/>
      <c r="C47" s="2383"/>
      <c r="D47" s="2383"/>
      <c r="E47" s="2383"/>
      <c r="F47" s="2383"/>
      <c r="G47" s="2384"/>
      <c r="H47" s="2383"/>
      <c r="I47" s="2384"/>
      <c r="J47" s="2383"/>
      <c r="K47" s="2383"/>
      <c r="L47" s="2384"/>
      <c r="M47" s="2383"/>
      <c r="N47" s="2383"/>
      <c r="O47" s="2384"/>
      <c r="P47" s="2383"/>
      <c r="Q47" s="2383"/>
      <c r="R47" s="2385"/>
    </row>
    <row r="48" spans="2:18" s="2355" customFormat="1">
      <c r="B48" s="2383"/>
      <c r="C48" s="2383"/>
      <c r="D48" s="2383"/>
      <c r="E48" s="2383"/>
      <c r="F48" s="2383"/>
      <c r="G48" s="2384"/>
      <c r="H48" s="2383"/>
      <c r="I48" s="2384"/>
      <c r="J48" s="2383"/>
      <c r="K48" s="2383"/>
      <c r="L48" s="2384"/>
      <c r="M48" s="2383"/>
      <c r="N48" s="2383"/>
      <c r="O48" s="2384"/>
      <c r="P48" s="2383"/>
      <c r="Q48" s="2383"/>
      <c r="R48" s="2385"/>
    </row>
    <row r="49" spans="2:18" s="2355" customFormat="1">
      <c r="B49" s="2383"/>
      <c r="C49" s="2383"/>
      <c r="D49" s="2383"/>
      <c r="E49" s="2383"/>
      <c r="F49" s="2383"/>
      <c r="G49" s="2384"/>
      <c r="H49" s="2383"/>
      <c r="I49" s="2384"/>
      <c r="J49" s="2383"/>
      <c r="K49" s="2383"/>
      <c r="L49" s="2384"/>
      <c r="M49" s="2383"/>
      <c r="N49" s="2383"/>
      <c r="O49" s="2384"/>
      <c r="P49" s="2383"/>
      <c r="Q49" s="2383"/>
      <c r="R49" s="2385"/>
    </row>
    <row r="50" spans="2:18" s="2355" customFormat="1">
      <c r="B50" s="2383"/>
      <c r="C50" s="2383"/>
      <c r="D50" s="2383"/>
      <c r="E50" s="2383"/>
      <c r="F50" s="2383"/>
      <c r="G50" s="2384"/>
      <c r="H50" s="2383"/>
      <c r="I50" s="2384"/>
      <c r="J50" s="2383"/>
      <c r="K50" s="2383"/>
      <c r="L50" s="2384"/>
      <c r="M50" s="2383"/>
      <c r="N50" s="2383"/>
      <c r="O50" s="2384"/>
      <c r="P50" s="2383"/>
      <c r="Q50" s="2383"/>
      <c r="R50" s="2385"/>
    </row>
    <row r="51" spans="2:18" s="2355" customFormat="1">
      <c r="B51" s="2383"/>
      <c r="C51" s="2383"/>
      <c r="D51" s="2383"/>
      <c r="E51" s="2383"/>
      <c r="F51" s="2383"/>
      <c r="G51" s="2384"/>
      <c r="H51" s="2383"/>
      <c r="I51" s="2384"/>
      <c r="J51" s="2383"/>
      <c r="K51" s="2383"/>
      <c r="L51" s="2384"/>
      <c r="M51" s="2383"/>
      <c r="N51" s="2383"/>
      <c r="O51" s="2384"/>
      <c r="P51" s="2383"/>
      <c r="Q51" s="2383"/>
      <c r="R51" s="2385"/>
    </row>
    <row r="52" spans="2:18" s="2355" customFormat="1">
      <c r="B52" s="2383"/>
      <c r="C52" s="2383"/>
      <c r="D52" s="2383"/>
      <c r="E52" s="2383"/>
      <c r="F52" s="2383"/>
      <c r="G52" s="2384"/>
      <c r="H52" s="2383"/>
      <c r="I52" s="2384"/>
      <c r="J52" s="2383"/>
      <c r="K52" s="2383"/>
      <c r="L52" s="2384"/>
      <c r="M52" s="2383"/>
      <c r="N52" s="2383"/>
      <c r="O52" s="2384"/>
      <c r="P52" s="2383"/>
      <c r="Q52" s="2383"/>
      <c r="R52" s="2385"/>
    </row>
    <row r="53" spans="2:18" s="2355" customFormat="1">
      <c r="B53" s="2383"/>
      <c r="C53" s="2383"/>
      <c r="D53" s="2383"/>
      <c r="E53" s="2383"/>
      <c r="F53" s="2383"/>
      <c r="G53" s="2384"/>
      <c r="H53" s="2383"/>
      <c r="I53" s="2384"/>
      <c r="J53" s="2383"/>
      <c r="K53" s="2383"/>
      <c r="L53" s="2384"/>
      <c r="M53" s="2383"/>
      <c r="N53" s="2383"/>
      <c r="O53" s="2384"/>
      <c r="P53" s="2383"/>
      <c r="Q53" s="2383"/>
      <c r="R53" s="2385"/>
    </row>
    <row r="54" spans="2:18" s="2355" customFormat="1">
      <c r="B54" s="2383"/>
      <c r="C54" s="2383"/>
      <c r="D54" s="2383"/>
      <c r="E54" s="2383"/>
      <c r="F54" s="2383"/>
      <c r="G54" s="2384"/>
      <c r="H54" s="2383"/>
      <c r="I54" s="2384"/>
      <c r="J54" s="2383"/>
      <c r="K54" s="2383"/>
      <c r="L54" s="2384"/>
      <c r="M54" s="2383"/>
      <c r="N54" s="2383"/>
      <c r="O54" s="2384"/>
      <c r="P54" s="2383"/>
      <c r="Q54" s="2383"/>
      <c r="R54" s="2385"/>
    </row>
    <row r="55" spans="2:18" s="2355" customFormat="1">
      <c r="B55" s="2383"/>
      <c r="C55" s="2383"/>
      <c r="D55" s="2383"/>
      <c r="E55" s="2383"/>
      <c r="F55" s="2383"/>
      <c r="G55" s="2384"/>
      <c r="H55" s="2383"/>
      <c r="I55" s="2384"/>
      <c r="J55" s="2383"/>
      <c r="K55" s="2383"/>
      <c r="L55" s="2384"/>
      <c r="M55" s="2383"/>
      <c r="N55" s="2383"/>
      <c r="O55" s="2384"/>
      <c r="P55" s="2383"/>
      <c r="Q55" s="2383"/>
      <c r="R55" s="2385"/>
    </row>
    <row r="56" spans="2:18" s="2355" customFormat="1">
      <c r="B56" s="2383"/>
      <c r="C56" s="2383"/>
      <c r="D56" s="2383"/>
      <c r="E56" s="2383"/>
      <c r="F56" s="2383"/>
      <c r="G56" s="2384"/>
      <c r="H56" s="2383"/>
      <c r="I56" s="2384"/>
      <c r="J56" s="2383"/>
      <c r="K56" s="2383"/>
      <c r="L56" s="2384"/>
      <c r="M56" s="2383"/>
      <c r="N56" s="2383"/>
      <c r="O56" s="2384"/>
      <c r="P56" s="2383"/>
      <c r="Q56" s="2383"/>
      <c r="R56" s="2385"/>
    </row>
    <row r="57" spans="2:18" s="2355" customFormat="1">
      <c r="B57" s="2383"/>
      <c r="C57" s="2383"/>
      <c r="D57" s="2383"/>
      <c r="E57" s="2383"/>
      <c r="F57" s="2383"/>
      <c r="G57" s="2384"/>
      <c r="H57" s="2383"/>
      <c r="I57" s="2384"/>
      <c r="J57" s="2383"/>
      <c r="K57" s="2383"/>
      <c r="L57" s="2384"/>
      <c r="M57" s="2383"/>
      <c r="N57" s="2383"/>
      <c r="O57" s="2384"/>
      <c r="P57" s="2383"/>
      <c r="Q57" s="2383"/>
      <c r="R57" s="2385"/>
    </row>
    <row r="58" spans="2:18" s="2355" customFormat="1">
      <c r="B58" s="2383"/>
      <c r="C58" s="2383"/>
      <c r="D58" s="2383"/>
      <c r="E58" s="2383"/>
      <c r="F58" s="2383"/>
      <c r="G58" s="2384"/>
      <c r="H58" s="2383"/>
      <c r="I58" s="2384"/>
      <c r="J58" s="2383"/>
      <c r="K58" s="2383"/>
      <c r="L58" s="2384"/>
      <c r="M58" s="2383"/>
      <c r="N58" s="2383"/>
      <c r="O58" s="2384"/>
      <c r="P58" s="2383"/>
      <c r="Q58" s="2383"/>
      <c r="R58" s="2385"/>
    </row>
    <row r="59" spans="2:18" s="2355" customFormat="1">
      <c r="B59" s="2383"/>
      <c r="C59" s="2383"/>
      <c r="D59" s="2383"/>
      <c r="E59" s="2383"/>
      <c r="F59" s="2383"/>
      <c r="G59" s="2384"/>
      <c r="H59" s="2383"/>
      <c r="I59" s="2384"/>
      <c r="J59" s="2383"/>
      <c r="K59" s="2383"/>
      <c r="L59" s="2384"/>
      <c r="M59" s="2383"/>
      <c r="N59" s="2383"/>
      <c r="O59" s="2384"/>
      <c r="P59" s="2383"/>
      <c r="Q59" s="2383"/>
      <c r="R59" s="2385"/>
    </row>
    <row r="60" spans="2:18" s="2355" customFormat="1">
      <c r="B60" s="2383"/>
      <c r="C60" s="2383"/>
      <c r="D60" s="2383"/>
      <c r="E60" s="2383"/>
      <c r="F60" s="2383"/>
      <c r="G60" s="2384"/>
      <c r="H60" s="2383"/>
      <c r="I60" s="2384"/>
      <c r="J60" s="2383"/>
      <c r="K60" s="2383"/>
      <c r="L60" s="2384"/>
      <c r="M60" s="2383"/>
      <c r="N60" s="2383"/>
      <c r="O60" s="2384"/>
      <c r="P60" s="2383"/>
      <c r="Q60" s="2383"/>
      <c r="R60" s="2385"/>
    </row>
    <row r="61" spans="2:18" s="2355" customFormat="1">
      <c r="B61" s="2383"/>
      <c r="C61" s="2383"/>
      <c r="D61" s="2383"/>
      <c r="E61" s="2383"/>
      <c r="F61" s="2383"/>
      <c r="G61" s="2384"/>
      <c r="H61" s="2383"/>
      <c r="I61" s="2384"/>
      <c r="J61" s="2383"/>
      <c r="K61" s="2383"/>
      <c r="L61" s="2384"/>
      <c r="M61" s="2383"/>
      <c r="N61" s="2383"/>
      <c r="O61" s="2384"/>
      <c r="P61" s="2383"/>
      <c r="Q61" s="2383"/>
      <c r="R61" s="2385"/>
    </row>
    <row r="62" spans="2:18" s="2355" customFormat="1">
      <c r="B62" s="2383"/>
      <c r="C62" s="2383"/>
      <c r="D62" s="2383"/>
      <c r="E62" s="2383"/>
      <c r="F62" s="2383"/>
      <c r="G62" s="2384"/>
      <c r="H62" s="2383"/>
      <c r="I62" s="2384"/>
      <c r="J62" s="2383"/>
      <c r="K62" s="2383"/>
      <c r="L62" s="2384"/>
      <c r="M62" s="2383"/>
      <c r="N62" s="2383"/>
      <c r="O62" s="2384"/>
      <c r="P62" s="2383"/>
      <c r="Q62" s="2383"/>
      <c r="R62" s="2385"/>
    </row>
    <row r="63" spans="2:18" s="2355" customFormat="1">
      <c r="B63" s="2383"/>
      <c r="C63" s="2383"/>
      <c r="D63" s="2383"/>
      <c r="E63" s="2383"/>
      <c r="F63" s="2383"/>
      <c r="G63" s="2384"/>
      <c r="H63" s="2383"/>
      <c r="I63" s="2384"/>
      <c r="J63" s="2383"/>
      <c r="K63" s="2383"/>
      <c r="L63" s="2384"/>
      <c r="M63" s="2383"/>
      <c r="N63" s="2383"/>
      <c r="O63" s="2384"/>
      <c r="P63" s="2383"/>
      <c r="Q63" s="2383"/>
      <c r="R63" s="2385"/>
    </row>
    <row r="64" spans="2:18" s="2355" customFormat="1">
      <c r="B64" s="2383"/>
      <c r="C64" s="2383"/>
      <c r="D64" s="2383"/>
      <c r="E64" s="2383"/>
      <c r="F64" s="2383"/>
      <c r="G64" s="2384"/>
      <c r="H64" s="2383"/>
      <c r="I64" s="2384"/>
      <c r="J64" s="2383"/>
      <c r="K64" s="2383"/>
      <c r="L64" s="2384"/>
      <c r="M64" s="2383"/>
      <c r="N64" s="2383"/>
      <c r="O64" s="2384"/>
      <c r="P64" s="2383"/>
      <c r="Q64" s="2383"/>
      <c r="R64" s="2385"/>
    </row>
    <row r="65" spans="2:18" s="2355" customFormat="1">
      <c r="B65" s="2383"/>
      <c r="C65" s="2383"/>
      <c r="D65" s="2383"/>
      <c r="E65" s="2383"/>
      <c r="F65" s="2383"/>
      <c r="G65" s="2384"/>
      <c r="H65" s="2383"/>
      <c r="I65" s="2384"/>
      <c r="J65" s="2383"/>
      <c r="K65" s="2383"/>
      <c r="L65" s="2384"/>
      <c r="M65" s="2383"/>
      <c r="N65" s="2383"/>
      <c r="O65" s="2384"/>
      <c r="P65" s="2383"/>
      <c r="Q65" s="2383"/>
      <c r="R65" s="2385"/>
    </row>
    <row r="66" spans="2:18" s="2355" customFormat="1">
      <c r="B66" s="2383"/>
      <c r="C66" s="2383"/>
      <c r="D66" s="2383"/>
      <c r="E66" s="2383"/>
      <c r="F66" s="2383"/>
      <c r="G66" s="2384"/>
      <c r="H66" s="2383"/>
      <c r="I66" s="2384"/>
      <c r="J66" s="2383"/>
      <c r="K66" s="2383"/>
      <c r="L66" s="2384"/>
      <c r="M66" s="2383"/>
      <c r="N66" s="2383"/>
      <c r="O66" s="2384"/>
      <c r="P66" s="2383"/>
      <c r="Q66" s="2383"/>
      <c r="R66" s="2385"/>
    </row>
    <row r="67" spans="2:18" s="2355" customFormat="1">
      <c r="B67" s="2383"/>
      <c r="C67" s="2383"/>
      <c r="D67" s="2383"/>
      <c r="E67" s="2383"/>
      <c r="F67" s="2383"/>
      <c r="G67" s="2384"/>
      <c r="H67" s="2383"/>
      <c r="I67" s="2384"/>
      <c r="J67" s="2383"/>
      <c r="K67" s="2383"/>
      <c r="L67" s="2384"/>
      <c r="M67" s="2383"/>
      <c r="N67" s="2383"/>
      <c r="O67" s="2384"/>
      <c r="P67" s="2383"/>
      <c r="Q67" s="2383"/>
      <c r="R67" s="2385"/>
    </row>
    <row r="68" spans="2:18" s="2355" customFormat="1">
      <c r="B68" s="2383"/>
      <c r="C68" s="2383"/>
      <c r="D68" s="2383"/>
      <c r="E68" s="2383"/>
      <c r="F68" s="2383"/>
      <c r="G68" s="2384"/>
      <c r="H68" s="2383"/>
      <c r="I68" s="2384"/>
      <c r="J68" s="2383"/>
      <c r="K68" s="2383"/>
      <c r="L68" s="2384"/>
      <c r="M68" s="2383"/>
      <c r="N68" s="2383"/>
      <c r="O68" s="2384"/>
      <c r="P68" s="2383"/>
      <c r="Q68" s="2383"/>
      <c r="R68" s="2385"/>
    </row>
    <row r="69" spans="2:18" s="2355" customFormat="1">
      <c r="B69" s="2383"/>
      <c r="C69" s="2383"/>
      <c r="D69" s="2383"/>
      <c r="E69" s="2383"/>
      <c r="F69" s="2383"/>
      <c r="G69" s="2384"/>
      <c r="H69" s="2383"/>
      <c r="I69" s="2384"/>
      <c r="J69" s="2383"/>
      <c r="K69" s="2383"/>
      <c r="L69" s="2384"/>
      <c r="M69" s="2383"/>
      <c r="N69" s="2383"/>
      <c r="O69" s="2384"/>
      <c r="P69" s="2383"/>
      <c r="Q69" s="2383"/>
      <c r="R69" s="2385"/>
    </row>
    <row r="70" spans="2:18" s="2355" customFormat="1">
      <c r="B70" s="2383"/>
      <c r="C70" s="2383"/>
      <c r="D70" s="2383"/>
      <c r="E70" s="2383"/>
      <c r="F70" s="2383"/>
      <c r="G70" s="2384"/>
      <c r="H70" s="2383"/>
      <c r="I70" s="2384"/>
      <c r="J70" s="2383"/>
      <c r="K70" s="2383"/>
      <c r="L70" s="2384"/>
      <c r="M70" s="2383"/>
      <c r="N70" s="2383"/>
      <c r="O70" s="2384"/>
      <c r="P70" s="2383"/>
      <c r="Q70" s="2383"/>
      <c r="R70" s="2385"/>
    </row>
    <row r="71" spans="2:18" s="2355" customFormat="1">
      <c r="B71" s="2383"/>
      <c r="C71" s="2383"/>
      <c r="D71" s="2383"/>
      <c r="E71" s="2383"/>
      <c r="F71" s="2383"/>
      <c r="G71" s="2384"/>
      <c r="H71" s="2383"/>
      <c r="I71" s="2384"/>
      <c r="J71" s="2383"/>
      <c r="K71" s="2383"/>
      <c r="L71" s="2384"/>
      <c r="M71" s="2383"/>
      <c r="N71" s="2383"/>
      <c r="O71" s="2384"/>
      <c r="P71" s="2383"/>
      <c r="Q71" s="2383"/>
      <c r="R71" s="2385"/>
    </row>
    <row r="72" spans="2:18" s="2355" customFormat="1">
      <c r="B72" s="2383"/>
      <c r="C72" s="2383"/>
      <c r="D72" s="2383"/>
      <c r="E72" s="2383"/>
      <c r="F72" s="2383"/>
      <c r="G72" s="2384"/>
      <c r="H72" s="2383"/>
      <c r="I72" s="2384"/>
      <c r="J72" s="2383"/>
      <c r="K72" s="2383"/>
      <c r="L72" s="2384"/>
      <c r="M72" s="2383"/>
      <c r="N72" s="2383"/>
      <c r="O72" s="2384"/>
      <c r="P72" s="2383"/>
      <c r="Q72" s="2383"/>
      <c r="R72" s="2385"/>
    </row>
    <row r="73" spans="2:18" s="2355" customFormat="1">
      <c r="B73" s="2383"/>
      <c r="C73" s="2383"/>
      <c r="D73" s="2383"/>
      <c r="E73" s="2383"/>
      <c r="F73" s="2383"/>
      <c r="G73" s="2384"/>
      <c r="H73" s="2383"/>
      <c r="I73" s="2384"/>
      <c r="J73" s="2383"/>
      <c r="K73" s="2383"/>
      <c r="L73" s="2384"/>
      <c r="M73" s="2383"/>
      <c r="N73" s="2383"/>
      <c r="O73" s="2384"/>
      <c r="P73" s="2383"/>
      <c r="Q73" s="2383"/>
      <c r="R73" s="2385"/>
    </row>
    <row r="74" spans="2:18" s="2355" customFormat="1">
      <c r="B74" s="2383"/>
      <c r="C74" s="2383"/>
      <c r="D74" s="2383"/>
      <c r="E74" s="2383"/>
      <c r="F74" s="2383"/>
      <c r="G74" s="2384"/>
      <c r="H74" s="2383"/>
      <c r="I74" s="2384"/>
      <c r="J74" s="2383"/>
      <c r="K74" s="2383"/>
      <c r="L74" s="2384"/>
      <c r="M74" s="2383"/>
      <c r="N74" s="2383"/>
      <c r="O74" s="2384"/>
      <c r="P74" s="2383"/>
      <c r="Q74" s="2383"/>
      <c r="R74" s="2385"/>
    </row>
    <row r="75" spans="2:18" s="2355" customFormat="1">
      <c r="B75" s="2383"/>
      <c r="C75" s="2383"/>
      <c r="D75" s="2383"/>
      <c r="E75" s="2383"/>
      <c r="F75" s="2383"/>
      <c r="G75" s="2384"/>
      <c r="H75" s="2383"/>
      <c r="I75" s="2384"/>
      <c r="J75" s="2383"/>
      <c r="K75" s="2383"/>
      <c r="L75" s="2384"/>
      <c r="M75" s="2383"/>
      <c r="N75" s="2383"/>
      <c r="O75" s="2384"/>
      <c r="P75" s="2383"/>
      <c r="Q75" s="2383"/>
      <c r="R75" s="2385"/>
    </row>
    <row r="76" spans="2:18" s="2355" customFormat="1">
      <c r="B76" s="2383"/>
      <c r="C76" s="2383"/>
      <c r="D76" s="2383"/>
      <c r="E76" s="2383"/>
      <c r="F76" s="2383"/>
      <c r="G76" s="2384"/>
      <c r="H76" s="2383"/>
      <c r="I76" s="2384"/>
      <c r="J76" s="2383"/>
      <c r="K76" s="2383"/>
      <c r="L76" s="2384"/>
      <c r="M76" s="2383"/>
      <c r="N76" s="2383"/>
      <c r="O76" s="2384"/>
      <c r="P76" s="2383"/>
      <c r="Q76" s="2383"/>
      <c r="R76" s="2385"/>
    </row>
    <row r="77" spans="2:18" s="2355" customFormat="1">
      <c r="B77" s="2383"/>
      <c r="C77" s="2383"/>
      <c r="D77" s="2383"/>
      <c r="E77" s="2383"/>
      <c r="F77" s="2383"/>
      <c r="G77" s="2384"/>
      <c r="H77" s="2383"/>
      <c r="I77" s="2384"/>
      <c r="J77" s="2383"/>
      <c r="K77" s="2383"/>
      <c r="L77" s="2384"/>
      <c r="M77" s="2383"/>
      <c r="N77" s="2383"/>
      <c r="O77" s="2384"/>
      <c r="P77" s="2383"/>
      <c r="Q77" s="2383"/>
      <c r="R77" s="2385"/>
    </row>
    <row r="78" spans="2:18" s="2355" customFormat="1">
      <c r="B78" s="2383"/>
      <c r="C78" s="2383"/>
      <c r="D78" s="2383"/>
      <c r="E78" s="2383"/>
      <c r="F78" s="2383"/>
      <c r="G78" s="2384"/>
      <c r="H78" s="2383"/>
      <c r="I78" s="2384"/>
      <c r="J78" s="2383"/>
      <c r="K78" s="2383"/>
      <c r="L78" s="2384"/>
      <c r="M78" s="2383"/>
      <c r="N78" s="2383"/>
      <c r="O78" s="2384"/>
      <c r="P78" s="2383"/>
      <c r="Q78" s="2383"/>
      <c r="R78" s="2385"/>
    </row>
    <row r="79" spans="2:18" s="2355" customFormat="1">
      <c r="B79" s="2383"/>
      <c r="C79" s="2383"/>
      <c r="D79" s="2383"/>
      <c r="E79" s="2383"/>
      <c r="F79" s="2383"/>
      <c r="G79" s="2384"/>
      <c r="H79" s="2383"/>
      <c r="I79" s="2384"/>
      <c r="J79" s="2383"/>
      <c r="K79" s="2383"/>
      <c r="L79" s="2384"/>
      <c r="M79" s="2383"/>
      <c r="N79" s="2383"/>
      <c r="O79" s="2384"/>
      <c r="P79" s="2383"/>
      <c r="Q79" s="2383"/>
      <c r="R79" s="2385"/>
    </row>
    <row r="80" spans="2:18" s="2355" customFormat="1">
      <c r="B80" s="2383"/>
      <c r="C80" s="2383"/>
      <c r="D80" s="2383"/>
      <c r="E80" s="2383"/>
      <c r="F80" s="2383"/>
      <c r="G80" s="2384"/>
      <c r="H80" s="2383"/>
      <c r="I80" s="2384"/>
      <c r="J80" s="2383"/>
      <c r="K80" s="2383"/>
      <c r="L80" s="2384"/>
      <c r="M80" s="2383"/>
      <c r="N80" s="2383"/>
      <c r="O80" s="2384"/>
      <c r="P80" s="2383"/>
      <c r="Q80" s="2383"/>
      <c r="R80" s="2385"/>
    </row>
    <row r="81" spans="2:18" s="2355" customFormat="1">
      <c r="B81" s="2383"/>
      <c r="C81" s="2383"/>
      <c r="D81" s="2383"/>
      <c r="E81" s="2383"/>
      <c r="F81" s="2383"/>
      <c r="G81" s="2384"/>
      <c r="H81" s="2383"/>
      <c r="I81" s="2384"/>
      <c r="J81" s="2383"/>
      <c r="K81" s="2383"/>
      <c r="L81" s="2384"/>
      <c r="M81" s="2383"/>
      <c r="N81" s="2383"/>
      <c r="O81" s="2384"/>
      <c r="P81" s="2383"/>
      <c r="Q81" s="2383"/>
      <c r="R81" s="2385"/>
    </row>
    <row r="82" spans="2:18" s="2355" customFormat="1">
      <c r="B82" s="2383"/>
      <c r="C82" s="2383"/>
      <c r="D82" s="2383"/>
      <c r="E82" s="2383"/>
      <c r="F82" s="2383"/>
      <c r="G82" s="2384"/>
      <c r="H82" s="2383"/>
      <c r="I82" s="2384"/>
      <c r="J82" s="2383"/>
      <c r="K82" s="2383"/>
      <c r="L82" s="2384"/>
      <c r="M82" s="2383"/>
      <c r="N82" s="2383"/>
      <c r="O82" s="2384"/>
      <c r="P82" s="2383"/>
      <c r="Q82" s="2383"/>
      <c r="R82" s="2385"/>
    </row>
    <row r="83" spans="2:18" s="2355" customFormat="1">
      <c r="B83" s="2383"/>
      <c r="C83" s="2383"/>
      <c r="D83" s="2383"/>
      <c r="E83" s="2383"/>
      <c r="F83" s="2383"/>
      <c r="G83" s="2384"/>
      <c r="H83" s="2383"/>
      <c r="I83" s="2384"/>
      <c r="J83" s="2383"/>
      <c r="K83" s="2383"/>
      <c r="L83" s="2384"/>
      <c r="M83" s="2383"/>
      <c r="N83" s="2383"/>
      <c r="O83" s="2384"/>
      <c r="P83" s="2383"/>
      <c r="Q83" s="2383"/>
      <c r="R83" s="2385"/>
    </row>
    <row r="84" spans="2:18" s="2355" customFormat="1">
      <c r="B84" s="2383"/>
      <c r="C84" s="2383"/>
      <c r="D84" s="2383"/>
      <c r="E84" s="2383"/>
      <c r="F84" s="2383"/>
      <c r="G84" s="2384"/>
      <c r="H84" s="2383"/>
      <c r="I84" s="2384"/>
      <c r="J84" s="2383"/>
      <c r="K84" s="2383"/>
      <c r="L84" s="2384"/>
      <c r="M84" s="2383"/>
      <c r="N84" s="2383"/>
      <c r="O84" s="2384"/>
      <c r="P84" s="2383"/>
      <c r="Q84" s="2383"/>
      <c r="R84" s="2385"/>
    </row>
    <row r="85" spans="2:18" s="2355" customFormat="1">
      <c r="B85" s="2383"/>
      <c r="C85" s="2383"/>
      <c r="D85" s="2383"/>
      <c r="E85" s="2383"/>
      <c r="F85" s="2383"/>
      <c r="G85" s="2384"/>
      <c r="H85" s="2383"/>
      <c r="I85" s="2384"/>
      <c r="J85" s="2383"/>
      <c r="K85" s="2383"/>
      <c r="L85" s="2384"/>
      <c r="M85" s="2383"/>
      <c r="N85" s="2383"/>
      <c r="O85" s="2384"/>
      <c r="P85" s="2383"/>
      <c r="Q85" s="2383"/>
      <c r="R85" s="2385"/>
    </row>
    <row r="86" spans="2:18" s="2355" customFormat="1">
      <c r="B86" s="2383"/>
      <c r="C86" s="2383"/>
      <c r="D86" s="2383"/>
      <c r="E86" s="2383"/>
      <c r="F86" s="2383"/>
      <c r="G86" s="2384"/>
      <c r="H86" s="2383"/>
      <c r="I86" s="2384"/>
      <c r="J86" s="2383"/>
      <c r="K86" s="2383"/>
      <c r="L86" s="2384"/>
      <c r="M86" s="2383"/>
      <c r="N86" s="2383"/>
      <c r="O86" s="2384"/>
      <c r="P86" s="2383"/>
      <c r="Q86" s="2383"/>
      <c r="R86" s="2385"/>
    </row>
    <row r="87" spans="2:18" s="2355" customFormat="1">
      <c r="B87" s="2383"/>
      <c r="C87" s="2383"/>
      <c r="D87" s="2383"/>
      <c r="E87" s="2383"/>
      <c r="F87" s="2383"/>
      <c r="G87" s="2384"/>
      <c r="H87" s="2383"/>
      <c r="I87" s="2384"/>
      <c r="J87" s="2383"/>
      <c r="K87" s="2383"/>
      <c r="L87" s="2384"/>
      <c r="M87" s="2383"/>
      <c r="N87" s="2383"/>
      <c r="O87" s="2384"/>
      <c r="P87" s="2383"/>
      <c r="Q87" s="2383"/>
      <c r="R87" s="2385"/>
    </row>
    <row r="88" spans="2:18" s="2355" customFormat="1">
      <c r="B88" s="2383"/>
      <c r="C88" s="2383"/>
      <c r="D88" s="2383"/>
      <c r="E88" s="2383"/>
      <c r="F88" s="2383"/>
      <c r="G88" s="2384"/>
      <c r="H88" s="2383"/>
      <c r="I88" s="2384"/>
      <c r="J88" s="2383"/>
      <c r="K88" s="2383"/>
      <c r="L88" s="2384"/>
      <c r="M88" s="2383"/>
      <c r="N88" s="2383"/>
      <c r="O88" s="2384"/>
      <c r="P88" s="2383"/>
      <c r="Q88" s="2383"/>
      <c r="R88" s="2385"/>
    </row>
    <row r="89" spans="2:18" s="2355" customFormat="1">
      <c r="B89" s="2383"/>
      <c r="C89" s="2383"/>
      <c r="D89" s="2383"/>
      <c r="E89" s="2383"/>
      <c r="F89" s="2383"/>
      <c r="G89" s="2384"/>
      <c r="H89" s="2383"/>
      <c r="I89" s="2384"/>
      <c r="J89" s="2383"/>
      <c r="K89" s="2383"/>
      <c r="L89" s="2384"/>
      <c r="M89" s="2383"/>
      <c r="N89" s="2383"/>
      <c r="O89" s="2384"/>
      <c r="P89" s="2383"/>
      <c r="Q89" s="2383"/>
      <c r="R89" s="2385"/>
    </row>
    <row r="90" spans="2:18" s="2355" customFormat="1">
      <c r="B90" s="2383"/>
      <c r="C90" s="2383"/>
      <c r="D90" s="2383"/>
      <c r="E90" s="2383"/>
      <c r="F90" s="2383"/>
      <c r="G90" s="2384"/>
      <c r="H90" s="2383"/>
      <c r="I90" s="2384"/>
      <c r="J90" s="2383"/>
      <c r="K90" s="2383"/>
      <c r="L90" s="2384"/>
      <c r="M90" s="2383"/>
      <c r="N90" s="2383"/>
      <c r="O90" s="2384"/>
      <c r="P90" s="2383"/>
      <c r="Q90" s="2383"/>
      <c r="R90" s="2385"/>
    </row>
    <row r="91" spans="2:18" s="2355" customFormat="1">
      <c r="B91" s="2383"/>
      <c r="C91" s="2383"/>
      <c r="D91" s="2383"/>
      <c r="E91" s="2383"/>
      <c r="F91" s="2383"/>
      <c r="G91" s="2384"/>
      <c r="H91" s="2383"/>
      <c r="I91" s="2384"/>
      <c r="J91" s="2383"/>
      <c r="K91" s="2383"/>
      <c r="L91" s="2384"/>
      <c r="M91" s="2383"/>
      <c r="N91" s="2383"/>
      <c r="O91" s="2384"/>
      <c r="P91" s="2383"/>
      <c r="Q91" s="2383"/>
      <c r="R91" s="2385"/>
    </row>
    <row r="92" spans="2:18" s="2355" customFormat="1">
      <c r="B92" s="2383"/>
      <c r="C92" s="2383"/>
      <c r="D92" s="2383"/>
      <c r="E92" s="2383"/>
      <c r="F92" s="2383"/>
      <c r="G92" s="2384"/>
      <c r="H92" s="2383"/>
      <c r="I92" s="2384"/>
      <c r="J92" s="2383"/>
      <c r="K92" s="2383"/>
      <c r="L92" s="2384"/>
      <c r="M92" s="2383"/>
      <c r="N92" s="2383"/>
      <c r="O92" s="2384"/>
      <c r="P92" s="2383"/>
      <c r="Q92" s="2383"/>
      <c r="R92" s="2385"/>
    </row>
    <row r="93" spans="2:18" s="2355" customFormat="1">
      <c r="B93" s="2383"/>
      <c r="C93" s="2383"/>
      <c r="D93" s="2383"/>
      <c r="E93" s="2383"/>
      <c r="F93" s="2383"/>
      <c r="G93" s="2384"/>
      <c r="H93" s="2383"/>
      <c r="I93" s="2384"/>
      <c r="J93" s="2383"/>
      <c r="K93" s="2383"/>
      <c r="L93" s="2384"/>
      <c r="M93" s="2383"/>
      <c r="N93" s="2383"/>
      <c r="O93" s="2384"/>
      <c r="P93" s="2383"/>
      <c r="Q93" s="2383"/>
      <c r="R93" s="2385"/>
    </row>
    <row r="94" spans="2:18" s="2355" customFormat="1">
      <c r="B94" s="2383"/>
      <c r="C94" s="2383"/>
      <c r="D94" s="2383"/>
      <c r="E94" s="2383"/>
      <c r="F94" s="2383"/>
      <c r="G94" s="2384"/>
      <c r="H94" s="2383"/>
      <c r="I94" s="2384"/>
      <c r="J94" s="2383"/>
      <c r="K94" s="2383"/>
      <c r="L94" s="2384"/>
      <c r="M94" s="2383"/>
      <c r="N94" s="2383"/>
      <c r="O94" s="2384"/>
      <c r="P94" s="2383"/>
      <c r="Q94" s="2383"/>
      <c r="R94" s="2385"/>
    </row>
    <row r="95" spans="2:18" s="2355" customFormat="1">
      <c r="B95" s="2383"/>
      <c r="C95" s="2383"/>
      <c r="D95" s="2383"/>
      <c r="E95" s="2383"/>
      <c r="F95" s="2383"/>
      <c r="G95" s="2384"/>
      <c r="H95" s="2383"/>
      <c r="I95" s="2384"/>
      <c r="J95" s="2383"/>
      <c r="K95" s="2383"/>
      <c r="L95" s="2384"/>
      <c r="M95" s="2383"/>
      <c r="N95" s="2383"/>
      <c r="O95" s="2384"/>
      <c r="P95" s="2383"/>
      <c r="Q95" s="2383"/>
      <c r="R95" s="2385"/>
    </row>
    <row r="96" spans="2:18" s="2355" customFormat="1">
      <c r="B96" s="2383"/>
      <c r="C96" s="2383"/>
      <c r="D96" s="2383"/>
      <c r="E96" s="2383"/>
      <c r="F96" s="2383"/>
      <c r="G96" s="2384"/>
      <c r="H96" s="2383"/>
      <c r="I96" s="2384"/>
      <c r="J96" s="2383"/>
      <c r="K96" s="2383"/>
      <c r="L96" s="2384"/>
      <c r="M96" s="2383"/>
      <c r="N96" s="2383"/>
      <c r="O96" s="2384"/>
      <c r="P96" s="2383"/>
      <c r="Q96" s="2383"/>
      <c r="R96" s="2385"/>
    </row>
    <row r="97" spans="2:18" s="2355" customFormat="1">
      <c r="B97" s="2383"/>
      <c r="C97" s="2383"/>
      <c r="D97" s="2383"/>
      <c r="E97" s="2383"/>
      <c r="F97" s="2383"/>
      <c r="G97" s="2384"/>
      <c r="H97" s="2383"/>
      <c r="I97" s="2384"/>
      <c r="J97" s="2383"/>
      <c r="K97" s="2383"/>
      <c r="L97" s="2384"/>
      <c r="M97" s="2383"/>
      <c r="N97" s="2383"/>
      <c r="O97" s="2384"/>
      <c r="P97" s="2383"/>
      <c r="Q97" s="2383"/>
      <c r="R97" s="2385"/>
    </row>
    <row r="98" spans="2:18" s="2355" customFormat="1">
      <c r="B98" s="2383"/>
      <c r="C98" s="2383"/>
      <c r="D98" s="2383"/>
      <c r="E98" s="2383"/>
      <c r="F98" s="2383"/>
      <c r="G98" s="2384"/>
      <c r="H98" s="2383"/>
      <c r="I98" s="2384"/>
      <c r="J98" s="2383"/>
      <c r="K98" s="2383"/>
      <c r="L98" s="2384"/>
      <c r="M98" s="2383"/>
      <c r="N98" s="2383"/>
      <c r="O98" s="2384"/>
      <c r="P98" s="2383"/>
      <c r="Q98" s="2383"/>
      <c r="R98" s="2385"/>
    </row>
    <row r="99" spans="2:18" s="2355" customFormat="1">
      <c r="B99" s="2383"/>
      <c r="C99" s="2383"/>
      <c r="D99" s="2383"/>
      <c r="E99" s="2383"/>
      <c r="F99" s="2383"/>
      <c r="G99" s="2384"/>
      <c r="H99" s="2383"/>
      <c r="I99" s="2384"/>
      <c r="J99" s="2383"/>
      <c r="K99" s="2383"/>
      <c r="L99" s="2384"/>
      <c r="M99" s="2383"/>
      <c r="N99" s="2383"/>
      <c r="O99" s="2384"/>
      <c r="P99" s="2383"/>
      <c r="Q99" s="2383"/>
      <c r="R99" s="2385"/>
    </row>
    <row r="100" spans="2:18" s="2355" customFormat="1">
      <c r="B100" s="2383"/>
      <c r="C100" s="2383"/>
      <c r="D100" s="2383"/>
      <c r="E100" s="2383"/>
      <c r="F100" s="2383"/>
      <c r="G100" s="2384"/>
      <c r="H100" s="2383"/>
      <c r="I100" s="2384"/>
      <c r="J100" s="2383"/>
      <c r="K100" s="2383"/>
      <c r="L100" s="2384"/>
      <c r="M100" s="2383"/>
      <c r="N100" s="2383"/>
      <c r="O100" s="2384"/>
      <c r="P100" s="2383"/>
      <c r="Q100" s="2383"/>
      <c r="R100" s="2385"/>
    </row>
    <row r="101" spans="2:18" s="2355" customFormat="1">
      <c r="B101" s="2383"/>
      <c r="C101" s="2383"/>
      <c r="D101" s="2383"/>
      <c r="E101" s="2383"/>
      <c r="F101" s="2383"/>
      <c r="G101" s="2384"/>
      <c r="H101" s="2383"/>
      <c r="I101" s="2384"/>
      <c r="J101" s="2383"/>
      <c r="K101" s="2383"/>
      <c r="L101" s="2384"/>
      <c r="M101" s="2383"/>
      <c r="N101" s="2383"/>
      <c r="O101" s="2384"/>
      <c r="P101" s="2383"/>
      <c r="Q101" s="2383"/>
      <c r="R101" s="2385"/>
    </row>
    <row r="102" spans="2:18" s="2355" customFormat="1">
      <c r="B102" s="2383"/>
      <c r="C102" s="2383"/>
      <c r="D102" s="2383"/>
      <c r="E102" s="2383"/>
      <c r="F102" s="2383"/>
      <c r="G102" s="2384"/>
      <c r="H102" s="2383"/>
      <c r="I102" s="2384"/>
      <c r="J102" s="2383"/>
      <c r="K102" s="2383"/>
      <c r="L102" s="2384"/>
      <c r="M102" s="2383"/>
      <c r="N102" s="2383"/>
      <c r="O102" s="2384"/>
      <c r="P102" s="2383"/>
      <c r="Q102" s="2383"/>
      <c r="R102" s="2385"/>
    </row>
    <row r="103" spans="2:18" s="2355" customFormat="1">
      <c r="B103" s="2383"/>
      <c r="C103" s="2383"/>
      <c r="D103" s="2383"/>
      <c r="E103" s="2383"/>
      <c r="F103" s="2383"/>
      <c r="G103" s="2384"/>
      <c r="H103" s="2383"/>
      <c r="I103" s="2384"/>
      <c r="J103" s="2383"/>
      <c r="K103" s="2383"/>
      <c r="L103" s="2384"/>
      <c r="M103" s="2383"/>
      <c r="N103" s="2383"/>
      <c r="O103" s="2384"/>
      <c r="P103" s="2383"/>
      <c r="Q103" s="2383"/>
      <c r="R103" s="2385"/>
    </row>
    <row r="104" spans="2:18" s="2355" customFormat="1">
      <c r="B104" s="2383"/>
      <c r="C104" s="2383"/>
      <c r="D104" s="2383"/>
      <c r="E104" s="2383"/>
      <c r="F104" s="2383"/>
      <c r="G104" s="2384"/>
      <c r="H104" s="2383"/>
      <c r="I104" s="2384"/>
      <c r="J104" s="2383"/>
      <c r="K104" s="2383"/>
      <c r="L104" s="2384"/>
      <c r="M104" s="2383"/>
      <c r="N104" s="2383"/>
      <c r="O104" s="2384"/>
      <c r="P104" s="2383"/>
      <c r="Q104" s="2383"/>
      <c r="R104" s="2385"/>
    </row>
    <row r="105" spans="2:18" s="2355" customFormat="1">
      <c r="B105" s="2383"/>
      <c r="C105" s="2383"/>
      <c r="D105" s="2383"/>
      <c r="E105" s="2383"/>
      <c r="F105" s="2383"/>
      <c r="G105" s="2384"/>
      <c r="H105" s="2383"/>
      <c r="I105" s="2384"/>
      <c r="J105" s="2383"/>
      <c r="K105" s="2383"/>
      <c r="L105" s="2384"/>
      <c r="M105" s="2383"/>
      <c r="N105" s="2383"/>
      <c r="O105" s="2384"/>
      <c r="P105" s="2383"/>
      <c r="Q105" s="2383"/>
      <c r="R105" s="2385"/>
    </row>
    <row r="106" spans="2:18" s="2355" customFormat="1">
      <c r="B106" s="2383"/>
      <c r="C106" s="2383"/>
      <c r="D106" s="2383"/>
      <c r="E106" s="2383"/>
      <c r="F106" s="2383"/>
      <c r="G106" s="2384"/>
      <c r="H106" s="2383"/>
      <c r="I106" s="2384"/>
      <c r="J106" s="2383"/>
      <c r="K106" s="2383"/>
      <c r="L106" s="2384"/>
      <c r="M106" s="2383"/>
      <c r="N106" s="2383"/>
      <c r="O106" s="2384"/>
      <c r="P106" s="2383"/>
      <c r="Q106" s="2383"/>
      <c r="R106" s="2385"/>
    </row>
    <row r="107" spans="2:18" s="2355" customFormat="1">
      <c r="B107" s="2383"/>
      <c r="C107" s="2383"/>
      <c r="D107" s="2383"/>
      <c r="E107" s="2383"/>
      <c r="F107" s="2383"/>
      <c r="G107" s="2384"/>
      <c r="H107" s="2383"/>
      <c r="I107" s="2384"/>
      <c r="J107" s="2383"/>
      <c r="K107" s="2383"/>
      <c r="L107" s="2384"/>
      <c r="M107" s="2383"/>
      <c r="N107" s="2383"/>
      <c r="O107" s="2384"/>
      <c r="P107" s="2383"/>
      <c r="Q107" s="2383"/>
      <c r="R107" s="2385"/>
    </row>
    <row r="108" spans="2:18" s="2355" customFormat="1">
      <c r="B108" s="2383"/>
      <c r="C108" s="2383"/>
      <c r="D108" s="2383"/>
      <c r="E108" s="2383"/>
      <c r="F108" s="2383"/>
      <c r="G108" s="2384"/>
      <c r="H108" s="2383"/>
      <c r="I108" s="2384"/>
      <c r="J108" s="2383"/>
      <c r="K108" s="2383"/>
      <c r="L108" s="2384"/>
      <c r="M108" s="2383"/>
      <c r="N108" s="2383"/>
      <c r="O108" s="2384"/>
      <c r="P108" s="2383"/>
      <c r="Q108" s="2383"/>
      <c r="R108" s="2385"/>
    </row>
    <row r="109" spans="2:18" s="2355" customFormat="1">
      <c r="B109" s="2383"/>
      <c r="C109" s="2383"/>
      <c r="D109" s="2383"/>
      <c r="E109" s="2383"/>
      <c r="F109" s="2383"/>
      <c r="G109" s="2384"/>
      <c r="H109" s="2383"/>
      <c r="I109" s="2384"/>
      <c r="J109" s="2383"/>
      <c r="K109" s="2383"/>
      <c r="L109" s="2384"/>
      <c r="M109" s="2383"/>
      <c r="N109" s="2383"/>
      <c r="O109" s="2384"/>
      <c r="P109" s="2383"/>
      <c r="Q109" s="2383"/>
      <c r="R109" s="2385"/>
    </row>
    <row r="110" spans="2:18" s="2355" customFormat="1">
      <c r="B110" s="2383"/>
      <c r="C110" s="2383"/>
      <c r="D110" s="2383"/>
      <c r="E110" s="2383"/>
      <c r="F110" s="2383"/>
      <c r="G110" s="2384"/>
      <c r="H110" s="2383"/>
      <c r="I110" s="2384"/>
      <c r="J110" s="2383"/>
      <c r="K110" s="2383"/>
      <c r="L110" s="2384"/>
      <c r="M110" s="2383"/>
      <c r="N110" s="2383"/>
      <c r="O110" s="2384"/>
      <c r="P110" s="2383"/>
      <c r="Q110" s="2383"/>
      <c r="R110" s="2385"/>
    </row>
    <row r="111" spans="2:18" s="2355" customFormat="1">
      <c r="B111" s="2383"/>
      <c r="C111" s="2383"/>
      <c r="D111" s="2383"/>
      <c r="E111" s="2383"/>
      <c r="F111" s="2383"/>
      <c r="G111" s="2384"/>
      <c r="H111" s="2383"/>
      <c r="I111" s="2384"/>
      <c r="J111" s="2383"/>
      <c r="K111" s="2383"/>
      <c r="L111" s="2384"/>
      <c r="M111" s="2383"/>
      <c r="N111" s="2383"/>
      <c r="O111" s="2384"/>
      <c r="P111" s="2383"/>
      <c r="Q111" s="2383"/>
      <c r="R111" s="2385"/>
    </row>
    <row r="112" spans="2:18" s="2355" customFormat="1">
      <c r="B112" s="2383"/>
      <c r="C112" s="2383"/>
      <c r="D112" s="2383"/>
      <c r="E112" s="2383"/>
      <c r="F112" s="2383"/>
      <c r="G112" s="2384"/>
      <c r="H112" s="2383"/>
      <c r="I112" s="2384"/>
      <c r="J112" s="2383"/>
      <c r="K112" s="2383"/>
      <c r="L112" s="2384"/>
      <c r="M112" s="2383"/>
      <c r="N112" s="2383"/>
      <c r="O112" s="2384"/>
      <c r="P112" s="2383"/>
      <c r="Q112" s="2383"/>
      <c r="R112" s="2385"/>
    </row>
    <row r="113" spans="2:18" s="2355" customFormat="1">
      <c r="B113" s="2383"/>
      <c r="C113" s="2383"/>
      <c r="D113" s="2383"/>
      <c r="E113" s="2383"/>
      <c r="F113" s="2383"/>
      <c r="G113" s="2384"/>
      <c r="H113" s="2383"/>
      <c r="I113" s="2384"/>
      <c r="J113" s="2383"/>
      <c r="K113" s="2383"/>
      <c r="L113" s="2384"/>
      <c r="M113" s="2383"/>
      <c r="N113" s="2383"/>
      <c r="O113" s="2384"/>
      <c r="P113" s="2383"/>
      <c r="Q113" s="2383"/>
      <c r="R113" s="2385"/>
    </row>
    <row r="114" spans="2:18" s="2355" customFormat="1">
      <c r="B114" s="2383"/>
      <c r="C114" s="2383"/>
      <c r="D114" s="2383"/>
      <c r="E114" s="2383"/>
      <c r="F114" s="2383"/>
      <c r="G114" s="2384"/>
      <c r="H114" s="2383"/>
      <c r="I114" s="2384"/>
      <c r="J114" s="2383"/>
      <c r="K114" s="2383"/>
      <c r="L114" s="2384"/>
      <c r="M114" s="2383"/>
      <c r="N114" s="2383"/>
      <c r="O114" s="2384"/>
      <c r="P114" s="2383"/>
      <c r="Q114" s="2383"/>
      <c r="R114" s="2385"/>
    </row>
    <row r="115" spans="2:18" s="2355" customFormat="1">
      <c r="B115" s="2383"/>
      <c r="C115" s="2383"/>
      <c r="D115" s="2383"/>
      <c r="E115" s="2383"/>
      <c r="F115" s="2383"/>
      <c r="G115" s="2384"/>
      <c r="H115" s="2383"/>
      <c r="I115" s="2384"/>
      <c r="J115" s="2383"/>
      <c r="K115" s="2383"/>
      <c r="L115" s="2384"/>
      <c r="M115" s="2383"/>
      <c r="N115" s="2383"/>
      <c r="O115" s="2384"/>
      <c r="P115" s="2383"/>
      <c r="Q115" s="2383"/>
      <c r="R115" s="2385"/>
    </row>
    <row r="116" spans="2:18" s="2355" customFormat="1">
      <c r="B116" s="2383"/>
      <c r="C116" s="2383"/>
      <c r="D116" s="2383"/>
      <c r="E116" s="2383"/>
      <c r="F116" s="2383"/>
      <c r="G116" s="2384"/>
      <c r="H116" s="2383"/>
      <c r="I116" s="2384"/>
      <c r="J116" s="2383"/>
      <c r="K116" s="2383"/>
      <c r="L116" s="2384"/>
      <c r="M116" s="2383"/>
      <c r="N116" s="2383"/>
      <c r="O116" s="2384"/>
      <c r="P116" s="2383"/>
      <c r="Q116" s="2383"/>
      <c r="R116" s="2385"/>
    </row>
    <row r="117" spans="2:18" s="2355" customFormat="1">
      <c r="B117" s="2383"/>
      <c r="C117" s="2383"/>
      <c r="D117" s="2383"/>
      <c r="E117" s="2383"/>
      <c r="F117" s="2383"/>
      <c r="G117" s="2384"/>
      <c r="H117" s="2383"/>
      <c r="I117" s="2384"/>
      <c r="J117" s="2383"/>
      <c r="K117" s="2383"/>
      <c r="L117" s="2384"/>
      <c r="M117" s="2383"/>
      <c r="N117" s="2383"/>
      <c r="O117" s="2384"/>
      <c r="P117" s="2383"/>
      <c r="Q117" s="2383"/>
      <c r="R117" s="2385"/>
    </row>
    <row r="118" spans="2:18" s="2355" customFormat="1">
      <c r="B118" s="2383"/>
      <c r="C118" s="2383"/>
      <c r="D118" s="2383"/>
      <c r="E118" s="2383"/>
      <c r="F118" s="2383"/>
      <c r="G118" s="2384"/>
      <c r="H118" s="2383"/>
      <c r="I118" s="2384"/>
      <c r="J118" s="2383"/>
      <c r="K118" s="2383"/>
      <c r="L118" s="2384"/>
      <c r="M118" s="2383"/>
      <c r="N118" s="2383"/>
      <c r="O118" s="2384"/>
      <c r="P118" s="2383"/>
      <c r="Q118" s="2383"/>
      <c r="R118" s="2385"/>
    </row>
    <row r="119" spans="2:18" s="2355" customFormat="1">
      <c r="B119" s="2383"/>
      <c r="C119" s="2383"/>
      <c r="D119" s="2383"/>
      <c r="E119" s="2383"/>
      <c r="F119" s="2383"/>
      <c r="G119" s="2384"/>
      <c r="H119" s="2383"/>
      <c r="I119" s="2384"/>
      <c r="J119" s="2383"/>
      <c r="K119" s="2383"/>
      <c r="L119" s="2384"/>
      <c r="M119" s="2383"/>
      <c r="N119" s="2383"/>
      <c r="O119" s="2384"/>
      <c r="P119" s="2383"/>
      <c r="Q119" s="2383"/>
      <c r="R119" s="2385"/>
    </row>
    <row r="120" spans="2:18" s="2355" customFormat="1">
      <c r="B120" s="2383"/>
      <c r="C120" s="2383"/>
      <c r="D120" s="2383"/>
      <c r="E120" s="2383"/>
      <c r="F120" s="2383"/>
      <c r="G120" s="2384"/>
      <c r="H120" s="2383"/>
      <c r="I120" s="2384"/>
      <c r="J120" s="2383"/>
      <c r="K120" s="2383"/>
      <c r="L120" s="2384"/>
      <c r="M120" s="2383"/>
      <c r="N120" s="2383"/>
      <c r="O120" s="2384"/>
      <c r="P120" s="2383"/>
      <c r="Q120" s="2383"/>
      <c r="R120" s="2385"/>
    </row>
    <row r="121" spans="2:18" s="2355" customFormat="1">
      <c r="B121" s="2383"/>
      <c r="C121" s="2383"/>
      <c r="D121" s="2383"/>
      <c r="E121" s="2383"/>
      <c r="F121" s="2383"/>
      <c r="G121" s="2384"/>
      <c r="H121" s="2383"/>
      <c r="I121" s="2384"/>
      <c r="J121" s="2383"/>
      <c r="K121" s="2383"/>
      <c r="L121" s="2384"/>
      <c r="M121" s="2383"/>
      <c r="N121" s="2383"/>
      <c r="O121" s="2384"/>
      <c r="P121" s="2383"/>
      <c r="Q121" s="2383"/>
      <c r="R121" s="2385"/>
    </row>
    <row r="122" spans="2:18" s="2355" customFormat="1">
      <c r="B122" s="2383"/>
      <c r="C122" s="2383"/>
      <c r="D122" s="2383"/>
      <c r="E122" s="2383"/>
      <c r="F122" s="2383"/>
      <c r="G122" s="2384"/>
      <c r="H122" s="2383"/>
      <c r="I122" s="2384"/>
      <c r="J122" s="2383"/>
      <c r="K122" s="2383"/>
      <c r="L122" s="2384"/>
      <c r="M122" s="2383"/>
      <c r="N122" s="2383"/>
      <c r="O122" s="2384"/>
      <c r="P122" s="2383"/>
      <c r="Q122" s="2383"/>
      <c r="R122" s="2385"/>
    </row>
    <row r="123" spans="2:18" s="2355" customFormat="1">
      <c r="B123" s="2383"/>
      <c r="C123" s="2383"/>
      <c r="D123" s="2383"/>
      <c r="E123" s="2383"/>
      <c r="F123" s="2383"/>
      <c r="G123" s="2384"/>
      <c r="H123" s="2383"/>
      <c r="I123" s="2384"/>
      <c r="J123" s="2383"/>
      <c r="K123" s="2383"/>
      <c r="L123" s="2384"/>
      <c r="M123" s="2383"/>
      <c r="N123" s="2383"/>
      <c r="O123" s="2384"/>
      <c r="P123" s="2383"/>
      <c r="Q123" s="2383"/>
      <c r="R123" s="2385"/>
    </row>
    <row r="124" spans="2:18" s="2355" customFormat="1">
      <c r="B124" s="2383"/>
      <c r="C124" s="2383"/>
      <c r="D124" s="2383"/>
      <c r="E124" s="2383"/>
      <c r="F124" s="2383"/>
      <c r="G124" s="2384"/>
      <c r="H124" s="2383"/>
      <c r="I124" s="2384"/>
      <c r="J124" s="2383"/>
      <c r="K124" s="2383"/>
      <c r="L124" s="2384"/>
      <c r="M124" s="2383"/>
      <c r="N124" s="2383"/>
      <c r="O124" s="2384"/>
      <c r="P124" s="2383"/>
      <c r="Q124" s="2383"/>
      <c r="R124" s="2385"/>
    </row>
    <row r="125" spans="2:18" s="2355" customFormat="1">
      <c r="B125" s="2383"/>
      <c r="C125" s="2383"/>
      <c r="D125" s="2383"/>
      <c r="E125" s="2383"/>
      <c r="F125" s="2383"/>
      <c r="G125" s="2384"/>
      <c r="H125" s="2383"/>
      <c r="I125" s="2384"/>
      <c r="J125" s="2383"/>
      <c r="K125" s="2383"/>
      <c r="L125" s="2384"/>
      <c r="M125" s="2383"/>
      <c r="N125" s="2383"/>
      <c r="O125" s="2384"/>
      <c r="P125" s="2383"/>
      <c r="Q125" s="2383"/>
      <c r="R125" s="2385"/>
    </row>
    <row r="126" spans="2:18" s="2355" customFormat="1">
      <c r="B126" s="2383"/>
      <c r="C126" s="2383"/>
      <c r="D126" s="2383"/>
      <c r="E126" s="2383"/>
      <c r="F126" s="2383"/>
      <c r="G126" s="2384"/>
      <c r="H126" s="2383"/>
      <c r="I126" s="2384"/>
      <c r="J126" s="2383"/>
      <c r="K126" s="2383"/>
      <c r="L126" s="2384"/>
      <c r="M126" s="2383"/>
      <c r="N126" s="2383"/>
      <c r="O126" s="2384"/>
      <c r="P126" s="2383"/>
      <c r="Q126" s="2383"/>
      <c r="R126" s="2385"/>
    </row>
    <row r="127" spans="2:18" s="2355" customFormat="1">
      <c r="B127" s="2383"/>
      <c r="C127" s="2383"/>
      <c r="D127" s="2383"/>
      <c r="E127" s="2383"/>
      <c r="F127" s="2383"/>
      <c r="G127" s="2384"/>
      <c r="H127" s="2383"/>
      <c r="I127" s="2384"/>
      <c r="J127" s="2383"/>
      <c r="K127" s="2383"/>
      <c r="L127" s="2384"/>
      <c r="M127" s="2383"/>
      <c r="N127" s="2383"/>
      <c r="O127" s="2384"/>
      <c r="P127" s="2383"/>
      <c r="Q127" s="2383"/>
      <c r="R127" s="2385"/>
    </row>
    <row r="128" spans="2:18" s="2355" customFormat="1">
      <c r="B128" s="2383"/>
      <c r="C128" s="2383"/>
      <c r="D128" s="2383"/>
      <c r="E128" s="2383"/>
      <c r="F128" s="2383"/>
      <c r="G128" s="2384"/>
      <c r="H128" s="2383"/>
      <c r="I128" s="2384"/>
      <c r="J128" s="2383"/>
      <c r="K128" s="2383"/>
      <c r="L128" s="2384"/>
      <c r="M128" s="2383"/>
      <c r="N128" s="2383"/>
      <c r="O128" s="2384"/>
      <c r="P128" s="2383"/>
      <c r="Q128" s="2383"/>
      <c r="R128" s="2385"/>
    </row>
    <row r="129" spans="2:18" s="2355" customFormat="1">
      <c r="B129" s="2383"/>
      <c r="C129" s="2383"/>
      <c r="D129" s="2383"/>
      <c r="E129" s="2383"/>
      <c r="F129" s="2383"/>
      <c r="G129" s="2384"/>
      <c r="H129" s="2383"/>
      <c r="I129" s="2384"/>
      <c r="J129" s="2383"/>
      <c r="K129" s="2383"/>
      <c r="L129" s="2384"/>
      <c r="M129" s="2383"/>
      <c r="N129" s="2383"/>
      <c r="O129" s="2384"/>
      <c r="P129" s="2383"/>
      <c r="Q129" s="2383"/>
      <c r="R129" s="2385"/>
    </row>
    <row r="130" spans="2:18" s="2355" customFormat="1">
      <c r="B130" s="2383"/>
      <c r="C130" s="2383"/>
      <c r="D130" s="2383"/>
      <c r="E130" s="2383"/>
      <c r="F130" s="2383"/>
      <c r="G130" s="2384"/>
      <c r="H130" s="2383"/>
      <c r="I130" s="2384"/>
      <c r="J130" s="2383"/>
      <c r="K130" s="2383"/>
      <c r="L130" s="2384"/>
      <c r="M130" s="2383"/>
      <c r="N130" s="2383"/>
      <c r="O130" s="2384"/>
      <c r="P130" s="2383"/>
      <c r="Q130" s="2383"/>
      <c r="R130" s="2385"/>
    </row>
    <row r="131" spans="2:18" s="2355" customFormat="1">
      <c r="B131" s="2383"/>
      <c r="C131" s="2383"/>
      <c r="D131" s="2383"/>
      <c r="E131" s="2383"/>
      <c r="F131" s="2383"/>
      <c r="G131" s="2384"/>
      <c r="H131" s="2383"/>
      <c r="I131" s="2384"/>
      <c r="J131" s="2383"/>
      <c r="K131" s="2383"/>
      <c r="L131" s="2384"/>
      <c r="M131" s="2383"/>
      <c r="N131" s="2383"/>
      <c r="O131" s="2384"/>
      <c r="P131" s="2383"/>
      <c r="Q131" s="2383"/>
      <c r="R131" s="2385"/>
    </row>
    <row r="132" spans="2:18" s="2355" customFormat="1">
      <c r="B132" s="2383"/>
      <c r="C132" s="2383"/>
      <c r="D132" s="2383"/>
      <c r="E132" s="2383"/>
      <c r="F132" s="2383"/>
      <c r="G132" s="2384"/>
      <c r="H132" s="2383"/>
      <c r="I132" s="2384"/>
      <c r="J132" s="2383"/>
      <c r="K132" s="2383"/>
      <c r="L132" s="2384"/>
      <c r="M132" s="2383"/>
      <c r="N132" s="2383"/>
      <c r="O132" s="2384"/>
      <c r="P132" s="2383"/>
      <c r="Q132" s="2383"/>
      <c r="R132" s="2385"/>
    </row>
    <row r="133" spans="2:18" s="2355" customFormat="1">
      <c r="B133" s="2383"/>
      <c r="C133" s="2383"/>
      <c r="D133" s="2383"/>
      <c r="E133" s="2383"/>
      <c r="F133" s="2383"/>
      <c r="G133" s="2384"/>
      <c r="H133" s="2383"/>
      <c r="I133" s="2384"/>
      <c r="J133" s="2383"/>
      <c r="K133" s="2383"/>
      <c r="L133" s="2384"/>
      <c r="M133" s="2383"/>
      <c r="N133" s="2383"/>
      <c r="O133" s="2384"/>
      <c r="P133" s="2383"/>
      <c r="Q133" s="2383"/>
      <c r="R133" s="2385"/>
    </row>
    <row r="134" spans="2:18" s="2355" customFormat="1">
      <c r="B134" s="2383"/>
      <c r="C134" s="2383"/>
      <c r="D134" s="2383"/>
      <c r="E134" s="2383"/>
      <c r="F134" s="2383"/>
      <c r="G134" s="2384"/>
      <c r="H134" s="2383"/>
      <c r="I134" s="2384"/>
      <c r="J134" s="2383"/>
      <c r="K134" s="2383"/>
      <c r="L134" s="2384"/>
      <c r="M134" s="2383"/>
      <c r="N134" s="2383"/>
      <c r="O134" s="2384"/>
      <c r="P134" s="2383"/>
      <c r="Q134" s="2383"/>
      <c r="R134" s="2385"/>
    </row>
    <row r="135" spans="2:18" s="2355" customFormat="1">
      <c r="B135" s="2383"/>
      <c r="C135" s="2383"/>
      <c r="D135" s="2383"/>
      <c r="E135" s="2383"/>
      <c r="F135" s="2383"/>
      <c r="G135" s="2384"/>
      <c r="H135" s="2383"/>
      <c r="I135" s="2384"/>
      <c r="J135" s="2383"/>
      <c r="K135" s="2383"/>
      <c r="L135" s="2384"/>
      <c r="M135" s="2383"/>
      <c r="N135" s="2383"/>
      <c r="O135" s="2384"/>
      <c r="P135" s="2383"/>
      <c r="Q135" s="2383"/>
      <c r="R135" s="2385"/>
    </row>
    <row r="136" spans="2:18" s="2355" customFormat="1">
      <c r="B136" s="2383"/>
      <c r="C136" s="2383"/>
      <c r="D136" s="2383"/>
      <c r="E136" s="2383"/>
      <c r="F136" s="2383"/>
      <c r="G136" s="2384"/>
      <c r="H136" s="2383"/>
      <c r="I136" s="2384"/>
      <c r="J136" s="2383"/>
      <c r="K136" s="2383"/>
      <c r="L136" s="2384"/>
      <c r="M136" s="2383"/>
      <c r="N136" s="2383"/>
      <c r="O136" s="2384"/>
      <c r="P136" s="2383"/>
      <c r="Q136" s="2383"/>
      <c r="R136" s="2385"/>
    </row>
    <row r="137" spans="2:18" s="2355" customFormat="1">
      <c r="B137" s="2383"/>
      <c r="C137" s="2383"/>
      <c r="D137" s="2383"/>
      <c r="E137" s="2383"/>
      <c r="F137" s="2383"/>
      <c r="G137" s="2384"/>
      <c r="H137" s="2383"/>
      <c r="I137" s="2384"/>
      <c r="J137" s="2383"/>
      <c r="K137" s="2383"/>
      <c r="L137" s="2384"/>
      <c r="M137" s="2383"/>
      <c r="N137" s="2383"/>
      <c r="O137" s="2384"/>
      <c r="P137" s="2383"/>
      <c r="Q137" s="2383"/>
      <c r="R137" s="2385"/>
    </row>
    <row r="138" spans="2:18" s="2355" customFormat="1">
      <c r="B138" s="2383"/>
      <c r="C138" s="2383"/>
      <c r="D138" s="2383"/>
      <c r="E138" s="2383"/>
      <c r="F138" s="2383"/>
      <c r="G138" s="2384"/>
      <c r="H138" s="2383"/>
      <c r="I138" s="2384"/>
      <c r="J138" s="2383"/>
      <c r="K138" s="2383"/>
      <c r="L138" s="2384"/>
      <c r="M138" s="2383"/>
      <c r="N138" s="2383"/>
      <c r="O138" s="2384"/>
      <c r="P138" s="2383"/>
      <c r="Q138" s="2383"/>
      <c r="R138" s="2385"/>
    </row>
    <row r="139" spans="2:18" s="2355" customFormat="1">
      <c r="B139" s="2383"/>
      <c r="C139" s="2383"/>
      <c r="D139" s="2383"/>
      <c r="E139" s="2383"/>
      <c r="F139" s="2383"/>
      <c r="G139" s="2384"/>
      <c r="H139" s="2383"/>
      <c r="I139" s="2384"/>
      <c r="J139" s="2383"/>
      <c r="K139" s="2383"/>
      <c r="L139" s="2384"/>
      <c r="M139" s="2383"/>
      <c r="N139" s="2383"/>
      <c r="O139" s="2384"/>
      <c r="P139" s="2383"/>
      <c r="Q139" s="2383"/>
      <c r="R139" s="2385"/>
    </row>
    <row r="140" spans="2:18" s="2355" customFormat="1">
      <c r="B140" s="2383"/>
      <c r="C140" s="2383"/>
      <c r="D140" s="2383"/>
      <c r="E140" s="2383"/>
      <c r="F140" s="2383"/>
      <c r="G140" s="2384"/>
      <c r="H140" s="2383"/>
      <c r="I140" s="2384"/>
      <c r="J140" s="2383"/>
      <c r="K140" s="2383"/>
      <c r="L140" s="2384"/>
      <c r="M140" s="2383"/>
      <c r="N140" s="2383"/>
      <c r="O140" s="2384"/>
      <c r="P140" s="2383"/>
      <c r="Q140" s="2383"/>
      <c r="R140" s="2385"/>
    </row>
    <row r="141" spans="2:18" s="2355" customFormat="1">
      <c r="B141" s="2383"/>
      <c r="C141" s="2383"/>
      <c r="D141" s="2383"/>
      <c r="E141" s="2383"/>
      <c r="F141" s="2383"/>
      <c r="G141" s="2384"/>
      <c r="H141" s="2383"/>
      <c r="I141" s="2384"/>
      <c r="J141" s="2383"/>
      <c r="K141" s="2383"/>
      <c r="L141" s="2384"/>
      <c r="M141" s="2383"/>
      <c r="N141" s="2383"/>
      <c r="O141" s="2384"/>
      <c r="P141" s="2383"/>
      <c r="Q141" s="2383"/>
      <c r="R141" s="2385"/>
    </row>
    <row r="142" spans="2:18" s="2355" customFormat="1">
      <c r="B142" s="2383"/>
      <c r="C142" s="2383"/>
      <c r="D142" s="2383"/>
      <c r="E142" s="2383"/>
      <c r="F142" s="2383"/>
      <c r="G142" s="2384"/>
      <c r="H142" s="2383"/>
      <c r="I142" s="2384"/>
      <c r="J142" s="2383"/>
      <c r="K142" s="2383"/>
      <c r="L142" s="2384"/>
      <c r="M142" s="2383"/>
      <c r="N142" s="2383"/>
      <c r="O142" s="2384"/>
      <c r="P142" s="2383"/>
      <c r="Q142" s="2383"/>
      <c r="R142" s="2385"/>
    </row>
    <row r="143" spans="2:18" s="2355" customFormat="1">
      <c r="B143" s="2383"/>
      <c r="C143" s="2383"/>
      <c r="D143" s="2383"/>
      <c r="E143" s="2383"/>
      <c r="F143" s="2383"/>
      <c r="G143" s="2384"/>
      <c r="H143" s="2383"/>
      <c r="I143" s="2384"/>
      <c r="J143" s="2383"/>
      <c r="K143" s="2383"/>
      <c r="L143" s="2384"/>
      <c r="M143" s="2383"/>
      <c r="N143" s="2383"/>
      <c r="O143" s="2384"/>
      <c r="P143" s="2383"/>
      <c r="Q143" s="2383"/>
      <c r="R143" s="2385"/>
    </row>
    <row r="144" spans="2:18" s="2355" customFormat="1">
      <c r="B144" s="2383"/>
      <c r="C144" s="2383"/>
      <c r="D144" s="2383"/>
      <c r="E144" s="2383"/>
      <c r="F144" s="2383"/>
      <c r="G144" s="2384"/>
      <c r="H144" s="2383"/>
      <c r="I144" s="2384"/>
      <c r="J144" s="2383"/>
      <c r="K144" s="2383"/>
      <c r="L144" s="2384"/>
      <c r="M144" s="2383"/>
      <c r="N144" s="2383"/>
      <c r="O144" s="2384"/>
      <c r="P144" s="2383"/>
      <c r="Q144" s="2383"/>
      <c r="R144" s="2385"/>
    </row>
    <row r="145" spans="2:18" s="2355" customFormat="1">
      <c r="B145" s="2383"/>
      <c r="C145" s="2383"/>
      <c r="D145" s="2383"/>
      <c r="E145" s="2383"/>
      <c r="F145" s="2383"/>
      <c r="G145" s="2384"/>
      <c r="H145" s="2383"/>
      <c r="I145" s="2384"/>
      <c r="J145" s="2383"/>
      <c r="K145" s="2383"/>
      <c r="L145" s="2384"/>
      <c r="M145" s="2383"/>
      <c r="N145" s="2383"/>
      <c r="O145" s="2384"/>
      <c r="P145" s="2383"/>
      <c r="Q145" s="2383"/>
      <c r="R145" s="2385"/>
    </row>
    <row r="146" spans="2:18" s="2355" customFormat="1">
      <c r="B146" s="2383"/>
      <c r="C146" s="2383"/>
      <c r="D146" s="2383"/>
      <c r="E146" s="2383"/>
      <c r="F146" s="2383"/>
      <c r="G146" s="2384"/>
      <c r="H146" s="2383"/>
      <c r="I146" s="2384"/>
      <c r="J146" s="2383"/>
      <c r="K146" s="2383"/>
      <c r="L146" s="2384"/>
      <c r="M146" s="2383"/>
      <c r="N146" s="2383"/>
      <c r="O146" s="2384"/>
      <c r="P146" s="2383"/>
      <c r="Q146" s="2383"/>
      <c r="R146" s="2385"/>
    </row>
    <row r="147" spans="2:18" s="2355" customFormat="1">
      <c r="B147" s="2383"/>
      <c r="C147" s="2383"/>
      <c r="D147" s="2383"/>
      <c r="E147" s="2383"/>
      <c r="F147" s="2383"/>
      <c r="G147" s="2384"/>
      <c r="H147" s="2383"/>
      <c r="I147" s="2384"/>
      <c r="J147" s="2383"/>
      <c r="K147" s="2383"/>
      <c r="L147" s="2384"/>
      <c r="M147" s="2383"/>
      <c r="N147" s="2383"/>
      <c r="O147" s="2384"/>
      <c r="P147" s="2383"/>
      <c r="Q147" s="2383"/>
      <c r="R147" s="2385"/>
    </row>
    <row r="148" spans="2:18" s="2355" customFormat="1">
      <c r="B148" s="2383"/>
      <c r="C148" s="2383"/>
      <c r="D148" s="2383"/>
      <c r="E148" s="2383"/>
      <c r="F148" s="2383"/>
      <c r="G148" s="2384"/>
      <c r="H148" s="2383"/>
      <c r="I148" s="2384"/>
      <c r="J148" s="2383"/>
      <c r="K148" s="2383"/>
      <c r="L148" s="2384"/>
      <c r="M148" s="2383"/>
      <c r="N148" s="2383"/>
      <c r="O148" s="2384"/>
      <c r="P148" s="2383"/>
      <c r="Q148" s="2383"/>
      <c r="R148" s="2385"/>
    </row>
    <row r="149" spans="2:18" s="2355" customFormat="1">
      <c r="B149" s="2383"/>
      <c r="C149" s="2383"/>
      <c r="D149" s="2383"/>
      <c r="E149" s="2383"/>
      <c r="F149" s="2383"/>
      <c r="G149" s="2384"/>
      <c r="H149" s="2383"/>
      <c r="I149" s="2384"/>
      <c r="J149" s="2383"/>
      <c r="K149" s="2383"/>
      <c r="L149" s="2384"/>
      <c r="M149" s="2383"/>
      <c r="N149" s="2383"/>
      <c r="O149" s="2384"/>
      <c r="P149" s="2383"/>
      <c r="Q149" s="2383"/>
      <c r="R149" s="2385"/>
    </row>
    <row r="150" spans="2:18" s="2355" customFormat="1">
      <c r="B150" s="2383"/>
      <c r="C150" s="2383"/>
      <c r="D150" s="2383"/>
      <c r="E150" s="2383"/>
      <c r="F150" s="2383"/>
      <c r="G150" s="2384"/>
      <c r="H150" s="2383"/>
      <c r="I150" s="2384"/>
      <c r="J150" s="2383"/>
      <c r="K150" s="2383"/>
      <c r="L150" s="2384"/>
      <c r="M150" s="2383"/>
      <c r="N150" s="2383"/>
      <c r="O150" s="2384"/>
      <c r="P150" s="2383"/>
      <c r="Q150" s="2383"/>
      <c r="R150" s="2385"/>
    </row>
    <row r="151" spans="2:18" s="2355" customFormat="1">
      <c r="B151" s="2383"/>
      <c r="C151" s="2383"/>
      <c r="D151" s="2383"/>
      <c r="E151" s="2383"/>
      <c r="F151" s="2383"/>
      <c r="G151" s="2384"/>
      <c r="H151" s="2383"/>
      <c r="I151" s="2384"/>
      <c r="J151" s="2383"/>
      <c r="K151" s="2383"/>
      <c r="L151" s="2384"/>
      <c r="M151" s="2383"/>
      <c r="N151" s="2383"/>
      <c r="O151" s="2384"/>
      <c r="P151" s="2383"/>
      <c r="Q151" s="2383"/>
      <c r="R151" s="2385"/>
    </row>
    <row r="152" spans="2:18" s="2355" customFormat="1">
      <c r="B152" s="2383"/>
      <c r="C152" s="2383"/>
      <c r="D152" s="2383"/>
      <c r="E152" s="2383"/>
      <c r="F152" s="2383"/>
      <c r="G152" s="2384"/>
      <c r="H152" s="2383"/>
      <c r="I152" s="2384"/>
      <c r="J152" s="2383"/>
      <c r="K152" s="2383"/>
      <c r="L152" s="2384"/>
      <c r="M152" s="2383"/>
      <c r="N152" s="2383"/>
      <c r="O152" s="2384"/>
      <c r="P152" s="2383"/>
      <c r="Q152" s="2383"/>
      <c r="R152" s="2385"/>
    </row>
    <row r="153" spans="2:18" s="2355" customFormat="1">
      <c r="B153" s="2383"/>
      <c r="C153" s="2383"/>
      <c r="D153" s="2383"/>
      <c r="E153" s="2383"/>
      <c r="F153" s="2383"/>
      <c r="G153" s="2384"/>
      <c r="H153" s="2383"/>
      <c r="I153" s="2384"/>
      <c r="J153" s="2383"/>
      <c r="K153" s="2383"/>
      <c r="L153" s="2384"/>
      <c r="M153" s="2383"/>
      <c r="N153" s="2383"/>
      <c r="O153" s="2384"/>
      <c r="P153" s="2383"/>
      <c r="Q153" s="2383"/>
      <c r="R153" s="2385"/>
    </row>
    <row r="154" spans="2:18" s="2355" customFormat="1">
      <c r="B154" s="2383"/>
      <c r="C154" s="2383"/>
      <c r="D154" s="2383"/>
      <c r="E154" s="2383"/>
      <c r="F154" s="2383"/>
      <c r="G154" s="2384"/>
      <c r="H154" s="2383"/>
      <c r="I154" s="2384"/>
      <c r="J154" s="2383"/>
      <c r="K154" s="2383"/>
      <c r="L154" s="2384"/>
      <c r="M154" s="2383"/>
      <c r="N154" s="2383"/>
      <c r="O154" s="2384"/>
      <c r="P154" s="2383"/>
      <c r="Q154" s="2383"/>
      <c r="R154" s="2385"/>
    </row>
    <row r="155" spans="2:18" s="2355" customFormat="1">
      <c r="B155" s="2383"/>
      <c r="C155" s="2383"/>
      <c r="D155" s="2383"/>
      <c r="E155" s="2383"/>
      <c r="F155" s="2383"/>
      <c r="G155" s="2384"/>
      <c r="H155" s="2383"/>
      <c r="I155" s="2384"/>
      <c r="J155" s="2383"/>
      <c r="K155" s="2383"/>
      <c r="L155" s="2384"/>
      <c r="M155" s="2383"/>
      <c r="N155" s="2383"/>
      <c r="O155" s="2384"/>
      <c r="P155" s="2383"/>
      <c r="Q155" s="2383"/>
      <c r="R155" s="2385"/>
    </row>
    <row r="156" spans="2:18" s="2355" customFormat="1">
      <c r="B156" s="2383"/>
      <c r="C156" s="2383"/>
      <c r="D156" s="2383"/>
      <c r="E156" s="2383"/>
      <c r="F156" s="2383"/>
      <c r="G156" s="2384"/>
      <c r="H156" s="2383"/>
      <c r="I156" s="2384"/>
      <c r="J156" s="2383"/>
      <c r="K156" s="2383"/>
      <c r="L156" s="2384"/>
      <c r="M156" s="2383"/>
      <c r="N156" s="2383"/>
      <c r="O156" s="2384"/>
      <c r="P156" s="2383"/>
      <c r="Q156" s="2383"/>
      <c r="R156" s="2385"/>
    </row>
    <row r="157" spans="2:18" s="2355" customFormat="1">
      <c r="B157" s="2383"/>
      <c r="C157" s="2383"/>
      <c r="D157" s="2383"/>
      <c r="E157" s="2383"/>
      <c r="F157" s="2383"/>
      <c r="G157" s="2384"/>
      <c r="H157" s="2383"/>
      <c r="I157" s="2384"/>
      <c r="J157" s="2383"/>
      <c r="K157" s="2383"/>
      <c r="L157" s="2384"/>
      <c r="M157" s="2383"/>
      <c r="N157" s="2383"/>
      <c r="O157" s="2384"/>
      <c r="P157" s="2383"/>
      <c r="Q157" s="2383"/>
      <c r="R157" s="2385"/>
    </row>
    <row r="158" spans="2:18" s="2355" customFormat="1">
      <c r="B158" s="2383"/>
      <c r="C158" s="2383"/>
      <c r="D158" s="2383"/>
      <c r="E158" s="2383"/>
      <c r="F158" s="2383"/>
      <c r="G158" s="2384"/>
      <c r="H158" s="2383"/>
      <c r="I158" s="2384"/>
      <c r="J158" s="2383"/>
      <c r="K158" s="2383"/>
      <c r="L158" s="2384"/>
      <c r="M158" s="2383"/>
      <c r="N158" s="2383"/>
      <c r="O158" s="2384"/>
      <c r="P158" s="2383"/>
      <c r="Q158" s="2383"/>
      <c r="R158" s="2385"/>
    </row>
    <row r="159" spans="2:18" s="2355" customFormat="1">
      <c r="B159" s="2383"/>
      <c r="C159" s="2383"/>
      <c r="D159" s="2383"/>
      <c r="E159" s="2383"/>
      <c r="F159" s="2383"/>
      <c r="G159" s="2384"/>
      <c r="H159" s="2383"/>
      <c r="I159" s="2384"/>
      <c r="J159" s="2383"/>
      <c r="K159" s="2383"/>
      <c r="L159" s="2384"/>
      <c r="M159" s="2383"/>
      <c r="N159" s="2383"/>
      <c r="O159" s="2384"/>
      <c r="P159" s="2383"/>
      <c r="Q159" s="2383"/>
      <c r="R159" s="2385"/>
    </row>
    <row r="160" spans="2:18" s="2355" customFormat="1">
      <c r="B160" s="2383"/>
      <c r="C160" s="2383"/>
      <c r="D160" s="2383"/>
      <c r="E160" s="2383"/>
      <c r="F160" s="2383"/>
      <c r="G160" s="2384"/>
      <c r="H160" s="2383"/>
      <c r="I160" s="2384"/>
      <c r="J160" s="2383"/>
      <c r="K160" s="2383"/>
      <c r="L160" s="2384"/>
      <c r="M160" s="2383"/>
      <c r="N160" s="2383"/>
      <c r="O160" s="2384"/>
      <c r="P160" s="2383"/>
      <c r="Q160" s="2383"/>
      <c r="R160" s="2385"/>
    </row>
    <row r="161" spans="2:18" s="2355" customFormat="1">
      <c r="B161" s="2383"/>
      <c r="C161" s="2383"/>
      <c r="D161" s="2383"/>
      <c r="E161" s="2383"/>
      <c r="F161" s="2383"/>
      <c r="G161" s="2384"/>
      <c r="H161" s="2383"/>
      <c r="I161" s="2384"/>
      <c r="J161" s="2383"/>
      <c r="K161" s="2383"/>
      <c r="L161" s="2384"/>
      <c r="M161" s="2383"/>
      <c r="N161" s="2383"/>
      <c r="O161" s="2384"/>
      <c r="P161" s="2383"/>
      <c r="Q161" s="2383"/>
      <c r="R161" s="2385"/>
    </row>
    <row r="162" spans="2:18" s="2355" customFormat="1">
      <c r="B162" s="2383"/>
      <c r="C162" s="2383"/>
      <c r="D162" s="2383"/>
      <c r="E162" s="2383"/>
      <c r="F162" s="2383"/>
      <c r="G162" s="2384"/>
      <c r="H162" s="2383"/>
      <c r="I162" s="2384"/>
      <c r="J162" s="2383"/>
      <c r="K162" s="2383"/>
      <c r="L162" s="2384"/>
      <c r="M162" s="2383"/>
      <c r="N162" s="2383"/>
      <c r="O162" s="2384"/>
      <c r="P162" s="2383"/>
      <c r="Q162" s="2383"/>
      <c r="R162" s="2385"/>
    </row>
    <row r="163" spans="2:18" s="2355" customFormat="1">
      <c r="B163" s="2383"/>
      <c r="C163" s="2383"/>
      <c r="D163" s="2383"/>
      <c r="E163" s="2383"/>
      <c r="F163" s="2383"/>
      <c r="G163" s="2384"/>
      <c r="H163" s="2383"/>
      <c r="I163" s="2384"/>
      <c r="J163" s="2383"/>
      <c r="K163" s="2383"/>
      <c r="L163" s="2384"/>
      <c r="M163" s="2383"/>
      <c r="N163" s="2383"/>
      <c r="O163" s="2384"/>
      <c r="P163" s="2383"/>
      <c r="Q163" s="2383"/>
      <c r="R163" s="2385"/>
    </row>
    <row r="164" spans="2:18" s="2355" customFormat="1">
      <c r="B164" s="2383"/>
      <c r="C164" s="2383"/>
      <c r="D164" s="2383"/>
      <c r="E164" s="2383"/>
      <c r="F164" s="2383"/>
      <c r="G164" s="2384"/>
      <c r="H164" s="2383"/>
      <c r="I164" s="2384"/>
      <c r="J164" s="2383"/>
      <c r="K164" s="2383"/>
      <c r="L164" s="2384"/>
      <c r="M164" s="2383"/>
      <c r="N164" s="2383"/>
      <c r="O164" s="2384"/>
      <c r="P164" s="2383"/>
      <c r="Q164" s="2383"/>
      <c r="R164" s="2385"/>
    </row>
    <row r="165" spans="2:18" s="2355" customFormat="1">
      <c r="B165" s="2383"/>
      <c r="C165" s="2383"/>
      <c r="D165" s="2383"/>
      <c r="E165" s="2383"/>
      <c r="F165" s="2383"/>
      <c r="G165" s="2384"/>
      <c r="H165" s="2383"/>
      <c r="I165" s="2384"/>
      <c r="J165" s="2383"/>
      <c r="K165" s="2383"/>
      <c r="L165" s="2384"/>
      <c r="M165" s="2383"/>
      <c r="N165" s="2383"/>
      <c r="O165" s="2384"/>
      <c r="P165" s="2383"/>
      <c r="Q165" s="2383"/>
      <c r="R165" s="2385"/>
    </row>
    <row r="166" spans="2:18" s="2355" customFormat="1">
      <c r="B166" s="2383"/>
      <c r="C166" s="2383"/>
      <c r="D166" s="2383"/>
      <c r="E166" s="2383"/>
      <c r="F166" s="2383"/>
      <c r="G166" s="2384"/>
      <c r="H166" s="2383"/>
      <c r="I166" s="2384"/>
      <c r="J166" s="2383"/>
      <c r="K166" s="2383"/>
      <c r="L166" s="2384"/>
      <c r="M166" s="2383"/>
      <c r="N166" s="2383"/>
      <c r="O166" s="2384"/>
      <c r="P166" s="2383"/>
      <c r="Q166" s="2383"/>
      <c r="R166" s="2385"/>
    </row>
    <row r="167" spans="2:18" s="2355" customFormat="1">
      <c r="B167" s="2383"/>
      <c r="C167" s="2383"/>
      <c r="D167" s="2383"/>
      <c r="E167" s="2383"/>
      <c r="F167" s="2383"/>
      <c r="G167" s="2384"/>
      <c r="H167" s="2383"/>
      <c r="I167" s="2384"/>
      <c r="J167" s="2383"/>
      <c r="K167" s="2383"/>
      <c r="L167" s="2384"/>
      <c r="M167" s="2383"/>
      <c r="N167" s="2383"/>
      <c r="O167" s="2384"/>
      <c r="P167" s="2383"/>
      <c r="Q167" s="2383"/>
      <c r="R167" s="2385"/>
    </row>
    <row r="168" spans="2:18" s="2355" customFormat="1">
      <c r="B168" s="2383"/>
      <c r="C168" s="2383"/>
      <c r="D168" s="2383"/>
      <c r="E168" s="2383"/>
      <c r="F168" s="2383"/>
      <c r="G168" s="2384"/>
      <c r="H168" s="2383"/>
      <c r="I168" s="2384"/>
      <c r="J168" s="2383"/>
      <c r="K168" s="2383"/>
      <c r="L168" s="2384"/>
      <c r="M168" s="2383"/>
      <c r="N168" s="2383"/>
      <c r="O168" s="2384"/>
      <c r="P168" s="2383"/>
      <c r="Q168" s="2383"/>
      <c r="R168" s="2385"/>
    </row>
    <row r="169" spans="2:18" s="2355" customFormat="1">
      <c r="B169" s="2383"/>
      <c r="C169" s="2383"/>
      <c r="D169" s="2383"/>
      <c r="E169" s="2383"/>
      <c r="F169" s="2383"/>
      <c r="G169" s="2384"/>
      <c r="H169" s="2383"/>
      <c r="I169" s="2384"/>
      <c r="J169" s="2383"/>
      <c r="K169" s="2383"/>
      <c r="L169" s="2384"/>
      <c r="M169" s="2383"/>
      <c r="N169" s="2383"/>
      <c r="O169" s="2384"/>
      <c r="P169" s="2383"/>
      <c r="Q169" s="2383"/>
      <c r="R169" s="2385"/>
    </row>
    <row r="170" spans="2:18" s="2355" customFormat="1">
      <c r="B170" s="2383"/>
      <c r="C170" s="2383"/>
      <c r="D170" s="2383"/>
      <c r="E170" s="2383"/>
      <c r="F170" s="2383"/>
      <c r="G170" s="2384"/>
      <c r="H170" s="2383"/>
      <c r="I170" s="2384"/>
      <c r="J170" s="2383"/>
      <c r="K170" s="2383"/>
      <c r="L170" s="2384"/>
      <c r="M170" s="2383"/>
      <c r="N170" s="2383"/>
      <c r="O170" s="2384"/>
      <c r="P170" s="2383"/>
      <c r="Q170" s="2383"/>
      <c r="R170" s="2385"/>
    </row>
    <row r="171" spans="2:18" s="2355" customFormat="1">
      <c r="B171" s="2383"/>
      <c r="C171" s="2383"/>
      <c r="D171" s="2383"/>
      <c r="E171" s="2383"/>
      <c r="F171" s="2383"/>
      <c r="G171" s="2384"/>
      <c r="H171" s="2383"/>
      <c r="I171" s="2384"/>
      <c r="J171" s="2383"/>
      <c r="K171" s="2383"/>
      <c r="L171" s="2384"/>
      <c r="M171" s="2383"/>
      <c r="N171" s="2383"/>
      <c r="O171" s="2384"/>
      <c r="P171" s="2383"/>
      <c r="Q171" s="2383"/>
      <c r="R171" s="2385"/>
    </row>
    <row r="172" spans="2:18" s="2355" customFormat="1">
      <c r="B172" s="2383"/>
      <c r="C172" s="2383"/>
      <c r="D172" s="2383"/>
      <c r="E172" s="2383"/>
      <c r="F172" s="2383"/>
      <c r="G172" s="2384"/>
      <c r="H172" s="2383"/>
      <c r="I172" s="2384"/>
      <c r="J172" s="2383"/>
      <c r="K172" s="2383"/>
      <c r="L172" s="2384"/>
      <c r="M172" s="2383"/>
      <c r="N172" s="2383"/>
      <c r="O172" s="2384"/>
      <c r="P172" s="2383"/>
      <c r="Q172" s="2383"/>
      <c r="R172" s="2385"/>
    </row>
    <row r="173" spans="2:18" s="2355" customFormat="1">
      <c r="B173" s="2383"/>
      <c r="C173" s="2383"/>
      <c r="D173" s="2383"/>
      <c r="E173" s="2383"/>
      <c r="F173" s="2383"/>
      <c r="G173" s="2384"/>
      <c r="H173" s="2383"/>
      <c r="I173" s="2384"/>
      <c r="J173" s="2383"/>
      <c r="K173" s="2383"/>
      <c r="L173" s="2384"/>
      <c r="M173" s="2383"/>
      <c r="N173" s="2383"/>
      <c r="O173" s="2384"/>
      <c r="P173" s="2383"/>
      <c r="Q173" s="2383"/>
      <c r="R173" s="2385"/>
    </row>
    <row r="174" spans="2:18" s="2355" customFormat="1">
      <c r="B174" s="2383"/>
      <c r="C174" s="2383"/>
      <c r="D174" s="2383"/>
      <c r="E174" s="2383"/>
      <c r="F174" s="2383"/>
      <c r="G174" s="2384"/>
      <c r="H174" s="2383"/>
      <c r="I174" s="2384"/>
      <c r="J174" s="2383"/>
      <c r="K174" s="2383"/>
      <c r="L174" s="2384"/>
      <c r="M174" s="2383"/>
      <c r="N174" s="2383"/>
      <c r="O174" s="2384"/>
      <c r="P174" s="2383"/>
      <c r="Q174" s="2383"/>
      <c r="R174" s="2385"/>
    </row>
    <row r="175" spans="2:18" s="2355" customFormat="1">
      <c r="B175" s="2383"/>
      <c r="C175" s="2383"/>
      <c r="D175" s="2383"/>
      <c r="E175" s="2383"/>
      <c r="F175" s="2383"/>
      <c r="G175" s="2384"/>
      <c r="H175" s="2383"/>
      <c r="I175" s="2384"/>
      <c r="J175" s="2383"/>
      <c r="K175" s="2383"/>
      <c r="L175" s="2384"/>
      <c r="M175" s="2383"/>
      <c r="N175" s="2383"/>
      <c r="O175" s="2384"/>
      <c r="P175" s="2383"/>
      <c r="Q175" s="2383"/>
      <c r="R175" s="2385"/>
    </row>
    <row r="176" spans="2:18" s="2355" customFormat="1">
      <c r="B176" s="2383"/>
      <c r="C176" s="2383"/>
      <c r="D176" s="2383"/>
      <c r="E176" s="2383"/>
      <c r="F176" s="2383"/>
      <c r="G176" s="2384"/>
      <c r="H176" s="2383"/>
      <c r="I176" s="2384"/>
      <c r="J176" s="2383"/>
      <c r="K176" s="2383"/>
      <c r="L176" s="2384"/>
      <c r="M176" s="2383"/>
      <c r="N176" s="2383"/>
      <c r="O176" s="2384"/>
      <c r="P176" s="2383"/>
      <c r="Q176" s="2383"/>
      <c r="R176" s="2385"/>
    </row>
    <row r="177" spans="1:18" s="2355" customFormat="1">
      <c r="B177" s="2383"/>
      <c r="C177" s="2383"/>
      <c r="D177" s="2383"/>
      <c r="E177" s="2383"/>
      <c r="F177" s="2383"/>
      <c r="G177" s="2384"/>
      <c r="H177" s="2383"/>
      <c r="I177" s="2384"/>
      <c r="J177" s="2383"/>
      <c r="K177" s="2383"/>
      <c r="L177" s="2384"/>
      <c r="M177" s="2383"/>
      <c r="N177" s="2383"/>
      <c r="O177" s="2384"/>
      <c r="P177" s="2383"/>
      <c r="Q177" s="2383"/>
      <c r="R177" s="2385"/>
    </row>
    <row r="178" spans="1:18" s="2355" customFormat="1">
      <c r="B178" s="2383"/>
      <c r="C178" s="2383"/>
      <c r="D178" s="2383"/>
      <c r="E178" s="2383"/>
      <c r="F178" s="2383"/>
      <c r="G178" s="2384"/>
      <c r="H178" s="2383"/>
      <c r="I178" s="2384"/>
      <c r="J178" s="2383"/>
      <c r="K178" s="2383"/>
      <c r="L178" s="2384"/>
      <c r="M178" s="2383"/>
      <c r="N178" s="2383"/>
      <c r="O178" s="2384"/>
      <c r="P178" s="2383"/>
      <c r="Q178" s="2383"/>
      <c r="R178" s="2385"/>
    </row>
    <row r="179" spans="1:18" s="2355" customFormat="1">
      <c r="B179" s="2383"/>
      <c r="C179" s="2383"/>
      <c r="D179" s="2383"/>
      <c r="E179" s="2383"/>
      <c r="F179" s="2383"/>
      <c r="G179" s="2384"/>
      <c r="H179" s="2383"/>
      <c r="I179" s="2384"/>
      <c r="J179" s="2383"/>
      <c r="K179" s="2383"/>
      <c r="L179" s="2384"/>
      <c r="M179" s="2383"/>
      <c r="N179" s="2383"/>
      <c r="O179" s="2384"/>
      <c r="P179" s="2383"/>
      <c r="Q179" s="2383"/>
      <c r="R179" s="2385"/>
    </row>
    <row r="180" spans="1:18" s="2355" customFormat="1">
      <c r="B180" s="2383"/>
      <c r="C180" s="2383"/>
      <c r="D180" s="2383"/>
      <c r="E180" s="2383"/>
      <c r="F180" s="2383"/>
      <c r="G180" s="2384"/>
      <c r="H180" s="2383"/>
      <c r="I180" s="2384"/>
      <c r="J180" s="2383"/>
      <c r="K180" s="2383"/>
      <c r="L180" s="2384"/>
      <c r="M180" s="2383"/>
      <c r="N180" s="2383"/>
      <c r="O180" s="2384"/>
      <c r="P180" s="2383"/>
      <c r="Q180" s="2383"/>
      <c r="R180" s="2385"/>
    </row>
    <row r="181" spans="1:18" s="2355" customFormat="1">
      <c r="B181" s="2383"/>
      <c r="C181" s="2383"/>
      <c r="D181" s="2383"/>
      <c r="E181" s="2383"/>
      <c r="F181" s="2383"/>
      <c r="G181" s="2384"/>
      <c r="H181" s="2383"/>
      <c r="I181" s="2384"/>
      <c r="J181" s="2383"/>
      <c r="K181" s="2383"/>
      <c r="L181" s="2384"/>
      <c r="M181" s="2383"/>
      <c r="N181" s="2383"/>
      <c r="O181" s="2384"/>
      <c r="P181" s="2383"/>
      <c r="Q181" s="2383"/>
      <c r="R181" s="2385"/>
    </row>
    <row r="182" spans="1:18" s="2355" customFormat="1">
      <c r="B182" s="2383"/>
      <c r="C182" s="2383"/>
      <c r="D182" s="2383"/>
      <c r="E182" s="2383"/>
      <c r="F182" s="2383"/>
      <c r="G182" s="2384"/>
      <c r="H182" s="2383"/>
      <c r="I182" s="2384"/>
      <c r="J182" s="2383"/>
      <c r="K182" s="2383"/>
      <c r="L182" s="2384"/>
      <c r="M182" s="2383"/>
      <c r="N182" s="2383"/>
      <c r="O182" s="2384"/>
      <c r="P182" s="2383"/>
      <c r="Q182" s="2383"/>
      <c r="R182" s="2385"/>
    </row>
    <row r="183" spans="1:18" s="2355" customFormat="1">
      <c r="B183" s="2383"/>
      <c r="C183" s="2383"/>
      <c r="D183" s="2383"/>
      <c r="E183" s="2383"/>
      <c r="F183" s="2383"/>
      <c r="G183" s="2384"/>
      <c r="H183" s="2383"/>
      <c r="I183" s="2384"/>
      <c r="J183" s="2383"/>
      <c r="K183" s="2383"/>
      <c r="L183" s="2384"/>
      <c r="M183" s="2383"/>
      <c r="N183" s="2383"/>
      <c r="O183" s="2384"/>
      <c r="P183" s="2383"/>
      <c r="Q183" s="2383"/>
      <c r="R183" s="2385"/>
    </row>
    <row r="184" spans="1:18" s="2355" customFormat="1">
      <c r="B184" s="2383"/>
      <c r="C184" s="2383"/>
      <c r="D184" s="2383"/>
      <c r="E184" s="2383"/>
      <c r="F184" s="2383"/>
      <c r="G184" s="2384"/>
      <c r="H184" s="2383"/>
      <c r="I184" s="2384"/>
      <c r="J184" s="2383"/>
      <c r="K184" s="2383"/>
      <c r="L184" s="2384"/>
      <c r="M184" s="2383"/>
      <c r="N184" s="2383"/>
      <c r="O184" s="2384"/>
      <c r="P184" s="2383"/>
      <c r="Q184" s="2383"/>
      <c r="R184" s="2385"/>
    </row>
    <row r="185" spans="1:18" s="2355" customFormat="1">
      <c r="B185" s="2383"/>
      <c r="C185" s="2383"/>
      <c r="D185" s="2383"/>
      <c r="E185" s="2383"/>
      <c r="F185" s="2383"/>
      <c r="G185" s="2384"/>
      <c r="H185" s="2383"/>
      <c r="I185" s="2384"/>
      <c r="J185" s="2383"/>
      <c r="K185" s="2383"/>
      <c r="L185" s="2384"/>
      <c r="M185" s="2383"/>
      <c r="N185" s="2383"/>
      <c r="O185" s="2384"/>
      <c r="P185" s="2383"/>
      <c r="Q185" s="2383"/>
      <c r="R185" s="2385"/>
    </row>
    <row r="186" spans="1:18">
      <c r="A186" s="2355"/>
      <c r="B186" s="2383"/>
      <c r="C186" s="2383"/>
      <c r="E186" s="2383"/>
      <c r="F186" s="2383"/>
      <c r="G186" s="2384"/>
    </row>
    <row r="187" spans="1:18">
      <c r="A187" s="2355"/>
      <c r="B187" s="2383"/>
      <c r="C187" s="2383"/>
      <c r="E187" s="2383"/>
      <c r="F187" s="2383"/>
      <c r="G187" s="238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25" customWidth="1"/>
    <col min="2" max="9" width="15.75" style="1725" customWidth="1"/>
    <col min="10" max="16384" width="9" style="1725"/>
  </cols>
  <sheetData>
    <row r="1" spans="1:10" ht="16.5">
      <c r="A1" s="1730" t="s">
        <v>1365</v>
      </c>
      <c r="B1" s="1730">
        <f>SUM(B14:B23)</f>
        <v>20428.607999999997</v>
      </c>
      <c r="C1" s="1729"/>
      <c r="D1" s="1729"/>
      <c r="E1" s="1729"/>
      <c r="F1" s="1729"/>
      <c r="G1" s="1727"/>
    </row>
    <row r="2" spans="1:10" ht="16.5">
      <c r="A2" s="1730" t="s">
        <v>1353</v>
      </c>
      <c r="B2" s="1730">
        <f>SUM(C14:C23)</f>
        <v>8573.39</v>
      </c>
      <c r="C2" s="1729"/>
      <c r="D2" s="1729"/>
      <c r="E2" s="1729"/>
      <c r="F2" s="1729"/>
      <c r="G2" s="1727"/>
    </row>
    <row r="3" spans="1:10" ht="16.5">
      <c r="A3" s="1730" t="s">
        <v>1362</v>
      </c>
      <c r="B3" s="1731">
        <f>项目基本情况!D3</f>
        <v>43515</v>
      </c>
      <c r="C3" s="1729"/>
      <c r="D3" s="1729"/>
      <c r="E3" s="1729"/>
      <c r="F3" s="1729"/>
      <c r="G3" s="1727"/>
    </row>
    <row r="4" spans="1:10" ht="33">
      <c r="A4" s="1730" t="s">
        <v>1361</v>
      </c>
      <c r="B4" s="1730" t="s">
        <v>1360</v>
      </c>
      <c r="C4" s="1730" t="s">
        <v>1359</v>
      </c>
      <c r="D4" s="1730" t="s">
        <v>1358</v>
      </c>
      <c r="E4" s="1729"/>
      <c r="F4" s="1727"/>
      <c r="G4" s="1727"/>
    </row>
    <row r="5" spans="1:10" ht="16.5">
      <c r="A5" s="1730" t="s">
        <v>1357</v>
      </c>
      <c r="B5" s="1730">
        <f ca="1">SUM(D14:D23)</f>
        <v>15703</v>
      </c>
      <c r="C5" s="1730">
        <f ca="1">ROUND(B5*10000/$B$1,0)</f>
        <v>7687</v>
      </c>
      <c r="D5" s="1730">
        <f ca="1">ROUND(B5*10000/$B$2,0)</f>
        <v>18316</v>
      </c>
      <c r="E5" s="1729"/>
      <c r="F5" s="1727"/>
      <c r="G5" s="1727"/>
    </row>
    <row r="6" spans="1:10" ht="16.5">
      <c r="A6" s="1730" t="s">
        <v>1356</v>
      </c>
      <c r="B6" s="1730">
        <f ca="1">SUM(G14:G23)</f>
        <v>15703</v>
      </c>
      <c r="C6" s="1730">
        <f ca="1">ROUND(B6*10000/$B$1,0)</f>
        <v>7687</v>
      </c>
      <c r="D6" s="1730">
        <f ca="1">ROUND(B6*10000/$B$2,0)</f>
        <v>18316</v>
      </c>
      <c r="E6" s="1729"/>
      <c r="F6" s="1727"/>
      <c r="G6" s="1727"/>
    </row>
    <row r="7" spans="1:10" ht="16.5">
      <c r="A7" s="1730" t="s">
        <v>1364</v>
      </c>
      <c r="B7" s="1730">
        <f>SUM(H14:H23)</f>
        <v>0</v>
      </c>
      <c r="C7" s="1730">
        <f>ROUND(B7*10000/$B$1,0)</f>
        <v>0</v>
      </c>
      <c r="D7" s="1730">
        <f>ROUND(B7*10000/$B$2,0)</f>
        <v>0</v>
      </c>
      <c r="E7" s="1729"/>
      <c r="F7" s="1727"/>
      <c r="G7" s="1727"/>
    </row>
    <row r="8" spans="1:10" ht="16.5">
      <c r="A8" s="1730" t="s">
        <v>1285</v>
      </c>
      <c r="B8" s="1730">
        <f>SUM(I14:I23)</f>
        <v>0</v>
      </c>
      <c r="C8" s="1730">
        <f>ROUND(B8*10000/$B$1,0)</f>
        <v>0</v>
      </c>
      <c r="D8" s="1730">
        <f>ROUND(B8*10000/$B$2,0)</f>
        <v>0</v>
      </c>
      <c r="E8" s="1729"/>
      <c r="F8" s="1727"/>
      <c r="G8" s="1727"/>
    </row>
    <row r="9" spans="1:10" ht="16.5">
      <c r="A9" s="1730" t="s">
        <v>1355</v>
      </c>
      <c r="B9" s="1732"/>
      <c r="C9" s="1729"/>
      <c r="D9" s="1729"/>
      <c r="E9" s="1729"/>
      <c r="F9" s="1727"/>
      <c r="G9" s="1727"/>
    </row>
    <row r="10" spans="1:10" ht="16.5">
      <c r="A10" s="1730" t="s">
        <v>1354</v>
      </c>
      <c r="B10" s="1732"/>
      <c r="C10" s="1729"/>
      <c r="D10" s="1729"/>
      <c r="E10" s="1729"/>
      <c r="F10" s="1727"/>
      <c r="G10" s="1727"/>
    </row>
    <row r="11" spans="1:10" ht="16.5">
      <c r="A11" s="1730" t="s">
        <v>1370</v>
      </c>
      <c r="B11" s="1732"/>
      <c r="C11" s="1729"/>
      <c r="D11" s="1729"/>
      <c r="E11" s="1729"/>
      <c r="F11" s="1727"/>
      <c r="G11" s="1727"/>
    </row>
    <row r="12" spans="1:10" ht="16.5">
      <c r="A12" s="1729"/>
      <c r="B12" s="1729"/>
      <c r="C12" s="1729"/>
      <c r="D12" s="1729"/>
      <c r="E12" s="1729"/>
      <c r="F12" s="1727"/>
      <c r="G12" s="1727"/>
    </row>
    <row r="13" spans="1:10" ht="33">
      <c r="A13" s="1735" t="s">
        <v>1369</v>
      </c>
      <c r="B13" s="1728" t="s">
        <v>1366</v>
      </c>
      <c r="C13" s="1728" t="s">
        <v>1368</v>
      </c>
      <c r="D13" s="1728" t="s">
        <v>1367</v>
      </c>
      <c r="E13" s="1730" t="s">
        <v>1359</v>
      </c>
      <c r="F13" s="1730" t="s">
        <v>1358</v>
      </c>
      <c r="G13" s="1728" t="s">
        <v>1352</v>
      </c>
      <c r="H13" s="1728" t="s">
        <v>1363</v>
      </c>
      <c r="I13" s="1728" t="s">
        <v>1351</v>
      </c>
      <c r="J13" s="1727"/>
    </row>
    <row r="14" spans="1:10" ht="16.5">
      <c r="A14" s="1726" t="s">
        <v>1350</v>
      </c>
      <c r="B14" s="1728">
        <f>结果表!B118</f>
        <v>20428.607999999997</v>
      </c>
      <c r="C14" s="1728">
        <f>结果表!C118</f>
        <v>8573.39</v>
      </c>
      <c r="D14" s="1728">
        <f ca="1">结果表!H118</f>
        <v>15703</v>
      </c>
      <c r="E14" s="1728">
        <f ca="1">ROUND(D14*10000/B14,0)</f>
        <v>7687</v>
      </c>
      <c r="F14" s="1728">
        <f ca="1">ROUND(D14*10000/C14,0)</f>
        <v>18316</v>
      </c>
      <c r="G14" s="1728">
        <f ca="1">结果表!D122</f>
        <v>15703</v>
      </c>
      <c r="H14" s="1728" t="str">
        <f>结果表!D124</f>
        <v>——</v>
      </c>
      <c r="I14" s="1728" t="str">
        <f>结果表!D126</f>
        <v>——</v>
      </c>
      <c r="J14" s="1727"/>
    </row>
    <row r="15" spans="1:10" ht="16.5">
      <c r="A15" s="1726" t="s">
        <v>1349</v>
      </c>
      <c r="B15" s="1733"/>
      <c r="C15" s="1733"/>
      <c r="D15" s="1733"/>
      <c r="E15" s="1728" t="e">
        <f t="shared" ref="E15:E23" si="0">ROUND(D15*10000/B15,0)</f>
        <v>#DIV/0!</v>
      </c>
      <c r="F15" s="1728" t="e">
        <f t="shared" ref="F15:F23" si="1">ROUND(D15*10000/C15,0)</f>
        <v>#DIV/0!</v>
      </c>
      <c r="G15" s="1734"/>
      <c r="H15" s="1734"/>
      <c r="I15" s="1733"/>
      <c r="J15" s="1727"/>
    </row>
    <row r="16" spans="1:10" ht="16.5">
      <c r="A16" s="1726" t="s">
        <v>1348</v>
      </c>
      <c r="B16" s="1733"/>
      <c r="C16" s="1733"/>
      <c r="D16" s="1733"/>
      <c r="E16" s="1728" t="e">
        <f t="shared" si="0"/>
        <v>#DIV/0!</v>
      </c>
      <c r="F16" s="1728" t="e">
        <f t="shared" si="1"/>
        <v>#DIV/0!</v>
      </c>
      <c r="G16" s="1734"/>
      <c r="H16" s="1734"/>
      <c r="I16" s="1733"/>
    </row>
    <row r="17" spans="1:9" ht="16.5">
      <c r="A17" s="1726" t="s">
        <v>1347</v>
      </c>
      <c r="B17" s="1733"/>
      <c r="C17" s="1733"/>
      <c r="D17" s="1733"/>
      <c r="E17" s="1728" t="e">
        <f t="shared" si="0"/>
        <v>#DIV/0!</v>
      </c>
      <c r="F17" s="1728" t="e">
        <f t="shared" si="1"/>
        <v>#DIV/0!</v>
      </c>
      <c r="G17" s="1734"/>
      <c r="H17" s="1734"/>
      <c r="I17" s="1733"/>
    </row>
    <row r="18" spans="1:9" ht="16.5">
      <c r="A18" s="1726" t="s">
        <v>1346</v>
      </c>
      <c r="B18" s="1733"/>
      <c r="C18" s="1733"/>
      <c r="D18" s="1733"/>
      <c r="E18" s="1728" t="e">
        <f t="shared" si="0"/>
        <v>#DIV/0!</v>
      </c>
      <c r="F18" s="1728" t="e">
        <f t="shared" si="1"/>
        <v>#DIV/0!</v>
      </c>
      <c r="G18" s="1733"/>
      <c r="H18" s="1733"/>
      <c r="I18" s="1733"/>
    </row>
    <row r="19" spans="1:9" ht="16.5">
      <c r="A19" s="1726" t="s">
        <v>1345</v>
      </c>
      <c r="B19" s="1733"/>
      <c r="C19" s="1733"/>
      <c r="D19" s="1733"/>
      <c r="E19" s="1728" t="e">
        <f t="shared" si="0"/>
        <v>#DIV/0!</v>
      </c>
      <c r="F19" s="1728" t="e">
        <f t="shared" si="1"/>
        <v>#DIV/0!</v>
      </c>
      <c r="G19" s="1733"/>
      <c r="H19" s="1733"/>
      <c r="I19" s="1733"/>
    </row>
    <row r="20" spans="1:9" ht="16.5">
      <c r="A20" s="1726" t="s">
        <v>1344</v>
      </c>
      <c r="B20" s="1733"/>
      <c r="C20" s="1733"/>
      <c r="D20" s="1733"/>
      <c r="E20" s="1728" t="e">
        <f t="shared" si="0"/>
        <v>#DIV/0!</v>
      </c>
      <c r="F20" s="1728" t="e">
        <f t="shared" si="1"/>
        <v>#DIV/0!</v>
      </c>
      <c r="G20" s="1733"/>
      <c r="H20" s="1733"/>
      <c r="I20" s="1733"/>
    </row>
    <row r="21" spans="1:9" ht="16.5">
      <c r="A21" s="1726" t="s">
        <v>1343</v>
      </c>
      <c r="B21" s="1733"/>
      <c r="C21" s="1733"/>
      <c r="D21" s="1733"/>
      <c r="E21" s="1728" t="e">
        <f t="shared" si="0"/>
        <v>#DIV/0!</v>
      </c>
      <c r="F21" s="1728" t="e">
        <f t="shared" si="1"/>
        <v>#DIV/0!</v>
      </c>
      <c r="G21" s="1733"/>
      <c r="H21" s="1733"/>
      <c r="I21" s="1733"/>
    </row>
    <row r="22" spans="1:9" ht="16.5">
      <c r="A22" s="1726" t="s">
        <v>1342</v>
      </c>
      <c r="B22" s="1733"/>
      <c r="C22" s="1733"/>
      <c r="D22" s="1733"/>
      <c r="E22" s="1728" t="e">
        <f t="shared" si="0"/>
        <v>#DIV/0!</v>
      </c>
      <c r="F22" s="1728" t="e">
        <f t="shared" si="1"/>
        <v>#DIV/0!</v>
      </c>
      <c r="G22" s="1733"/>
      <c r="H22" s="1733"/>
      <c r="I22" s="1733"/>
    </row>
    <row r="23" spans="1:9" ht="16.5">
      <c r="A23" s="1726" t="s">
        <v>1341</v>
      </c>
      <c r="B23" s="1733"/>
      <c r="C23" s="1733"/>
      <c r="D23" s="1733"/>
      <c r="E23" s="1730" t="e">
        <f t="shared" si="0"/>
        <v>#DIV/0!</v>
      </c>
      <c r="F23" s="1730" t="e">
        <f t="shared" si="1"/>
        <v>#DIV/0!</v>
      </c>
      <c r="G23" s="1733"/>
      <c r="H23" s="1733"/>
      <c r="I23" s="1733"/>
    </row>
  </sheetData>
  <sheetProtection password="C66D" sheet="1" objects="1" scenarios="1"/>
  <phoneticPr fontId="14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03" customWidth="1"/>
    <col min="2" max="9" width="10" style="1003" customWidth="1"/>
    <col min="10" max="16384" width="9" style="1003"/>
  </cols>
  <sheetData>
    <row r="36" spans="1:9">
      <c r="A36" s="1002" t="s">
        <v>818</v>
      </c>
      <c r="B36" s="1002" t="s">
        <v>819</v>
      </c>
    </row>
    <row r="37" spans="1:9" ht="27.75" customHeight="1">
      <c r="A37" s="1002"/>
      <c r="B37" s="3078" t="str">
        <f>项目基本情况!B1</f>
        <v>出让国有建设用地使用权及在建建筑物预评估</v>
      </c>
      <c r="C37" s="3078"/>
      <c r="D37" s="3078"/>
      <c r="E37" s="3078"/>
      <c r="F37" s="3078"/>
      <c r="G37" s="3078"/>
      <c r="H37" s="3078"/>
      <c r="I37" s="3078"/>
    </row>
    <row r="38" spans="1:9">
      <c r="A38" s="1004"/>
      <c r="B38" s="1004"/>
    </row>
    <row r="39" spans="1:9">
      <c r="A39" s="1002" t="s">
        <v>818</v>
      </c>
      <c r="B39" s="1002" t="s">
        <v>820</v>
      </c>
    </row>
    <row r="40" spans="1:9">
      <c r="A40" s="1002"/>
      <c r="B40" s="1929">
        <f>项目基本情况!B5</f>
        <v>0</v>
      </c>
    </row>
    <row r="41" spans="1:9">
      <c r="A41" s="1002"/>
      <c r="B41" s="1002"/>
    </row>
    <row r="42" spans="1:9">
      <c r="A42" s="1002" t="s">
        <v>818</v>
      </c>
      <c r="B42" s="1002" t="s">
        <v>821</v>
      </c>
    </row>
    <row r="43" spans="1:9">
      <c r="A43" s="1002"/>
      <c r="B43" s="1929" t="s">
        <v>822</v>
      </c>
    </row>
    <row r="44" spans="1:9">
      <c r="A44" s="1002"/>
      <c r="B44" s="1002"/>
    </row>
    <row r="45" spans="1:9">
      <c r="A45" s="1002" t="s">
        <v>818</v>
      </c>
      <c r="B45" s="1002" t="s">
        <v>823</v>
      </c>
    </row>
    <row r="46" spans="1:9" s="1002" customFormat="1" ht="12.75">
      <c r="B46" s="1929" t="str">
        <f>项目基本情况!K4</f>
        <v>（注册号：0)、（注册号：0)</v>
      </c>
    </row>
    <row r="47" spans="1:9">
      <c r="A47" s="1002"/>
      <c r="B47" s="1002" t="str">
        <f>项目基本情况!K5</f>
        <v/>
      </c>
    </row>
    <row r="48" spans="1:9">
      <c r="A48" s="1002" t="s">
        <v>818</v>
      </c>
      <c r="B48" s="1002" t="s">
        <v>824</v>
      </c>
    </row>
    <row r="49" spans="2:2">
      <c r="B49" s="192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23" sqref="G23"/>
    </sheetView>
  </sheetViews>
  <sheetFormatPr defaultColWidth="12.625" defaultRowHeight="21.75" customHeight="1"/>
  <cols>
    <col min="1" max="2" width="12.625" style="2412"/>
    <col min="3" max="4" width="12.625" style="2412" customWidth="1"/>
    <col min="5" max="9" width="12.625" style="2412"/>
    <col min="10" max="11" width="12.625" style="786" customWidth="1"/>
    <col min="12" max="12" width="12.625" style="786"/>
    <col min="13" max="13" width="14.125" style="786" bestFit="1" customWidth="1"/>
    <col min="14" max="26" width="12.625" style="786"/>
    <col min="27" max="35" width="12.625" style="2411"/>
    <col min="36" max="16384" width="12.625" style="2412"/>
  </cols>
  <sheetData>
    <row r="1" spans="1:12" ht="21.75" customHeight="1" thickBot="1">
      <c r="A1" s="2213" t="s">
        <v>2112</v>
      </c>
      <c r="B1" s="2406"/>
      <c r="C1" s="2407"/>
      <c r="D1" s="2406"/>
      <c r="E1" s="2406"/>
      <c r="F1" s="2408" t="s">
        <v>2113</v>
      </c>
      <c r="G1" s="2058" t="s">
        <v>2114</v>
      </c>
      <c r="H1" s="2409" t="str">
        <f>IF(G1="现房","——","估价对象范围")</f>
        <v>估价对象范围</v>
      </c>
      <c r="I1" s="2410" t="s">
        <v>3196</v>
      </c>
    </row>
    <row r="2" spans="1:12" ht="21.75" customHeight="1" thickBot="1">
      <c r="A2" s="3244" t="str">
        <f>项目基本情况!S2</f>
        <v>出让国有建设用地使用权及在建建筑物房地产</v>
      </c>
      <c r="B2" s="3245"/>
      <c r="C2" s="3245"/>
      <c r="D2" s="3245"/>
      <c r="E2" s="3245"/>
      <c r="F2" s="3245"/>
      <c r="G2" s="3245"/>
      <c r="H2" s="3245"/>
      <c r="I2" s="3246"/>
    </row>
    <row r="3" spans="1:12" ht="12.75">
      <c r="A3" s="3247" t="s">
        <v>2115</v>
      </c>
      <c r="B3" s="3248"/>
      <c r="C3" s="3248"/>
      <c r="D3" s="3248"/>
      <c r="E3" s="3248"/>
      <c r="F3" s="3248"/>
      <c r="G3" s="3248"/>
      <c r="H3" s="3248"/>
      <c r="I3" s="3248"/>
    </row>
    <row r="4" spans="1:12" ht="14.25">
      <c r="A4" s="2413" t="s">
        <v>2116</v>
      </c>
      <c r="B4" s="2414" t="s">
        <v>2117</v>
      </c>
      <c r="C4" s="2415" t="s">
        <v>3137</v>
      </c>
      <c r="D4" s="2415" t="s">
        <v>3138</v>
      </c>
      <c r="E4" s="3228" t="s">
        <v>2118</v>
      </c>
      <c r="F4" s="3241"/>
      <c r="G4" s="3241"/>
      <c r="H4" s="3241"/>
      <c r="I4" s="3229"/>
      <c r="K4" s="2416" t="str">
        <f>IF(ISNUMBER(FIND("比较法",结果表!C4)),"比较法",IF(ISNUMBER(FIND("成本法",结果表!C4)),"成本法",IF(ISNUMBER(FIND("假设开发法",结果表!C4)),"假设开发法",IF(ISNUMBER(FIND("收益法",结果表!C4)),"收益法","基准地价系数修正法"))))</f>
        <v>成本法</v>
      </c>
      <c r="L4" s="2416" t="str">
        <f>IF(ISNUMBER(FIND("比较法",结果表!D4)),"比较法",IF(ISNUMBER(FIND("成本法",结果表!D4)),"成本法",IF(ISNUMBER(FIND("假设开发法",结果表!D4)),"假设开发法",IF(ISNUMBER(FIND("收益法",结果表!D4)),"收益法","基准地价系数修正法"))))</f>
        <v>假设开发法</v>
      </c>
    </row>
    <row r="5" spans="1:12" ht="12.75">
      <c r="A5" s="3219" t="s">
        <v>2119</v>
      </c>
      <c r="B5" s="3145">
        <v>25</v>
      </c>
      <c r="C5" s="3249"/>
      <c r="D5" s="3237"/>
      <c r="E5" s="131" t="s">
        <v>2120</v>
      </c>
      <c r="F5" s="2417"/>
      <c r="G5" s="2417"/>
      <c r="H5" s="2417"/>
      <c r="I5" s="1818"/>
    </row>
    <row r="6" spans="1:12" ht="12.75">
      <c r="A6" s="3219"/>
      <c r="B6" s="3145"/>
      <c r="C6" s="3251"/>
      <c r="D6" s="3237"/>
      <c r="E6" s="131" t="s">
        <v>2121</v>
      </c>
      <c r="F6" s="2417"/>
      <c r="G6" s="2417"/>
      <c r="H6" s="2417"/>
      <c r="I6" s="1818"/>
    </row>
    <row r="7" spans="1:12" ht="12.75">
      <c r="A7" s="3219"/>
      <c r="B7" s="3145"/>
      <c r="C7" s="3250"/>
      <c r="D7" s="3237"/>
      <c r="E7" s="131" t="s">
        <v>2122</v>
      </c>
      <c r="F7" s="2417"/>
      <c r="G7" s="2417"/>
      <c r="H7" s="2417"/>
      <c r="I7" s="1818"/>
    </row>
    <row r="8" spans="1:12" ht="12.75">
      <c r="A8" s="3219" t="s">
        <v>2123</v>
      </c>
      <c r="B8" s="3145">
        <v>15</v>
      </c>
      <c r="C8" s="3249"/>
      <c r="D8" s="3237"/>
      <c r="E8" s="131" t="s">
        <v>2124</v>
      </c>
      <c r="F8" s="2417"/>
      <c r="G8" s="2417"/>
      <c r="H8" s="2417"/>
      <c r="I8" s="1818"/>
    </row>
    <row r="9" spans="1:12" ht="12.75">
      <c r="A9" s="3219"/>
      <c r="B9" s="3145"/>
      <c r="C9" s="3250"/>
      <c r="D9" s="3237"/>
      <c r="E9" s="131" t="s">
        <v>2125</v>
      </c>
      <c r="F9" s="2417"/>
      <c r="G9" s="2417"/>
      <c r="H9" s="2417"/>
      <c r="I9" s="1818"/>
    </row>
    <row r="10" spans="1:12" ht="12.75">
      <c r="A10" s="3219" t="s">
        <v>2126</v>
      </c>
      <c r="B10" s="3145">
        <v>15</v>
      </c>
      <c r="C10" s="3249"/>
      <c r="D10" s="3237"/>
      <c r="E10" s="131" t="s">
        <v>2127</v>
      </c>
      <c r="F10" s="2417"/>
      <c r="G10" s="2417"/>
      <c r="H10" s="2417"/>
      <c r="I10" s="1818"/>
    </row>
    <row r="11" spans="1:12" ht="12.75">
      <c r="A11" s="3219"/>
      <c r="B11" s="3145"/>
      <c r="C11" s="3250"/>
      <c r="D11" s="3237"/>
      <c r="E11" s="131" t="s">
        <v>2128</v>
      </c>
      <c r="F11" s="2417"/>
      <c r="G11" s="2417"/>
      <c r="H11" s="2417"/>
      <c r="I11" s="1818"/>
    </row>
    <row r="12" spans="1:12" ht="12.75">
      <c r="A12" s="3219" t="s">
        <v>2129</v>
      </c>
      <c r="B12" s="3145">
        <v>15</v>
      </c>
      <c r="C12" s="3249"/>
      <c r="D12" s="3237"/>
      <c r="E12" s="131" t="s">
        <v>2130</v>
      </c>
      <c r="F12" s="2417"/>
      <c r="G12" s="2417"/>
      <c r="H12" s="2417"/>
      <c r="I12" s="1818"/>
    </row>
    <row r="13" spans="1:12" ht="12.75">
      <c r="A13" s="3219"/>
      <c r="B13" s="3145"/>
      <c r="C13" s="3250"/>
      <c r="D13" s="3237"/>
      <c r="E13" s="131" t="s">
        <v>2131</v>
      </c>
      <c r="F13" s="2417"/>
      <c r="G13" s="2417"/>
      <c r="H13" s="2417"/>
      <c r="I13" s="1818"/>
    </row>
    <row r="14" spans="1:12" ht="12.75">
      <c r="A14" s="3219" t="s">
        <v>2132</v>
      </c>
      <c r="B14" s="3145">
        <v>30</v>
      </c>
      <c r="C14" s="3249">
        <v>4</v>
      </c>
      <c r="D14" s="3237">
        <v>6</v>
      </c>
      <c r="E14" s="131" t="s">
        <v>2133</v>
      </c>
      <c r="F14" s="2417"/>
      <c r="G14" s="2417"/>
      <c r="H14" s="2417"/>
      <c r="I14" s="1818"/>
    </row>
    <row r="15" spans="1:12" ht="12.75">
      <c r="A15" s="3219"/>
      <c r="B15" s="3145"/>
      <c r="C15" s="3251"/>
      <c r="D15" s="3237"/>
      <c r="E15" s="131" t="s">
        <v>2134</v>
      </c>
      <c r="F15" s="2417"/>
      <c r="G15" s="2417"/>
      <c r="H15" s="2417"/>
      <c r="I15" s="1818"/>
    </row>
    <row r="16" spans="1:12" ht="12.75">
      <c r="A16" s="3219"/>
      <c r="B16" s="3145"/>
      <c r="C16" s="3250"/>
      <c r="D16" s="3237"/>
      <c r="E16" s="131" t="s">
        <v>2135</v>
      </c>
      <c r="F16" s="2417"/>
      <c r="G16" s="2417"/>
      <c r="H16" s="2417"/>
      <c r="I16" s="1818"/>
    </row>
    <row r="17" spans="1:35" ht="15">
      <c r="A17" s="2418" t="s">
        <v>2136</v>
      </c>
      <c r="B17" s="63"/>
      <c r="C17" s="132">
        <f>SUM(C5:C16)</f>
        <v>4</v>
      </c>
      <c r="D17" s="132">
        <f>SUM(D5:D16)</f>
        <v>6</v>
      </c>
      <c r="E17" s="129"/>
      <c r="F17" s="129"/>
      <c r="G17" s="129"/>
      <c r="H17" s="129"/>
      <c r="I17" s="129"/>
      <c r="K17" s="2416"/>
      <c r="L17" s="2419" t="s">
        <v>2137</v>
      </c>
      <c r="M17" s="2419" t="s">
        <v>2138</v>
      </c>
    </row>
    <row r="18" spans="1:35" ht="15.75" thickBot="1">
      <c r="A18" s="2420" t="s">
        <v>2139</v>
      </c>
      <c r="B18" s="2421"/>
      <c r="C18" s="133">
        <f>ROUND(C17/SUM(C17:D17),2)</f>
        <v>0.4</v>
      </c>
      <c r="D18" s="133">
        <f>1-C18</f>
        <v>0.6</v>
      </c>
      <c r="E18" s="129"/>
      <c r="F18" s="129"/>
      <c r="G18" s="129"/>
      <c r="H18" s="129"/>
      <c r="I18" s="129"/>
      <c r="K18" s="2416" t="s">
        <v>2140</v>
      </c>
      <c r="L18" s="2416">
        <f>IF(C1="",'数据-汇总表'!E3,SUMIF(项目类型,C1,'数据-汇总表'!E17:E26)+SUMIF(项目类型,C1,'数据-汇总表'!I17:I26))</f>
        <v>20428.607999999997</v>
      </c>
      <c r="M18" s="2416">
        <f>IF(C1="",'数据-汇总表'!E3,SUMIF(项目类型,C1,'数据-汇总表'!E17:E26))</f>
        <v>20428.607999999997</v>
      </c>
    </row>
    <row r="19" spans="1:35" ht="15">
      <c r="A19" s="2422" t="s">
        <v>2141</v>
      </c>
      <c r="B19" s="2423" t="s">
        <v>2142</v>
      </c>
      <c r="C19" s="134">
        <f ca="1">SUMIF(INDIRECT("'"&amp;C4&amp;"'"&amp;"!A:A"),结果表!B19,INDIRECT("'"&amp;C4&amp;"'"&amp;"!B:B"))</f>
        <v>8987</v>
      </c>
      <c r="D19" s="135">
        <f ca="1">SUMIF(INDIRECT("'"&amp;D4&amp;"'"&amp;"!A:A"),结果表!B19,INDIRECT("'"&amp;D4&amp;"'"&amp;"!B:B"))</f>
        <v>20180</v>
      </c>
      <c r="E19" s="2422" t="s">
        <v>2143</v>
      </c>
      <c r="F19" s="2423" t="s">
        <v>2142</v>
      </c>
      <c r="G19" s="136">
        <f ca="1">ROUND(C19*$C$18+D19*$D$18,0)</f>
        <v>15703</v>
      </c>
      <c r="H19" s="2424" t="s">
        <v>2144</v>
      </c>
      <c r="I19" s="129"/>
      <c r="K19" s="2416" t="s">
        <v>2145</v>
      </c>
      <c r="L19" s="2416">
        <f>IF(C1="",'数据-汇总表'!D3,SUMIF(项目类型,C1,'数据-汇总表'!D17:D26)+SUMIF(项目类型,C1,'数据-汇总表'!H17:H27))</f>
        <v>8573.39</v>
      </c>
      <c r="M19" s="2416">
        <f>IF(C1="",'数据-汇总表'!D3,SUMIF(项目类型,C1,'数据-汇总表'!D17:D26))</f>
        <v>8573.39</v>
      </c>
    </row>
    <row r="20" spans="1:35" ht="15">
      <c r="A20" s="2425"/>
      <c r="B20" s="1235" t="s">
        <v>2146</v>
      </c>
      <c r="C20" s="137">
        <f ca="1">SUMIF(INDIRECT("'"&amp;C4&amp;"'"&amp;"!A:A"),结果表!B20,INDIRECT("'"&amp;C4&amp;"'"&amp;"!B:B"))</f>
        <v>4399</v>
      </c>
      <c r="D20" s="138">
        <f ca="1">SUMIF(INDIRECT("'"&amp;D4&amp;"'"&amp;"!A:A"),结果表!B20,INDIRECT("'"&amp;D4&amp;"'"&amp;"!B:B"))</f>
        <v>9878</v>
      </c>
      <c r="E20" s="2425"/>
      <c r="F20" s="1235" t="s">
        <v>2146</v>
      </c>
      <c r="G20" s="139">
        <f ca="1">ROUND(C20*$C$18+D20*$D$18,0)</f>
        <v>7686</v>
      </c>
      <c r="H20" s="969" t="s">
        <v>2147</v>
      </c>
      <c r="I20" s="129"/>
    </row>
    <row r="21" spans="1:35" ht="15" customHeight="1" thickBot="1">
      <c r="A21" s="988"/>
      <c r="B21" s="2426" t="s">
        <v>2148</v>
      </c>
      <c r="C21" s="780">
        <f ca="1">ROUND(C19*10000/L19,0)</f>
        <v>10482</v>
      </c>
      <c r="D21" s="781">
        <f ca="1">ROUND(D19*10000/L19,0)</f>
        <v>23538</v>
      </c>
      <c r="E21" s="988"/>
      <c r="F21" s="2426" t="s">
        <v>2148</v>
      </c>
      <c r="G21" s="140">
        <f ca="1">ROUND(G19*10000/L19,0)</f>
        <v>18316</v>
      </c>
      <c r="H21" s="2427" t="s">
        <v>2147</v>
      </c>
      <c r="I21" s="129"/>
    </row>
    <row r="22" spans="1:35" ht="15" thickBot="1">
      <c r="A22" s="2268" t="s">
        <v>2149</v>
      </c>
      <c r="B22" s="2428"/>
      <c r="C22" s="2429"/>
      <c r="D22" s="782">
        <f ca="1">IF(C19&lt;D19,D19/C19-1,C19/D19-1)</f>
        <v>1.2454656726382551</v>
      </c>
      <c r="E22" s="129"/>
      <c r="F22" s="129"/>
      <c r="G22" s="129"/>
      <c r="H22" s="129"/>
      <c r="I22" s="129"/>
    </row>
    <row r="23" spans="1:35" ht="13.5" thickBot="1">
      <c r="A23" s="2406"/>
      <c r="B23" s="2406"/>
      <c r="C23" s="2406"/>
      <c r="D23" s="2406"/>
      <c r="E23" s="129"/>
      <c r="F23" s="129"/>
      <c r="G23" s="129"/>
      <c r="H23" s="129"/>
      <c r="I23" s="129"/>
    </row>
    <row r="24" spans="1:35" ht="14.25">
      <c r="A24" s="3258" t="s">
        <v>2150</v>
      </c>
      <c r="B24" s="2423" t="s">
        <v>2142</v>
      </c>
      <c r="C24" s="136">
        <f>IF(B30=0,0,D30)</f>
        <v>0</v>
      </c>
      <c r="D24" s="2430"/>
      <c r="E24" s="129"/>
      <c r="F24" s="129"/>
      <c r="G24" s="129"/>
      <c r="H24" s="129"/>
      <c r="I24" s="129"/>
    </row>
    <row r="25" spans="1:35" ht="14.25">
      <c r="A25" s="3259"/>
      <c r="B25" s="1235" t="s">
        <v>2146</v>
      </c>
      <c r="C25" s="141">
        <f>IF(B30=0,0,C30)</f>
        <v>0</v>
      </c>
      <c r="D25" s="2431"/>
      <c r="E25" s="129"/>
      <c r="F25" s="129"/>
      <c r="G25" s="129"/>
      <c r="H25" s="129"/>
      <c r="I25" s="129"/>
    </row>
    <row r="26" spans="1:35" ht="13.5" customHeight="1">
      <c r="A26" s="2432" t="s">
        <v>2151</v>
      </c>
      <c r="B26" s="142" t="s">
        <v>2152</v>
      </c>
      <c r="C26" s="142" t="s">
        <v>2153</v>
      </c>
      <c r="D26" s="143" t="s">
        <v>2154</v>
      </c>
      <c r="E26" s="129"/>
      <c r="F26" s="129"/>
      <c r="G26" s="129"/>
      <c r="H26" s="129"/>
      <c r="I26" s="129"/>
    </row>
    <row r="27" spans="1:35" ht="14.25">
      <c r="A27" s="2432"/>
      <c r="B27" s="142">
        <v>0</v>
      </c>
      <c r="C27" s="142">
        <v>0</v>
      </c>
      <c r="D27" s="143">
        <f>ROUND(C27*B27/10000,0)</f>
        <v>0</v>
      </c>
      <c r="E27" s="129"/>
      <c r="F27" s="129"/>
      <c r="G27" s="129"/>
      <c r="H27" s="129"/>
      <c r="I27" s="129"/>
    </row>
    <row r="28" spans="1:35" ht="14.25">
      <c r="A28" s="2432"/>
      <c r="B28" s="142"/>
      <c r="C28" s="142"/>
      <c r="D28" s="143"/>
      <c r="E28" s="129"/>
      <c r="F28" s="129"/>
      <c r="G28" s="129"/>
      <c r="H28" s="129"/>
      <c r="I28" s="129"/>
    </row>
    <row r="29" spans="1:35" ht="14.25">
      <c r="A29" s="2432"/>
      <c r="B29" s="142"/>
      <c r="C29" s="142"/>
      <c r="D29" s="143"/>
      <c r="E29" s="129"/>
      <c r="F29" s="129"/>
      <c r="G29" s="129"/>
      <c r="H29" s="129"/>
      <c r="I29" s="129"/>
    </row>
    <row r="30" spans="1:35" ht="14.25">
      <c r="A30" s="142" t="s">
        <v>2155</v>
      </c>
      <c r="B30" s="142"/>
      <c r="C30" s="142"/>
      <c r="D30" s="142"/>
      <c r="E30" s="2913" t="s">
        <v>3025</v>
      </c>
      <c r="F30" s="129"/>
      <c r="G30" s="129"/>
      <c r="H30" s="129"/>
      <c r="I30" s="129"/>
    </row>
    <row r="31" spans="1:35" s="2434" customFormat="1" ht="15" thickBot="1">
      <c r="A31" s="2433"/>
      <c r="B31" s="2433"/>
      <c r="C31" s="2433"/>
      <c r="D31" s="2433"/>
      <c r="E31" s="129"/>
      <c r="F31" s="129"/>
      <c r="G31" s="129"/>
      <c r="H31" s="129"/>
      <c r="I31" s="129"/>
      <c r="J31" s="786"/>
      <c r="K31" s="786"/>
      <c r="L31" s="786"/>
      <c r="M31" s="786"/>
      <c r="N31" s="786"/>
      <c r="O31" s="786"/>
      <c r="P31" s="786"/>
      <c r="Q31" s="786"/>
      <c r="R31" s="786"/>
      <c r="S31" s="786"/>
      <c r="T31" s="786"/>
      <c r="U31" s="786"/>
      <c r="V31" s="786"/>
      <c r="W31" s="786"/>
      <c r="X31" s="786"/>
      <c r="Y31" s="786"/>
      <c r="Z31" s="786"/>
      <c r="AA31" s="2411"/>
      <c r="AB31" s="2411"/>
      <c r="AC31" s="2411"/>
      <c r="AD31" s="2411"/>
      <c r="AE31" s="2411"/>
      <c r="AF31" s="2411"/>
      <c r="AG31" s="2411"/>
      <c r="AH31" s="2411"/>
      <c r="AI31" s="2411"/>
    </row>
    <row r="32" spans="1:35" ht="15.75" thickBot="1">
      <c r="A32" s="2435" t="s">
        <v>2156</v>
      </c>
      <c r="B32" s="2436"/>
      <c r="C32" s="144">
        <f ca="1">IF(D32="总价",G19-C24,G20-C25)</f>
        <v>15703</v>
      </c>
      <c r="D32" s="2437" t="s">
        <v>2157</v>
      </c>
      <c r="E32" s="129"/>
      <c r="F32" s="129"/>
      <c r="G32" s="129"/>
      <c r="H32" s="129"/>
      <c r="I32" s="129"/>
    </row>
    <row r="33" spans="1:15" ht="15">
      <c r="A33" s="946" t="s">
        <v>2158</v>
      </c>
      <c r="B33" s="2438"/>
      <c r="C33" s="2439" t="s">
        <v>3144</v>
      </c>
      <c r="D33" s="2440" t="s">
        <v>3137</v>
      </c>
      <c r="E33" s="2441" t="s">
        <v>2159</v>
      </c>
      <c r="F33" s="2442" t="str">
        <f>IF(D32="楼面单价","取值（单价）","取值（总价）")</f>
        <v>取值（总价）</v>
      </c>
      <c r="G33" s="129"/>
      <c r="H33" s="129"/>
      <c r="I33" s="129"/>
    </row>
    <row r="34" spans="1:15" ht="15">
      <c r="A34" s="2443"/>
      <c r="B34" s="2444" t="s">
        <v>2160</v>
      </c>
      <c r="C34" s="148">
        <f ca="1">IF(C33="自定义",F34,C32-C35)</f>
        <v>1209</v>
      </c>
      <c r="D34" s="1043">
        <f ca="1">IF(C33="自定义",ROUND(C34/C32,3),IF(C33="收益比率",SUMIF(INDIRECT("'"&amp;D33&amp;"'"&amp;"!b:b"),"土地收益比率",INDIRECT("'"&amp;D33&amp;"'"&amp;"!c:c")),SUMIF(INDIRECT("'"&amp;D33&amp;"'"&amp;"!b:b"),"土地成本比率",INDIRECT("'"&amp;D33&amp;"'"&amp;"!c:c"))))</f>
        <v>7.6999999999999957E-2</v>
      </c>
      <c r="E34" s="2445" t="s">
        <v>2161</v>
      </c>
      <c r="F34" s="1723"/>
      <c r="G34" s="129"/>
      <c r="H34" s="129"/>
      <c r="I34" s="129"/>
    </row>
    <row r="35" spans="1:15" ht="15.75" thickBot="1">
      <c r="A35" s="2446"/>
      <c r="B35" s="2447" t="s">
        <v>2162</v>
      </c>
      <c r="C35" s="1429">
        <f ca="1">IF(C33="自定义",F35,ROUND(C32*D35,0))</f>
        <v>14494</v>
      </c>
      <c r="D35" s="1430">
        <f ca="1">IF(C33="自定义",ROUND(C35/C32,3),IF(C33="收益比率",SUMIF(INDIRECT("'"&amp;D33&amp;"'"&amp;"!b:b"),"建筑物收益比率",INDIRECT("'"&amp;D33&amp;"'"&amp;"!c:c")),SUMIF(INDIRECT("'"&amp;D33&amp;"'"&amp;"!b:b"),"建筑物成本比率",INDIRECT("'"&amp;D33&amp;"'"&amp;"!c:c"))))</f>
        <v>0.92300000000000004</v>
      </c>
      <c r="E35" s="2448" t="s">
        <v>2163</v>
      </c>
      <c r="F35" s="154"/>
      <c r="G35" s="129"/>
      <c r="H35" s="129"/>
      <c r="I35" s="129"/>
    </row>
    <row r="36" spans="1:15" ht="15.75" thickBot="1">
      <c r="A36" s="3238" t="s">
        <v>2164</v>
      </c>
      <c r="B36" s="2449" t="s">
        <v>2165</v>
      </c>
      <c r="C36" s="145"/>
      <c r="D36" s="2450"/>
      <c r="E36" s="2451"/>
      <c r="F36" s="2452"/>
      <c r="G36" s="129"/>
      <c r="H36" s="129"/>
      <c r="I36" s="129"/>
    </row>
    <row r="37" spans="1:15" ht="15.75" thickBot="1">
      <c r="A37" s="3239"/>
      <c r="B37" s="2254" t="s">
        <v>2166</v>
      </c>
      <c r="C37" s="147"/>
      <c r="D37" s="1380"/>
      <c r="E37" s="1380"/>
      <c r="F37" s="2452"/>
      <c r="G37" s="129"/>
      <c r="H37" s="129"/>
      <c r="I37" s="129"/>
    </row>
    <row r="38" spans="1:15" ht="15.75" thickBot="1">
      <c r="A38" s="3240"/>
      <c r="B38" s="2453" t="s">
        <v>2167</v>
      </c>
      <c r="C38" s="718"/>
      <c r="D38" s="2454" t="s">
        <v>2168</v>
      </c>
      <c r="E38" s="1380"/>
      <c r="F38" s="2452"/>
      <c r="G38" s="129"/>
      <c r="H38" s="129"/>
      <c r="I38" s="129"/>
    </row>
    <row r="39" spans="1:15" ht="15">
      <c r="A39" s="2425" t="s">
        <v>2169</v>
      </c>
      <c r="B39" s="2455" t="s">
        <v>2170</v>
      </c>
      <c r="C39" s="2456" t="s">
        <v>2171</v>
      </c>
      <c r="D39" s="2456" t="s">
        <v>2172</v>
      </c>
      <c r="E39" s="2457" t="s">
        <v>2173</v>
      </c>
      <c r="F39" s="2452"/>
      <c r="G39" s="129"/>
      <c r="H39" s="129"/>
      <c r="I39" s="129"/>
    </row>
    <row r="40" spans="1:15" ht="14.25">
      <c r="A40" s="2458" t="s">
        <v>2174</v>
      </c>
      <c r="B40" s="149"/>
      <c r="C40" s="150"/>
      <c r="D40" s="150"/>
      <c r="E40" s="151"/>
      <c r="F40" s="2452"/>
      <c r="G40" s="129"/>
      <c r="H40" s="129"/>
      <c r="I40" s="129"/>
    </row>
    <row r="41" spans="1:15" ht="14.25">
      <c r="A41" s="2458" t="s">
        <v>2175</v>
      </c>
      <c r="B41" s="149"/>
      <c r="C41" s="150"/>
      <c r="D41" s="150"/>
      <c r="E41" s="151"/>
      <c r="F41" s="2452"/>
      <c r="G41" s="129"/>
      <c r="H41" s="129"/>
      <c r="I41" s="129"/>
    </row>
    <row r="42" spans="1:15" ht="15" thickBot="1">
      <c r="A42" s="2459"/>
      <c r="B42" s="152"/>
      <c r="C42" s="153"/>
      <c r="D42" s="153"/>
      <c r="E42" s="154"/>
      <c r="F42" s="2452"/>
      <c r="G42" s="129"/>
      <c r="H42" s="129"/>
      <c r="I42" s="129"/>
    </row>
    <row r="43" spans="1:15" ht="12.75">
      <c r="A43" s="2153"/>
      <c r="B43" s="2153"/>
      <c r="C43" s="2153"/>
      <c r="D43" s="2153"/>
      <c r="E43" s="2153"/>
      <c r="F43" s="2460"/>
      <c r="G43" s="2460"/>
      <c r="H43" s="2460"/>
      <c r="I43" s="2461"/>
    </row>
    <row r="44" spans="1:15" ht="18.75">
      <c r="A44" s="2462" t="s">
        <v>2176</v>
      </c>
      <c r="B44" s="2463"/>
      <c r="C44" s="2463"/>
      <c r="D44" s="2464"/>
      <c r="E44" s="2464"/>
      <c r="F44" s="2465"/>
      <c r="G44" s="2465"/>
      <c r="H44" s="2465"/>
      <c r="I44" s="2465"/>
      <c r="J44" s="2466" t="s">
        <v>2177</v>
      </c>
      <c r="K44" s="2467"/>
      <c r="L44" s="2467"/>
      <c r="M44" s="2467"/>
      <c r="N44" s="2467"/>
      <c r="O44" s="2467"/>
    </row>
    <row r="45" spans="1:15" ht="14.25" customHeight="1" thickBot="1">
      <c r="A45" s="3255" t="s">
        <v>2178</v>
      </c>
      <c r="B45" s="3256"/>
      <c r="C45" s="3257"/>
      <c r="D45" s="155">
        <f ca="1">ROUND(H101*F45,0)</f>
        <v>15703</v>
      </c>
      <c r="E45" s="156" t="s">
        <v>2179</v>
      </c>
      <c r="F45" s="157">
        <v>1</v>
      </c>
      <c r="G45" s="158" t="s">
        <v>2180</v>
      </c>
      <c r="H45" s="129"/>
      <c r="I45" s="129"/>
      <c r="J45" s="3174" t="s">
        <v>2181</v>
      </c>
      <c r="K45" s="3174"/>
      <c r="L45" s="3174"/>
      <c r="M45" s="3174"/>
      <c r="N45" s="3174"/>
      <c r="O45" s="3174"/>
    </row>
    <row r="46" spans="1:15" ht="14.25" customHeight="1">
      <c r="A46" s="3252" t="s">
        <v>2182</v>
      </c>
      <c r="B46" s="3253"/>
      <c r="C46" s="3253"/>
      <c r="D46" s="3253"/>
      <c r="E46" s="3253"/>
      <c r="F46" s="3253"/>
      <c r="G46" s="3254"/>
      <c r="H46" s="2468"/>
      <c r="I46" s="159"/>
      <c r="J46" s="1796">
        <v>1</v>
      </c>
      <c r="K46" s="3174" t="s">
        <v>2183</v>
      </c>
      <c r="L46" s="3174"/>
      <c r="M46" s="3175"/>
      <c r="N46" s="3175"/>
      <c r="O46" s="3175"/>
    </row>
    <row r="47" spans="1:15" ht="12" customHeight="1">
      <c r="A47" s="160" t="s">
        <v>2184</v>
      </c>
      <c r="B47" s="161"/>
      <c r="C47" s="162"/>
      <c r="D47" s="163" t="s">
        <v>2185</v>
      </c>
      <c r="E47" s="24" t="s">
        <v>2186</v>
      </c>
      <c r="F47" s="164" t="s">
        <v>2187</v>
      </c>
      <c r="G47" s="165" t="s">
        <v>2188</v>
      </c>
      <c r="H47" s="2468"/>
      <c r="I47" s="159"/>
      <c r="J47" s="1796">
        <v>2</v>
      </c>
      <c r="K47" s="3174" t="s">
        <v>2189</v>
      </c>
      <c r="L47" s="3174"/>
      <c r="M47" s="3176">
        <f>'数据-取费表'!B2</f>
        <v>43515</v>
      </c>
      <c r="N47" s="3176"/>
      <c r="O47" s="3176"/>
    </row>
    <row r="48" spans="1:15" ht="25.5">
      <c r="A48" s="3242" t="s">
        <v>2190</v>
      </c>
      <c r="B48" s="3243"/>
      <c r="C48" s="3243"/>
      <c r="D48" s="131">
        <f ca="1">IF(H48="情况1",0,IF(H48="情况2",D52,IF(H48="情况3",D53,IF(H48="情况4",D54))))</f>
        <v>837</v>
      </c>
      <c r="E48" s="1785" t="str">
        <f>IF(H48="情况4","(销售额-原购置价)×税（费）率","销售额×税（费）率")</f>
        <v>销售额×税（费）率</v>
      </c>
      <c r="F48" s="166">
        <f>IF(H48="情况1","免征",'数据-取费表'!B41)</f>
        <v>5.6000000000000001E-2</v>
      </c>
      <c r="G48" s="2469" t="s">
        <v>2191</v>
      </c>
      <c r="H48" s="2470" t="s">
        <v>3152</v>
      </c>
      <c r="I48" s="2468"/>
      <c r="J48" s="1796">
        <v>3</v>
      </c>
      <c r="K48" s="3174" t="s">
        <v>2192</v>
      </c>
      <c r="L48" s="3174"/>
      <c r="M48" s="3177">
        <f ca="1">H101</f>
        <v>15703</v>
      </c>
      <c r="N48" s="3177"/>
      <c r="O48" s="3177"/>
    </row>
    <row r="49" spans="1:35" ht="25.5" customHeight="1">
      <c r="A49" s="167" t="s">
        <v>2193</v>
      </c>
      <c r="B49" s="3222" t="s">
        <v>2194</v>
      </c>
      <c r="C49" s="3222"/>
      <c r="D49" s="168">
        <v>0</v>
      </c>
      <c r="E49" s="23" t="s">
        <v>2195</v>
      </c>
      <c r="F49" s="28" t="s">
        <v>34</v>
      </c>
      <c r="G49" s="3203"/>
      <c r="H49" s="129"/>
      <c r="I49" s="2471"/>
      <c r="J49" s="1796">
        <v>4</v>
      </c>
      <c r="K49" s="3174" t="str">
        <f>IF(项目基本情况!E8="房地产抵押价值","房地产抵押价值","抵押担保权已注销时的房地产抵押价值")</f>
        <v>抵押担保权已注销时的房地产抵押价值</v>
      </c>
      <c r="L49" s="3174"/>
      <c r="M49" s="3177" t="str">
        <f>IF(项目基本情况!E8="房地产抵押价值",H107,H109)</f>
        <v>——</v>
      </c>
      <c r="N49" s="3177"/>
      <c r="O49" s="3177"/>
    </row>
    <row r="50" spans="1:35" ht="25.5" customHeight="1">
      <c r="A50" s="169"/>
      <c r="B50" s="3222" t="s">
        <v>2196</v>
      </c>
      <c r="C50" s="3222"/>
      <c r="D50" s="170"/>
      <c r="E50" s="31"/>
      <c r="F50" s="171"/>
      <c r="G50" s="3204"/>
      <c r="H50" s="129"/>
      <c r="I50" s="2471"/>
      <c r="J50" s="3174" t="s">
        <v>2197</v>
      </c>
      <c r="K50" s="3174"/>
      <c r="L50" s="3174"/>
      <c r="M50" s="3174"/>
      <c r="N50" s="3174"/>
      <c r="O50" s="3174"/>
    </row>
    <row r="51" spans="1:35" ht="12" customHeight="1">
      <c r="A51" s="172"/>
      <c r="B51" s="3222" t="s">
        <v>2198</v>
      </c>
      <c r="C51" s="3222"/>
      <c r="D51" s="173"/>
      <c r="E51" s="30"/>
      <c r="F51" s="171"/>
      <c r="G51" s="3205"/>
      <c r="H51" s="129"/>
      <c r="I51" s="2471"/>
      <c r="J51" s="2472" t="s">
        <v>2199</v>
      </c>
      <c r="K51" s="3174" t="s">
        <v>2200</v>
      </c>
      <c r="L51" s="3174"/>
      <c r="M51" s="2472" t="s">
        <v>2201</v>
      </c>
      <c r="N51" s="2472" t="s">
        <v>2202</v>
      </c>
      <c r="O51" s="2472" t="s">
        <v>2203</v>
      </c>
    </row>
    <row r="52" spans="1:35" ht="24" customHeight="1">
      <c r="A52" s="174" t="s">
        <v>2204</v>
      </c>
      <c r="B52" s="3222" t="s">
        <v>2205</v>
      </c>
      <c r="C52" s="3222"/>
      <c r="D52" s="173">
        <f ca="1">ROUND(D45*'数据-取费表'!B41/(1+'数据-取费表'!C42),0)</f>
        <v>837</v>
      </c>
      <c r="E52" s="11" t="s">
        <v>2206</v>
      </c>
      <c r="F52" s="175">
        <f>'数据-取费表'!B41</f>
        <v>5.6000000000000001E-2</v>
      </c>
      <c r="G52" s="2473"/>
      <c r="H52" s="129"/>
      <c r="I52" s="2471"/>
      <c r="J52" s="1796">
        <v>1</v>
      </c>
      <c r="K52" s="3197" t="s">
        <v>2207</v>
      </c>
      <c r="L52" s="3197"/>
      <c r="M52" s="1738">
        <f ca="1">D48</f>
        <v>837</v>
      </c>
      <c r="N52" s="1796" t="str">
        <f>E48</f>
        <v>销售额×税（费）率</v>
      </c>
      <c r="O52" s="1739">
        <f>F48</f>
        <v>5.6000000000000001E-2</v>
      </c>
    </row>
    <row r="53" spans="1:35" ht="12" customHeight="1">
      <c r="A53" s="174" t="s">
        <v>2208</v>
      </c>
      <c r="B53" s="3223" t="s">
        <v>2209</v>
      </c>
      <c r="C53" s="3224"/>
      <c r="D53" s="173">
        <f ca="1">ROUND(D45*'数据-取费表'!B41/(1+'数据-取费表'!C42),0)</f>
        <v>837</v>
      </c>
      <c r="E53" s="11" t="s">
        <v>2206</v>
      </c>
      <c r="F53" s="175">
        <f>'数据-取费表'!B41</f>
        <v>5.6000000000000001E-2</v>
      </c>
      <c r="G53" s="2473"/>
      <c r="H53" s="129"/>
      <c r="I53" s="2471"/>
      <c r="J53" s="1796">
        <v>2</v>
      </c>
      <c r="K53" s="3197" t="s">
        <v>2210</v>
      </c>
      <c r="L53" s="3197"/>
      <c r="M53" s="1738">
        <f t="shared" ref="M53:O54" ca="1" si="0">D55</f>
        <v>8</v>
      </c>
      <c r="N53" s="1796" t="str">
        <f t="shared" si="0"/>
        <v>销售额×税（费）率</v>
      </c>
      <c r="O53" s="1739">
        <f t="shared" si="0"/>
        <v>5.0000000000000001E-4</v>
      </c>
    </row>
    <row r="54" spans="1:35" ht="12" customHeight="1">
      <c r="A54" s="174" t="s">
        <v>2211</v>
      </c>
      <c r="B54" s="3223" t="s">
        <v>2212</v>
      </c>
      <c r="C54" s="3224"/>
      <c r="D54" s="173">
        <f ca="1">C68</f>
        <v>837</v>
      </c>
      <c r="E54" s="30" t="s">
        <v>2213</v>
      </c>
      <c r="F54" s="175">
        <f>'数据-取费表'!B41</f>
        <v>5.6000000000000001E-2</v>
      </c>
      <c r="G54" s="2473"/>
      <c r="H54" s="2474"/>
      <c r="I54" s="2471"/>
      <c r="J54" s="1796">
        <v>3</v>
      </c>
      <c r="K54" s="3197" t="s">
        <v>2214</v>
      </c>
      <c r="L54" s="3197"/>
      <c r="M54" s="1738">
        <f t="shared" ca="1" si="0"/>
        <v>0</v>
      </c>
      <c r="N54" s="1796" t="str">
        <f t="shared" si="0"/>
        <v>增值额×税（费）率</v>
      </c>
      <c r="O54" s="1740" t="str">
        <f t="shared" si="0"/>
        <v>——</v>
      </c>
    </row>
    <row r="55" spans="1:35" ht="24" customHeight="1">
      <c r="A55" s="3261" t="s">
        <v>2215</v>
      </c>
      <c r="B55" s="3243"/>
      <c r="C55" s="3243"/>
      <c r="D55" s="176">
        <f ca="1">IF(H55="个人住宅",0,ROUND(D45*I55,0))</f>
        <v>8</v>
      </c>
      <c r="E55" s="11" t="s">
        <v>2216</v>
      </c>
      <c r="F55" s="175">
        <f>IF(H55="正常",I55,"免征")</f>
        <v>5.0000000000000001E-4</v>
      </c>
      <c r="G55" s="2473"/>
      <c r="H55" s="2470" t="s">
        <v>2217</v>
      </c>
      <c r="I55" s="177">
        <f>'数据-取费表'!B49</f>
        <v>5.0000000000000001E-4</v>
      </c>
      <c r="J55" s="1796" t="str">
        <f>IF(H59="非个人房产","",4)</f>
        <v/>
      </c>
      <c r="K55" s="3197" t="str">
        <f>IF(H59="非个人房产","——","个人所得税")</f>
        <v>——</v>
      </c>
      <c r="L55" s="3197"/>
      <c r="M55" s="1741" t="str">
        <f>D59</f>
        <v>——</v>
      </c>
      <c r="N55" s="1794" t="str">
        <f>E59</f>
        <v>——</v>
      </c>
      <c r="O55" s="1742" t="str">
        <f>F59</f>
        <v>——</v>
      </c>
    </row>
    <row r="56" spans="1:35" ht="24.75">
      <c r="A56" s="3261" t="s">
        <v>2218</v>
      </c>
      <c r="B56" s="3243"/>
      <c r="C56" s="3243"/>
      <c r="D56" s="176">
        <f ca="1">IF(H56="个人住宅",D57,D58)</f>
        <v>0</v>
      </c>
      <c r="E56" s="11" t="s">
        <v>2219</v>
      </c>
      <c r="F56" s="175" t="str">
        <f>IF(H56="正常",F58,"免征")</f>
        <v>——</v>
      </c>
      <c r="G56" s="2475" t="s">
        <v>2220</v>
      </c>
      <c r="H56" s="2476" t="s">
        <v>2217</v>
      </c>
      <c r="I56" s="2477"/>
      <c r="J56" s="1796" t="str">
        <f>IF(项目基本情况!K6="上海银行",IF(J55="",4,J55+1),"")</f>
        <v/>
      </c>
      <c r="K56" s="3180" t="str">
        <f>IF(项目基本情况!K6="上海银行","其他处置费用","")</f>
        <v/>
      </c>
      <c r="L56" s="3181"/>
      <c r="M56" s="1738" t="str">
        <f>IF(项目基本情况!K6="上海银行",M69,"")</f>
        <v/>
      </c>
      <c r="N56" s="3183" t="str">
        <f>IF(项目基本情况!K6="上海银行","包含处置中涉及的律师、诉讼、拍卖、评估等费用","")</f>
        <v/>
      </c>
      <c r="O56" s="3184"/>
    </row>
    <row r="57" spans="1:35" ht="12.75">
      <c r="A57" s="174" t="s">
        <v>2193</v>
      </c>
      <c r="B57" s="3228" t="s">
        <v>2221</v>
      </c>
      <c r="C57" s="3229"/>
      <c r="D57" s="178">
        <v>0</v>
      </c>
      <c r="E57" s="23" t="s">
        <v>2195</v>
      </c>
      <c r="F57" s="146"/>
      <c r="G57" s="2473"/>
      <c r="H57" s="2477"/>
      <c r="I57" s="2477"/>
      <c r="J57" s="3197">
        <f>IF(AND(J55="",J56=""),4,IF(项目基本情况!K6="上海银行",结果表!J56+1,结果表!J55+1))</f>
        <v>4</v>
      </c>
      <c r="K57" s="3197" t="s">
        <v>2222</v>
      </c>
      <c r="L57" s="2478" t="s">
        <v>2223</v>
      </c>
      <c r="M57" s="1743"/>
      <c r="N57" s="1744">
        <f ca="1">SUMIF(M52:M56,"&lt;9e307")</f>
        <v>845</v>
      </c>
      <c r="O57" s="2479"/>
      <c r="P57" s="1737" t="e">
        <f ca="1">N57/M49</f>
        <v>#VALUE!</v>
      </c>
    </row>
    <row r="58" spans="1:35" ht="24.75">
      <c r="A58" s="174" t="s">
        <v>2204</v>
      </c>
      <c r="B58" s="3228" t="s">
        <v>2224</v>
      </c>
      <c r="C58" s="3241"/>
      <c r="D58" s="176">
        <f ca="1">IF(H58="转让取得",C81,C97)</f>
        <v>0</v>
      </c>
      <c r="E58" s="11" t="s">
        <v>2219</v>
      </c>
      <c r="F58" s="24" t="s">
        <v>34</v>
      </c>
      <c r="G58" s="2473"/>
      <c r="H58" s="2476" t="s">
        <v>2225</v>
      </c>
      <c r="I58" s="2477"/>
      <c r="J58" s="3197"/>
      <c r="K58" s="3197"/>
      <c r="L58" s="2478" t="s">
        <v>2226</v>
      </c>
      <c r="M58" s="1745"/>
      <c r="N58" s="2480" t="str">
        <f ca="1">NUMBERSTRING(INT(N57*10000),2)&amp;"元整"</f>
        <v>捌佰肆拾伍万元整</v>
      </c>
      <c r="O58" s="2481"/>
    </row>
    <row r="59" spans="1:35" ht="24.75" thickBot="1">
      <c r="A59" s="3201" t="s">
        <v>2227</v>
      </c>
      <c r="B59" s="3202"/>
      <c r="C59" s="3202"/>
      <c r="D59" s="179" t="str">
        <f>IF(H59="非个人房产","——",IF(H59="个人住宅",0,ROUND(D45*I59,0)))</f>
        <v>——</v>
      </c>
      <c r="E59" s="180" t="str">
        <f>IF(H59="非个人房产","——","销售额×税（费）率")</f>
        <v>——</v>
      </c>
      <c r="F59" s="181" t="str">
        <f>IF(H59="非个人房产","——",IF(H59="个人住宅","免征",I59))</f>
        <v>——</v>
      </c>
      <c r="G59" s="2482" t="s">
        <v>2220</v>
      </c>
      <c r="H59" s="2476" t="s">
        <v>2228</v>
      </c>
      <c r="I59" s="182">
        <v>0.01</v>
      </c>
      <c r="J59" s="3199">
        <f>J57+1</f>
        <v>5</v>
      </c>
      <c r="K59" s="3197" t="s">
        <v>2229</v>
      </c>
      <c r="L59" s="1796" t="s">
        <v>2223</v>
      </c>
      <c r="M59" s="1746"/>
      <c r="N59" s="1747" t="e">
        <f ca="1">M49-N57</f>
        <v>#VALUE!</v>
      </c>
      <c r="O59" s="2483"/>
    </row>
    <row r="60" spans="1:35" ht="12" customHeight="1">
      <c r="A60" s="2484"/>
      <c r="B60" s="2406"/>
      <c r="C60" s="2406"/>
      <c r="D60" s="2406"/>
      <c r="E60" s="2154"/>
      <c r="F60" s="2477"/>
      <c r="G60" s="2477"/>
      <c r="H60" s="2485"/>
      <c r="I60" s="129"/>
      <c r="J60" s="3200"/>
      <c r="K60" s="3197"/>
      <c r="L60" s="2478" t="s">
        <v>2226</v>
      </c>
      <c r="M60" s="1745"/>
      <c r="N60" s="2480" t="e">
        <f ca="1">NUMBERSTRING(INT(N59*10000),2)&amp;"元整"</f>
        <v>#VALUE!</v>
      </c>
      <c r="O60" s="2481"/>
    </row>
    <row r="61" spans="1:35" ht="13.5" thickBot="1">
      <c r="A61" s="3260" t="s">
        <v>2230</v>
      </c>
      <c r="B61" s="3260"/>
      <c r="C61" s="3260"/>
      <c r="D61" s="3260"/>
      <c r="E61" s="3260"/>
      <c r="F61" s="2477"/>
      <c r="G61" s="2477"/>
      <c r="H61" s="2485"/>
      <c r="I61" s="129"/>
      <c r="J61" s="1796">
        <f>J59+1</f>
        <v>6</v>
      </c>
      <c r="K61" s="3197" t="s">
        <v>2231</v>
      </c>
      <c r="L61" s="3197"/>
      <c r="M61" s="1748"/>
      <c r="N61" s="1749" t="e">
        <f ca="1">ROUND(N59*10000/'数据-汇总表'!E3,0)</f>
        <v>#VALUE!</v>
      </c>
      <c r="O61" s="2486"/>
    </row>
    <row r="62" spans="1:35" ht="12.75">
      <c r="A62" s="3217" t="s">
        <v>2232</v>
      </c>
      <c r="B62" s="3218"/>
      <c r="C62" s="1788"/>
      <c r="D62" s="1788" t="s">
        <v>2233</v>
      </c>
      <c r="E62" s="183" t="s">
        <v>2234</v>
      </c>
      <c r="F62" s="2477"/>
      <c r="G62" s="2477"/>
      <c r="H62" s="2485"/>
      <c r="I62" s="129"/>
    </row>
    <row r="63" spans="1:35" ht="12.75">
      <c r="A63" s="194" t="s">
        <v>775</v>
      </c>
      <c r="B63" s="184" t="s">
        <v>2235</v>
      </c>
      <c r="C63" s="185">
        <f ca="1">ROUND((C64+C65)/(1+'数据-取费表'!C42),0)</f>
        <v>14955</v>
      </c>
      <c r="D63" s="186"/>
      <c r="E63" s="187"/>
      <c r="F63" s="2477"/>
      <c r="G63" s="2477"/>
      <c r="H63" s="2485"/>
      <c r="I63" s="129"/>
      <c r="J63" s="3182" t="s">
        <v>2236</v>
      </c>
      <c r="K63" s="2487" t="s">
        <v>2237</v>
      </c>
      <c r="L63" s="1736" t="e">
        <f>IF(M49&gt;10000,M49*0.5%,IF(AND(M49&gt;1000,M49&lt;=10000),M49*1%,IF(AND(M49&gt;100,M49&lt;=1000),M49*3%,IF(AND(M49&gt;10,M49&lt;=100),M49*5%,M49*8%))))</f>
        <v>#VALUE!</v>
      </c>
      <c r="M63" s="24" t="e">
        <f>ROUND(L63,1)</f>
        <v>#VALUE!</v>
      </c>
      <c r="Z63" s="2411"/>
      <c r="AI63" s="2412"/>
    </row>
    <row r="64" spans="1:35" ht="14.25" customHeight="1">
      <c r="A64" s="188" t="s">
        <v>770</v>
      </c>
      <c r="B64" s="189" t="s">
        <v>2238</v>
      </c>
      <c r="C64" s="190">
        <f ca="1">D45</f>
        <v>15703</v>
      </c>
      <c r="D64" s="191" t="s">
        <v>32</v>
      </c>
      <c r="E64" s="192"/>
      <c r="F64" s="2477"/>
      <c r="G64" s="2477"/>
      <c r="H64" s="2485"/>
      <c r="I64" s="129"/>
      <c r="J64" s="3182"/>
      <c r="K64" s="2487" t="s">
        <v>2239</v>
      </c>
      <c r="L64" s="1736"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29" t="s">
        <v>2240</v>
      </c>
      <c r="Z64" s="2411"/>
      <c r="AI64" s="2412"/>
    </row>
    <row r="65" spans="1:35" ht="14.25" customHeight="1">
      <c r="A65" s="188" t="s">
        <v>771</v>
      </c>
      <c r="B65" s="189" t="s">
        <v>2241</v>
      </c>
      <c r="C65" s="193"/>
      <c r="D65" s="191"/>
      <c r="E65" s="192"/>
      <c r="F65" s="2477"/>
      <c r="G65" s="2477"/>
      <c r="H65" s="2485"/>
      <c r="I65" s="129"/>
      <c r="J65" s="3182"/>
      <c r="K65" s="2487" t="s">
        <v>2242</v>
      </c>
      <c r="L65" s="1736" t="e">
        <f>IF(M49&gt;1000,M49*0.1%,IF(AND(M49&gt;500,M49&lt;=1000),M49*0.5%,IF(AND(M49&gt;50,M49&lt;=500),M49*1%,IF(AND(M49&gt;1,M49&lt;=50),M49*1.5%))))</f>
        <v>#VALUE!</v>
      </c>
      <c r="M65" s="24" t="e">
        <f t="shared" si="1"/>
        <v>#VALUE!</v>
      </c>
      <c r="N65" s="129" t="s">
        <v>2240</v>
      </c>
      <c r="Z65" s="2411"/>
      <c r="AI65" s="2412"/>
    </row>
    <row r="66" spans="1:35" ht="14.25" customHeight="1">
      <c r="A66" s="194" t="s">
        <v>772</v>
      </c>
      <c r="B66" s="195" t="s">
        <v>2243</v>
      </c>
      <c r="C66" s="196"/>
      <c r="D66" s="197" t="s">
        <v>32</v>
      </c>
      <c r="E66" s="1760" t="s">
        <v>1371</v>
      </c>
      <c r="F66" s="2477"/>
      <c r="G66" s="2477"/>
      <c r="H66" s="2485"/>
      <c r="I66" s="129"/>
      <c r="J66" s="3182"/>
      <c r="K66" s="2487" t="s">
        <v>2244</v>
      </c>
      <c r="L66" s="1736" t="e">
        <f>M49*0.5%</f>
        <v>#VALUE!</v>
      </c>
      <c r="M66" s="24" t="e">
        <f>IF(L66&gt;0.5,0.5,ROUND(L66,0))</f>
        <v>#VALUE!</v>
      </c>
      <c r="N66" s="129" t="s">
        <v>2245</v>
      </c>
      <c r="Z66" s="2411"/>
      <c r="AI66" s="2412"/>
    </row>
    <row r="67" spans="1:35" ht="14.25" customHeight="1">
      <c r="A67" s="194" t="s">
        <v>773</v>
      </c>
      <c r="B67" s="195" t="s">
        <v>2246</v>
      </c>
      <c r="C67" s="198">
        <f ca="1">C63-C66</f>
        <v>14955</v>
      </c>
      <c r="D67" s="191" t="s">
        <v>32</v>
      </c>
      <c r="E67" s="192"/>
      <c r="F67" s="2477"/>
      <c r="G67" s="2477"/>
      <c r="H67" s="2485"/>
      <c r="I67" s="129"/>
      <c r="J67" s="3182"/>
      <c r="K67" s="2487" t="s">
        <v>2247</v>
      </c>
      <c r="L67" s="1736"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1"/>
      <c r="AI67" s="2412"/>
    </row>
    <row r="68" spans="1:35" ht="14.25" customHeight="1" thickBot="1">
      <c r="A68" s="199" t="s">
        <v>774</v>
      </c>
      <c r="B68" s="200" t="s">
        <v>2248</v>
      </c>
      <c r="C68" s="201">
        <f ca="1">IF(C67&lt;=0,0,ROUND(C67*D68,0))</f>
        <v>837</v>
      </c>
      <c r="D68" s="202">
        <f>'数据-取费表'!B41</f>
        <v>5.6000000000000001E-2</v>
      </c>
      <c r="E68" s="203"/>
      <c r="F68" s="2477"/>
      <c r="G68" s="2477"/>
      <c r="H68" s="2485"/>
      <c r="I68" s="129"/>
      <c r="J68" s="3182"/>
      <c r="K68" s="2487" t="s">
        <v>2249</v>
      </c>
      <c r="L68" s="1736" t="e">
        <f>IF(M49&gt;10000,M49*0.5%,IF(AND(M49&gt;5000,M49&lt;=10000),M49*1%,IF(AND(M49&gt;1000,M49&lt;=5000),M49*2%,IF(AND(M49&gt;200,M49&lt;=1000),M49*3%,M49*5%))))</f>
        <v>#VALUE!</v>
      </c>
      <c r="M68" s="24" t="e">
        <f>ROUND(L68,1)</f>
        <v>#VALUE!</v>
      </c>
      <c r="Z68" s="2411"/>
      <c r="AI68" s="2412"/>
    </row>
    <row r="69" spans="1:35" s="2434" customFormat="1" ht="16.5" customHeight="1">
      <c r="A69" s="2488"/>
      <c r="B69" s="2489"/>
      <c r="C69" s="2490"/>
      <c r="D69" s="2491"/>
      <c r="E69" s="2492"/>
      <c r="F69" s="2154"/>
      <c r="G69" s="2154"/>
      <c r="H69" s="2153"/>
      <c r="I69" s="2406"/>
      <c r="J69" s="3182"/>
      <c r="K69" s="2487" t="s">
        <v>2250</v>
      </c>
      <c r="L69" s="2493"/>
      <c r="M69" s="24" t="e">
        <f>ROUND(SUM(M63:M68),0)</f>
        <v>#VALUE!</v>
      </c>
      <c r="N69" s="1737" t="e">
        <f>M69/M49</f>
        <v>#VALUE!</v>
      </c>
      <c r="O69" s="786"/>
      <c r="P69" s="786"/>
      <c r="Q69" s="786"/>
      <c r="R69" s="786"/>
      <c r="S69" s="786"/>
      <c r="T69" s="786"/>
      <c r="U69" s="786"/>
      <c r="V69" s="786"/>
      <c r="W69" s="786"/>
      <c r="X69" s="786"/>
      <c r="Y69" s="786"/>
      <c r="Z69" s="2411"/>
      <c r="AA69" s="2411"/>
      <c r="AB69" s="2411"/>
      <c r="AC69" s="2411"/>
      <c r="AD69" s="2411"/>
      <c r="AE69" s="2411"/>
      <c r="AF69" s="2411"/>
      <c r="AG69" s="2411"/>
      <c r="AH69" s="2411"/>
    </row>
    <row r="70" spans="1:35" s="2495" customFormat="1" ht="15" thickBot="1">
      <c r="A70" s="3226" t="s">
        <v>2251</v>
      </c>
      <c r="B70" s="3227"/>
      <c r="C70" s="3227"/>
      <c r="D70" s="3227"/>
      <c r="E70" s="3227"/>
      <c r="F70" s="3227"/>
      <c r="G70" s="3227"/>
      <c r="H70" s="3227"/>
      <c r="I70" s="2494"/>
      <c r="N70" s="2496"/>
      <c r="O70" s="2496"/>
      <c r="P70" s="2496"/>
      <c r="Q70" s="2496"/>
      <c r="R70" s="2496"/>
      <c r="S70" s="2496"/>
      <c r="T70" s="2496"/>
      <c r="U70" s="2496"/>
      <c r="V70" s="2496"/>
      <c r="W70" s="2496"/>
      <c r="X70" s="2496"/>
      <c r="Y70" s="2496"/>
      <c r="Z70" s="2496"/>
      <c r="AA70" s="2497"/>
      <c r="AB70" s="2497"/>
      <c r="AC70" s="2497"/>
      <c r="AD70" s="2497"/>
      <c r="AE70" s="2497"/>
      <c r="AF70" s="2497"/>
      <c r="AG70" s="2497"/>
      <c r="AH70" s="2497"/>
      <c r="AI70" s="2497"/>
    </row>
    <row r="71" spans="1:35" s="2495" customFormat="1" ht="14.25">
      <c r="A71" s="3217" t="s">
        <v>2232</v>
      </c>
      <c r="B71" s="3218"/>
      <c r="C71" s="1788"/>
      <c r="D71" s="1788" t="s">
        <v>2233</v>
      </c>
      <c r="E71" s="204" t="s">
        <v>2234</v>
      </c>
      <c r="F71" s="205"/>
      <c r="G71" s="205"/>
      <c r="H71" s="206"/>
      <c r="I71" s="2498"/>
      <c r="N71" s="2496"/>
      <c r="O71" s="2496"/>
      <c r="P71" s="2496"/>
      <c r="Q71" s="2496"/>
      <c r="R71" s="2496"/>
      <c r="S71" s="2496"/>
      <c r="T71" s="2496"/>
      <c r="U71" s="2496"/>
      <c r="V71" s="2496"/>
      <c r="W71" s="2496"/>
      <c r="X71" s="2496"/>
      <c r="Y71" s="2496"/>
      <c r="Z71" s="2496"/>
      <c r="AA71" s="2497"/>
      <c r="AB71" s="2497"/>
      <c r="AC71" s="2497"/>
      <c r="AD71" s="2497"/>
      <c r="AE71" s="2497"/>
      <c r="AF71" s="2497"/>
      <c r="AG71" s="2497"/>
      <c r="AH71" s="2497"/>
      <c r="AI71" s="2497"/>
    </row>
    <row r="72" spans="1:35" s="2495" customFormat="1" ht="14.25">
      <c r="A72" s="194" t="s">
        <v>775</v>
      </c>
      <c r="B72" s="195" t="s">
        <v>2252</v>
      </c>
      <c r="C72" s="198">
        <f ca="1">ROUND(D45/(1+'数据-取费表'!C42),0)</f>
        <v>14955</v>
      </c>
      <c r="D72" s="191" t="s">
        <v>32</v>
      </c>
      <c r="E72" s="1787"/>
      <c r="F72" s="1781"/>
      <c r="G72" s="1781"/>
      <c r="H72" s="207"/>
      <c r="I72" s="2498"/>
      <c r="N72" s="2496"/>
      <c r="O72" s="2496"/>
      <c r="P72" s="2496"/>
      <c r="Q72" s="2496"/>
      <c r="R72" s="2496"/>
      <c r="S72" s="2496"/>
      <c r="T72" s="2496"/>
      <c r="U72" s="2496"/>
      <c r="V72" s="2496"/>
      <c r="W72" s="2496"/>
      <c r="X72" s="2496"/>
      <c r="Y72" s="2496"/>
      <c r="Z72" s="2496"/>
      <c r="AA72" s="2497"/>
      <c r="AB72" s="2497"/>
      <c r="AC72" s="2497"/>
      <c r="AD72" s="2497"/>
      <c r="AE72" s="2497"/>
      <c r="AF72" s="2497"/>
      <c r="AG72" s="2497"/>
      <c r="AH72" s="2497"/>
      <c r="AI72" s="2497"/>
    </row>
    <row r="73" spans="1:35" s="2495" customFormat="1" ht="14.25">
      <c r="A73" s="194" t="s">
        <v>772</v>
      </c>
      <c r="B73" s="164" t="s">
        <v>2253</v>
      </c>
      <c r="C73" s="198">
        <f ca="1">C74+C78</f>
        <v>90</v>
      </c>
      <c r="D73" s="191" t="s">
        <v>32</v>
      </c>
      <c r="E73" s="1787"/>
      <c r="F73" s="1781"/>
      <c r="G73" s="1781"/>
      <c r="H73" s="207"/>
      <c r="I73" s="2498"/>
      <c r="J73" s="2496"/>
      <c r="K73" s="2496"/>
      <c r="L73" s="2496"/>
      <c r="M73" s="2496"/>
      <c r="N73" s="2496"/>
      <c r="O73" s="2496"/>
      <c r="P73" s="2496"/>
      <c r="Q73" s="2496"/>
      <c r="R73" s="2496"/>
      <c r="S73" s="2496"/>
      <c r="T73" s="2496"/>
      <c r="U73" s="2496"/>
      <c r="V73" s="2496"/>
      <c r="W73" s="2496"/>
      <c r="X73" s="2496"/>
      <c r="Y73" s="2496"/>
      <c r="Z73" s="2496"/>
      <c r="AA73" s="2497"/>
      <c r="AB73" s="2497"/>
      <c r="AC73" s="2497"/>
      <c r="AD73" s="2497"/>
      <c r="AE73" s="2497"/>
      <c r="AF73" s="2497"/>
      <c r="AG73" s="2497"/>
      <c r="AH73" s="2497"/>
      <c r="AI73" s="2497"/>
    </row>
    <row r="74" spans="1:35" s="2495" customFormat="1" ht="24">
      <c r="A74" s="208" t="s">
        <v>770</v>
      </c>
      <c r="B74" s="189" t="s">
        <v>2254</v>
      </c>
      <c r="C74" s="191">
        <f>ROUND(IF(G77="2016年5月1日后购买",C75/(1+'数据-取费表'!C42)+C76+C77,C75+C76+C77),0)</f>
        <v>0</v>
      </c>
      <c r="D74" s="191" t="s">
        <v>32</v>
      </c>
      <c r="E74" s="1787"/>
      <c r="F74" s="1781"/>
      <c r="G74" s="1781"/>
      <c r="H74" s="207"/>
      <c r="I74" s="2498"/>
      <c r="J74" s="2496"/>
      <c r="K74" s="2496"/>
      <c r="L74" s="2496"/>
      <c r="M74" s="2496"/>
      <c r="N74" s="2496"/>
      <c r="O74" s="2496"/>
      <c r="P74" s="2496"/>
      <c r="Q74" s="2496"/>
      <c r="R74" s="2496"/>
      <c r="S74" s="2496"/>
      <c r="T74" s="2496"/>
      <c r="U74" s="2496"/>
      <c r="V74" s="2496"/>
      <c r="W74" s="2496"/>
      <c r="X74" s="2496"/>
      <c r="Y74" s="2496"/>
      <c r="Z74" s="2496"/>
      <c r="AA74" s="2497"/>
      <c r="AB74" s="2497"/>
      <c r="AC74" s="2497"/>
      <c r="AD74" s="2497"/>
      <c r="AE74" s="2497"/>
      <c r="AF74" s="2497"/>
      <c r="AG74" s="2497"/>
      <c r="AH74" s="2497"/>
      <c r="AI74" s="2497"/>
    </row>
    <row r="75" spans="1:35" s="2495" customFormat="1" ht="14.25">
      <c r="A75" s="208" t="s">
        <v>776</v>
      </c>
      <c r="B75" s="189" t="s">
        <v>2255</v>
      </c>
      <c r="C75" s="209"/>
      <c r="D75" s="191" t="s">
        <v>32</v>
      </c>
      <c r="E75" s="210" t="s">
        <v>2256</v>
      </c>
      <c r="F75" s="2499" t="s">
        <v>2257</v>
      </c>
      <c r="G75" s="210" t="s">
        <v>2258</v>
      </c>
      <c r="H75" s="211"/>
      <c r="I75" s="2500"/>
      <c r="J75" s="2496"/>
      <c r="K75" s="2496"/>
      <c r="L75" s="2496"/>
      <c r="M75" s="2496"/>
      <c r="N75" s="2496"/>
      <c r="O75" s="2496"/>
      <c r="P75" s="2496"/>
      <c r="Q75" s="2496"/>
      <c r="R75" s="2496"/>
      <c r="S75" s="2496"/>
      <c r="T75" s="2496"/>
      <c r="U75" s="2496"/>
      <c r="V75" s="2496"/>
      <c r="W75" s="2496"/>
      <c r="X75" s="2496"/>
      <c r="Y75" s="2496"/>
      <c r="Z75" s="2496"/>
      <c r="AA75" s="2497"/>
      <c r="AB75" s="2497"/>
      <c r="AC75" s="2497"/>
      <c r="AD75" s="2497"/>
      <c r="AE75" s="2497"/>
      <c r="AF75" s="2497"/>
      <c r="AG75" s="2497"/>
      <c r="AH75" s="2497"/>
      <c r="AI75" s="2497"/>
    </row>
    <row r="76" spans="1:35" s="2495" customFormat="1" ht="24.75" customHeight="1">
      <c r="A76" s="208" t="s">
        <v>777</v>
      </c>
      <c r="B76" s="212" t="s">
        <v>2259</v>
      </c>
      <c r="C76" s="191">
        <f>IF(F75="购房发票",ROUND(C75*H75*D76,0),0)</f>
        <v>0</v>
      </c>
      <c r="D76" s="213">
        <v>0.05</v>
      </c>
      <c r="E76" s="3223" t="s">
        <v>2260</v>
      </c>
      <c r="F76" s="3222"/>
      <c r="G76" s="3222"/>
      <c r="H76" s="3225"/>
      <c r="I76" s="2498"/>
      <c r="J76" s="2496"/>
      <c r="K76" s="2496"/>
      <c r="L76" s="2496"/>
      <c r="M76" s="2496"/>
      <c r="N76" s="2496"/>
      <c r="O76" s="2496"/>
      <c r="P76" s="2496"/>
      <c r="Q76" s="2496"/>
      <c r="R76" s="2496"/>
      <c r="S76" s="2496"/>
      <c r="T76" s="2496"/>
      <c r="U76" s="2496"/>
      <c r="V76" s="2496"/>
      <c r="W76" s="2496"/>
      <c r="X76" s="2496"/>
      <c r="Y76" s="2496"/>
      <c r="Z76" s="2496"/>
      <c r="AA76" s="2497"/>
      <c r="AB76" s="2497"/>
      <c r="AC76" s="2497"/>
      <c r="AD76" s="2497"/>
      <c r="AE76" s="2497"/>
      <c r="AF76" s="2497"/>
      <c r="AG76" s="2497"/>
      <c r="AH76" s="2497"/>
      <c r="AI76" s="2497"/>
    </row>
    <row r="77" spans="1:35" s="2495" customFormat="1" ht="24.75" customHeight="1">
      <c r="A77" s="208" t="s">
        <v>778</v>
      </c>
      <c r="B77" s="189" t="s">
        <v>2261</v>
      </c>
      <c r="C77" s="191">
        <f>ROUND(IF(G77="个人住宅",0,IF(G77="2016年5月1日前购买",C75*D77,C75*D77/(1+'数据-取费表'!C42))),0)</f>
        <v>0</v>
      </c>
      <c r="D77" s="214">
        <f>'数据-取费表'!B48+'数据-取费表'!B49</f>
        <v>3.0499999999999999E-2</v>
      </c>
      <c r="E77" s="15" t="s">
        <v>2262</v>
      </c>
      <c r="F77" s="215"/>
      <c r="G77" s="2501" t="s">
        <v>2263</v>
      </c>
      <c r="H77" s="1792" t="str">
        <f>IF(G77="个人买卖住房","免征印花税"," ")</f>
        <v xml:space="preserve"> </v>
      </c>
      <c r="I77" s="2498"/>
      <c r="J77" s="2496"/>
      <c r="K77" s="2496"/>
      <c r="L77" s="2496"/>
      <c r="M77" s="2496"/>
      <c r="N77" s="2496"/>
      <c r="O77" s="2496"/>
      <c r="P77" s="2496"/>
      <c r="Q77" s="2496"/>
      <c r="R77" s="2496"/>
      <c r="S77" s="2496"/>
      <c r="T77" s="2496"/>
      <c r="U77" s="2496"/>
      <c r="V77" s="2496"/>
      <c r="W77" s="2496"/>
      <c r="X77" s="2496"/>
      <c r="Y77" s="2496"/>
      <c r="Z77" s="2496"/>
      <c r="AA77" s="2497"/>
      <c r="AB77" s="2497"/>
      <c r="AC77" s="2497"/>
      <c r="AD77" s="2497"/>
      <c r="AE77" s="2497"/>
      <c r="AF77" s="2497"/>
      <c r="AG77" s="2497"/>
      <c r="AH77" s="2497"/>
      <c r="AI77" s="2497"/>
    </row>
    <row r="78" spans="1:35" s="2495" customFormat="1" ht="24.75" customHeight="1">
      <c r="A78" s="208" t="s">
        <v>771</v>
      </c>
      <c r="B78" s="189" t="s">
        <v>2264</v>
      </c>
      <c r="C78" s="216">
        <f ca="1">ROUND(D45*D78/(1+'数据-取费表'!C42),0)</f>
        <v>90</v>
      </c>
      <c r="D78" s="217">
        <f>'数据-取费表'!B43</f>
        <v>6.000000000000001E-3</v>
      </c>
      <c r="E78" s="3214" t="s">
        <v>2265</v>
      </c>
      <c r="F78" s="3215"/>
      <c r="G78" s="3215"/>
      <c r="H78" s="3216"/>
      <c r="I78" s="2502"/>
      <c r="J78" s="2496"/>
      <c r="K78" s="2496"/>
      <c r="L78" s="2496"/>
      <c r="M78" s="2496"/>
      <c r="N78" s="2496"/>
      <c r="O78" s="2496"/>
      <c r="P78" s="2496"/>
      <c r="Q78" s="2496"/>
      <c r="R78" s="2496"/>
      <c r="S78" s="2496"/>
      <c r="T78" s="2496"/>
      <c r="U78" s="2496"/>
      <c r="V78" s="2496"/>
      <c r="W78" s="2496"/>
      <c r="X78" s="2496"/>
      <c r="Y78" s="2496"/>
      <c r="Z78" s="2496"/>
      <c r="AA78" s="2497"/>
      <c r="AB78" s="2497"/>
      <c r="AC78" s="2497"/>
      <c r="AD78" s="2497"/>
      <c r="AE78" s="2497"/>
      <c r="AF78" s="2497"/>
      <c r="AG78" s="2497"/>
      <c r="AH78" s="2497"/>
      <c r="AI78" s="2497"/>
    </row>
    <row r="79" spans="1:35" s="2495" customFormat="1" ht="14.25">
      <c r="A79" s="2503" t="s">
        <v>779</v>
      </c>
      <c r="B79" s="195" t="s">
        <v>2266</v>
      </c>
      <c r="C79" s="198">
        <f ca="1">C72-C73</f>
        <v>14865</v>
      </c>
      <c r="D79" s="191" t="s">
        <v>32</v>
      </c>
      <c r="E79" s="1787"/>
      <c r="F79" s="1781"/>
      <c r="G79" s="1781"/>
      <c r="H79" s="207"/>
      <c r="I79" s="2498"/>
      <c r="J79" s="2496"/>
      <c r="K79" s="2496"/>
      <c r="L79" s="2496"/>
      <c r="M79" s="2496"/>
      <c r="N79" s="2496"/>
      <c r="O79" s="2496"/>
      <c r="P79" s="2496"/>
      <c r="Q79" s="2496"/>
      <c r="R79" s="2496"/>
      <c r="S79" s="2496"/>
      <c r="T79" s="2496"/>
      <c r="U79" s="2496"/>
      <c r="V79" s="2496"/>
      <c r="W79" s="2496"/>
      <c r="X79" s="2496"/>
      <c r="Y79" s="2496"/>
      <c r="Z79" s="2496"/>
      <c r="AA79" s="2497"/>
      <c r="AB79" s="2497"/>
      <c r="AC79" s="2497"/>
      <c r="AD79" s="2497"/>
      <c r="AE79" s="2497"/>
      <c r="AF79" s="2497"/>
      <c r="AG79" s="2497"/>
      <c r="AH79" s="2497"/>
      <c r="AI79" s="2497"/>
    </row>
    <row r="80" spans="1:35" s="2495" customFormat="1" ht="24">
      <c r="A80" s="2503" t="s">
        <v>780</v>
      </c>
      <c r="B80" s="195" t="s">
        <v>2267</v>
      </c>
      <c r="C80" s="218">
        <f ca="1">IF(C79&lt;=0,0,C79/C73)</f>
        <v>165.16666666666666</v>
      </c>
      <c r="D80" s="191"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1"/>
      <c r="G80" s="1781"/>
      <c r="H80" s="207"/>
      <c r="I80" s="2498"/>
      <c r="J80" s="2496"/>
      <c r="K80" s="2496"/>
      <c r="L80" s="2496"/>
      <c r="M80" s="2496"/>
      <c r="N80" s="2496"/>
      <c r="O80" s="2496"/>
      <c r="P80" s="2496"/>
      <c r="Q80" s="2496"/>
      <c r="R80" s="2496"/>
      <c r="S80" s="2496"/>
      <c r="T80" s="2496"/>
      <c r="U80" s="2496"/>
      <c r="V80" s="2496"/>
      <c r="W80" s="2496"/>
      <c r="X80" s="2496"/>
      <c r="Y80" s="2496"/>
      <c r="Z80" s="2496"/>
      <c r="AA80" s="2497"/>
      <c r="AB80" s="2497"/>
      <c r="AC80" s="2497"/>
      <c r="AD80" s="2497"/>
      <c r="AE80" s="2497"/>
      <c r="AF80" s="2497"/>
      <c r="AG80" s="2497"/>
      <c r="AH80" s="2497"/>
      <c r="AI80" s="2497"/>
    </row>
    <row r="81" spans="1:35" s="2495" customFormat="1" ht="24.75" thickBot="1">
      <c r="A81" s="2504" t="s">
        <v>781</v>
      </c>
      <c r="B81" s="200" t="s">
        <v>2268</v>
      </c>
      <c r="C81" s="219">
        <f ca="1">ROUND(IF(C79&lt;=0,0,IF(C80&gt;=200%,C79*60%-C73*35%,IF(C80&gt;=100%,C79*50%-C73*15%,IF(C80&gt;=50%,C79*40%-C73*5%,IF(C80&lt;50%,C79*30%,0))))),0)</f>
        <v>8888</v>
      </c>
      <c r="D81" s="220" t="s">
        <v>32</v>
      </c>
      <c r="E81" s="22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2"/>
      <c r="G81" s="222"/>
      <c r="H81" s="223"/>
      <c r="I81" s="2498"/>
      <c r="J81" s="2496"/>
      <c r="K81" s="2496"/>
      <c r="L81" s="2496"/>
      <c r="M81" s="2496"/>
      <c r="N81" s="2496"/>
      <c r="O81" s="2496"/>
      <c r="P81" s="2496"/>
      <c r="Q81" s="2496"/>
      <c r="R81" s="2496"/>
      <c r="S81" s="2496"/>
      <c r="T81" s="2496"/>
      <c r="U81" s="2496"/>
      <c r="V81" s="2496"/>
      <c r="W81" s="2496"/>
      <c r="X81" s="2496"/>
      <c r="Y81" s="2496"/>
      <c r="Z81" s="2496"/>
      <c r="AA81" s="2497"/>
      <c r="AB81" s="2497"/>
      <c r="AC81" s="2497"/>
      <c r="AD81" s="2497"/>
      <c r="AE81" s="2497"/>
      <c r="AF81" s="2497"/>
      <c r="AG81" s="2497"/>
      <c r="AH81" s="2497"/>
      <c r="AI81" s="2497"/>
    </row>
    <row r="82" spans="1:35" s="2495" customFormat="1" ht="7.5" customHeight="1">
      <c r="A82" s="724"/>
      <c r="B82" s="725"/>
      <c r="C82" s="7"/>
      <c r="D82" s="7"/>
      <c r="E82" s="725"/>
      <c r="F82" s="725"/>
      <c r="G82" s="725"/>
      <c r="H82" s="726"/>
      <c r="I82" s="2502"/>
      <c r="J82" s="2496"/>
      <c r="K82" s="2496"/>
      <c r="L82" s="2496"/>
      <c r="M82" s="2496"/>
      <c r="N82" s="2496"/>
      <c r="O82" s="2496"/>
      <c r="P82" s="2496"/>
      <c r="Q82" s="2496"/>
      <c r="R82" s="2496"/>
      <c r="S82" s="2496"/>
      <c r="T82" s="2496"/>
      <c r="U82" s="2496"/>
      <c r="V82" s="2496"/>
      <c r="W82" s="2496"/>
      <c r="X82" s="2496"/>
      <c r="Y82" s="2496"/>
      <c r="Z82" s="2496"/>
      <c r="AA82" s="2497"/>
      <c r="AB82" s="2497"/>
      <c r="AC82" s="2497"/>
      <c r="AD82" s="2497"/>
      <c r="AE82" s="2497"/>
      <c r="AF82" s="2497"/>
      <c r="AG82" s="2497"/>
      <c r="AH82" s="2497"/>
      <c r="AI82" s="2497"/>
    </row>
    <row r="83" spans="1:35" s="2495" customFormat="1" ht="15" thickBot="1">
      <c r="A83" s="3226" t="s">
        <v>2269</v>
      </c>
      <c r="B83" s="3227"/>
      <c r="C83" s="3227"/>
      <c r="D83" s="3227"/>
      <c r="E83" s="3227"/>
      <c r="F83" s="3227"/>
      <c r="G83" s="3227"/>
      <c r="H83" s="3227"/>
      <c r="I83" s="2500"/>
      <c r="J83" s="2496"/>
      <c r="K83" s="2496"/>
      <c r="L83" s="2496"/>
      <c r="M83" s="2496"/>
      <c r="N83" s="2496"/>
      <c r="O83" s="2496"/>
      <c r="P83" s="2496"/>
      <c r="Q83" s="2496"/>
      <c r="R83" s="2496"/>
      <c r="S83" s="2496"/>
      <c r="T83" s="2496"/>
      <c r="U83" s="2496"/>
      <c r="V83" s="2496"/>
      <c r="W83" s="2496"/>
      <c r="X83" s="2496"/>
      <c r="Y83" s="2496"/>
      <c r="Z83" s="2496"/>
      <c r="AA83" s="2497"/>
      <c r="AB83" s="2497"/>
      <c r="AC83" s="2497"/>
      <c r="AD83" s="2497"/>
      <c r="AE83" s="2497"/>
      <c r="AF83" s="2497"/>
      <c r="AG83" s="2497"/>
      <c r="AH83" s="2497"/>
      <c r="AI83" s="2497"/>
    </row>
    <row r="84" spans="1:35" s="2495" customFormat="1" ht="14.25">
      <c r="A84" s="3217" t="s">
        <v>2232</v>
      </c>
      <c r="B84" s="3218"/>
      <c r="C84" s="1788"/>
      <c r="D84" s="1788" t="s">
        <v>2233</v>
      </c>
      <c r="E84" s="204" t="s">
        <v>2234</v>
      </c>
      <c r="F84" s="205"/>
      <c r="G84" s="205"/>
      <c r="H84" s="224"/>
      <c r="I84" s="2500"/>
      <c r="J84" s="2496"/>
      <c r="K84" s="2496"/>
      <c r="L84" s="2496"/>
      <c r="M84" s="2496"/>
      <c r="N84" s="2496"/>
      <c r="O84" s="2496"/>
      <c r="P84" s="2496"/>
      <c r="Q84" s="2496"/>
      <c r="R84" s="2496"/>
      <c r="S84" s="2496"/>
      <c r="T84" s="2496"/>
      <c r="U84" s="2496"/>
      <c r="V84" s="2496"/>
      <c r="W84" s="2496"/>
      <c r="X84" s="2496"/>
      <c r="Y84" s="2496"/>
      <c r="Z84" s="2496"/>
      <c r="AA84" s="2497"/>
      <c r="AB84" s="2497"/>
      <c r="AC84" s="2497"/>
      <c r="AD84" s="2497"/>
      <c r="AE84" s="2497"/>
      <c r="AF84" s="2497"/>
      <c r="AG84" s="2497"/>
      <c r="AH84" s="2497"/>
      <c r="AI84" s="2497"/>
    </row>
    <row r="85" spans="1:35" s="2495" customFormat="1" ht="14.25">
      <c r="A85" s="194" t="s">
        <v>775</v>
      </c>
      <c r="B85" s="195" t="s">
        <v>2252</v>
      </c>
      <c r="C85" s="198">
        <f ca="1">ROUND(D45/(1+'数据-取费表'!C42),0)</f>
        <v>14955</v>
      </c>
      <c r="D85" s="191" t="s">
        <v>32</v>
      </c>
      <c r="E85" s="1787"/>
      <c r="F85" s="1781"/>
      <c r="G85" s="1781"/>
      <c r="H85" s="225"/>
      <c r="I85" s="2500"/>
      <c r="J85" s="2496"/>
      <c r="K85" s="2496"/>
      <c r="L85" s="2496"/>
      <c r="M85" s="2496"/>
      <c r="N85" s="2496"/>
      <c r="O85" s="2496"/>
      <c r="P85" s="2496"/>
      <c r="Q85" s="2496"/>
      <c r="R85" s="2496"/>
      <c r="S85" s="2496"/>
      <c r="T85" s="2496"/>
      <c r="U85" s="2496"/>
      <c r="V85" s="2496"/>
      <c r="W85" s="2496"/>
      <c r="X85" s="2496"/>
      <c r="Y85" s="2496"/>
      <c r="Z85" s="2496"/>
      <c r="AA85" s="2497"/>
      <c r="AB85" s="2497"/>
      <c r="AC85" s="2497"/>
      <c r="AD85" s="2497"/>
      <c r="AE85" s="2497"/>
      <c r="AF85" s="2497"/>
      <c r="AG85" s="2497"/>
      <c r="AH85" s="2497"/>
      <c r="AI85" s="2497"/>
    </row>
    <row r="86" spans="1:35" s="2495" customFormat="1" ht="14.25">
      <c r="A86" s="194" t="s">
        <v>772</v>
      </c>
      <c r="B86" s="164" t="s">
        <v>2253</v>
      </c>
      <c r="C86" s="198">
        <f ca="1">IF(H88="仅含出让金",C87+C90+C91+C92+C93+C94,C87+C91+C92+C93+C94)</f>
        <v>67194.088499999998</v>
      </c>
      <c r="D86" s="226"/>
      <c r="E86" s="1787"/>
      <c r="F86" s="1781"/>
      <c r="G86" s="1781"/>
      <c r="H86" s="225"/>
      <c r="I86" s="2500"/>
      <c r="J86" s="2496"/>
      <c r="K86" s="2496"/>
      <c r="L86" s="2496"/>
      <c r="M86" s="2496"/>
      <c r="N86" s="2496"/>
      <c r="O86" s="2496"/>
      <c r="P86" s="2496"/>
      <c r="Q86" s="2496"/>
      <c r="R86" s="2496"/>
      <c r="S86" s="2496"/>
      <c r="T86" s="2496"/>
      <c r="U86" s="2496"/>
      <c r="V86" s="2496"/>
      <c r="W86" s="2496"/>
      <c r="X86" s="2496"/>
      <c r="Y86" s="2496"/>
      <c r="Z86" s="2496"/>
      <c r="AA86" s="2497"/>
      <c r="AB86" s="2497"/>
      <c r="AC86" s="2497"/>
      <c r="AD86" s="2497"/>
      <c r="AE86" s="2497"/>
      <c r="AF86" s="2497"/>
      <c r="AG86" s="2497"/>
      <c r="AH86" s="2497"/>
      <c r="AI86" s="2497"/>
    </row>
    <row r="87" spans="1:35" s="2495" customFormat="1" ht="14.25">
      <c r="A87" s="208" t="s">
        <v>770</v>
      </c>
      <c r="B87" s="189" t="s">
        <v>2270</v>
      </c>
      <c r="C87" s="216">
        <f>C88+C89</f>
        <v>45296.088499999998</v>
      </c>
      <c r="D87" s="217"/>
      <c r="E87" s="1783"/>
      <c r="F87" s="1784"/>
      <c r="G87" s="1784"/>
      <c r="H87" s="1786"/>
      <c r="I87" s="2500"/>
      <c r="J87" s="2496"/>
      <c r="K87" s="2496"/>
      <c r="L87" s="2496"/>
      <c r="M87" s="2496"/>
      <c r="N87" s="2496"/>
      <c r="O87" s="2496"/>
      <c r="P87" s="2496"/>
      <c r="Q87" s="2496"/>
      <c r="R87" s="2496"/>
      <c r="S87" s="2496"/>
      <c r="T87" s="2496"/>
      <c r="U87" s="2496"/>
      <c r="V87" s="2496"/>
      <c r="W87" s="2496"/>
      <c r="X87" s="2496"/>
      <c r="Y87" s="2496"/>
      <c r="Z87" s="2496"/>
      <c r="AA87" s="2497"/>
      <c r="AB87" s="2497"/>
      <c r="AC87" s="2497"/>
      <c r="AD87" s="2497"/>
      <c r="AE87" s="2497"/>
      <c r="AF87" s="2497"/>
      <c r="AG87" s="2497"/>
      <c r="AH87" s="2497"/>
      <c r="AI87" s="2497"/>
    </row>
    <row r="88" spans="1:35" s="2495" customFormat="1" ht="14.25">
      <c r="A88" s="208" t="s">
        <v>776</v>
      </c>
      <c r="B88" s="189" t="s">
        <v>2271</v>
      </c>
      <c r="C88" s="227">
        <f>(219780000+219770885)/10000</f>
        <v>43955.088499999998</v>
      </c>
      <c r="D88" s="217"/>
      <c r="E88" s="228" t="s">
        <v>2272</v>
      </c>
      <c r="F88" s="1784"/>
      <c r="G88" s="229" t="s">
        <v>2273</v>
      </c>
      <c r="H88" s="2505" t="s">
        <v>3153</v>
      </c>
      <c r="I88" s="2500"/>
      <c r="J88" s="2496"/>
      <c r="K88" s="2496"/>
      <c r="L88" s="2496"/>
      <c r="M88" s="2496"/>
      <c r="N88" s="2496"/>
      <c r="O88" s="2496"/>
      <c r="P88" s="2496"/>
      <c r="Q88" s="2496"/>
      <c r="R88" s="2496"/>
      <c r="S88" s="2496"/>
      <c r="T88" s="2496"/>
      <c r="U88" s="2496"/>
      <c r="V88" s="2496"/>
      <c r="W88" s="2496"/>
      <c r="X88" s="2496"/>
      <c r="Y88" s="2496"/>
      <c r="Z88" s="2496"/>
      <c r="AA88" s="2497"/>
      <c r="AB88" s="2497"/>
      <c r="AC88" s="2497"/>
      <c r="AD88" s="2497"/>
      <c r="AE88" s="2497"/>
      <c r="AF88" s="2497"/>
      <c r="AG88" s="2497"/>
      <c r="AH88" s="2497"/>
      <c r="AI88" s="2497"/>
    </row>
    <row r="89" spans="1:35" s="2495" customFormat="1" ht="14.25">
      <c r="A89" s="208" t="s">
        <v>777</v>
      </c>
      <c r="B89" s="189" t="s">
        <v>2261</v>
      </c>
      <c r="C89" s="216">
        <f>ROUND(C88*D89,0)</f>
        <v>1341</v>
      </c>
      <c r="D89" s="217">
        <f>'数据-取费表'!B48+'数据-取费表'!B49</f>
        <v>3.0499999999999999E-2</v>
      </c>
      <c r="E89" s="228" t="s">
        <v>2274</v>
      </c>
      <c r="F89" s="1784"/>
      <c r="G89" s="1784"/>
      <c r="H89" s="1786"/>
      <c r="I89" s="2500"/>
      <c r="J89" s="2496"/>
      <c r="K89" s="2496"/>
      <c r="L89" s="2496"/>
      <c r="M89" s="2496"/>
      <c r="N89" s="2496"/>
      <c r="O89" s="2496"/>
      <c r="P89" s="2496"/>
      <c r="Q89" s="2496"/>
      <c r="R89" s="2496"/>
      <c r="S89" s="2496"/>
      <c r="T89" s="2496"/>
      <c r="U89" s="2496"/>
      <c r="V89" s="2496"/>
      <c r="W89" s="2496"/>
      <c r="X89" s="2496"/>
      <c r="Y89" s="2496"/>
      <c r="Z89" s="2496"/>
      <c r="AA89" s="2497"/>
      <c r="AB89" s="2497"/>
      <c r="AC89" s="2497"/>
      <c r="AD89" s="2497"/>
      <c r="AE89" s="2497"/>
      <c r="AF89" s="2497"/>
      <c r="AG89" s="2497"/>
      <c r="AH89" s="2497"/>
      <c r="AI89" s="2497"/>
    </row>
    <row r="90" spans="1:35" s="2495" customFormat="1" ht="14.25">
      <c r="A90" s="208" t="s">
        <v>771</v>
      </c>
      <c r="B90" s="189" t="s">
        <v>2275</v>
      </c>
      <c r="C90" s="227"/>
      <c r="D90" s="217"/>
      <c r="E90" s="228" t="str">
        <f>IF(H88="-","土地取得成本中已包含该笔费用"," ")</f>
        <v xml:space="preserve"> </v>
      </c>
      <c r="F90" s="1784"/>
      <c r="G90" s="1784"/>
      <c r="H90" s="1786"/>
      <c r="I90" s="2500"/>
      <c r="J90" s="2496"/>
      <c r="K90" s="2496"/>
      <c r="L90" s="2496"/>
      <c r="M90" s="2496"/>
      <c r="N90" s="2496"/>
      <c r="O90" s="2496"/>
      <c r="P90" s="2496"/>
      <c r="Q90" s="2496"/>
      <c r="R90" s="2496"/>
      <c r="S90" s="2496"/>
      <c r="T90" s="2496"/>
      <c r="U90" s="2496"/>
      <c r="V90" s="2496"/>
      <c r="W90" s="2496"/>
      <c r="X90" s="2496"/>
      <c r="Y90" s="2496"/>
      <c r="Z90" s="2496"/>
      <c r="AA90" s="2497"/>
      <c r="AB90" s="2497"/>
      <c r="AC90" s="2497"/>
      <c r="AD90" s="2497"/>
      <c r="AE90" s="2497"/>
      <c r="AF90" s="2497"/>
      <c r="AG90" s="2497"/>
      <c r="AH90" s="2497"/>
      <c r="AI90" s="2497"/>
    </row>
    <row r="91" spans="1:35" s="2495" customFormat="1" ht="27.75" customHeight="1">
      <c r="A91" s="208" t="s">
        <v>2276</v>
      </c>
      <c r="B91" s="189" t="s">
        <v>2277</v>
      </c>
      <c r="C91" s="216">
        <f ca="1">IF(H91="——",成本法!C33,I91)</f>
        <v>6322</v>
      </c>
      <c r="D91" s="217"/>
      <c r="E91" s="3214" t="s">
        <v>2278</v>
      </c>
      <c r="F91" s="3215"/>
      <c r="G91" s="3215"/>
      <c r="H91" s="2506" t="s">
        <v>70</v>
      </c>
      <c r="I91" s="2507"/>
      <c r="J91" s="2496"/>
      <c r="K91" s="2496"/>
      <c r="L91" s="2496"/>
      <c r="M91" s="2496"/>
      <c r="N91" s="2496"/>
      <c r="O91" s="2496"/>
      <c r="P91" s="2496"/>
      <c r="Q91" s="2496"/>
      <c r="R91" s="2496"/>
      <c r="S91" s="2496"/>
      <c r="T91" s="2496"/>
      <c r="U91" s="2496"/>
      <c r="V91" s="2496"/>
      <c r="W91" s="2496"/>
      <c r="X91" s="2496"/>
      <c r="Y91" s="2496"/>
      <c r="Z91" s="2496"/>
      <c r="AA91" s="2497"/>
      <c r="AB91" s="2497"/>
      <c r="AC91" s="2497"/>
      <c r="AD91" s="2497"/>
      <c r="AE91" s="2497"/>
      <c r="AF91" s="2497"/>
      <c r="AG91" s="2497"/>
      <c r="AH91" s="2497"/>
      <c r="AI91" s="2497"/>
    </row>
    <row r="92" spans="1:35" s="2495" customFormat="1" ht="25.5" customHeight="1">
      <c r="A92" s="208" t="s">
        <v>2279</v>
      </c>
      <c r="B92" s="189" t="s">
        <v>2280</v>
      </c>
      <c r="C92" s="216">
        <f ca="1">ROUND((C87+C90+C91)*D92,0)</f>
        <v>5162</v>
      </c>
      <c r="D92" s="217">
        <v>0.1</v>
      </c>
      <c r="E92" s="3214" t="s">
        <v>2281</v>
      </c>
      <c r="F92" s="3215"/>
      <c r="G92" s="3215"/>
      <c r="H92" s="3216"/>
      <c r="I92" s="2500"/>
      <c r="J92" s="2496"/>
      <c r="K92" s="2496"/>
      <c r="L92" s="2496"/>
      <c r="M92" s="2496"/>
      <c r="N92" s="2496"/>
      <c r="O92" s="2496"/>
      <c r="P92" s="2496"/>
      <c r="Q92" s="2496"/>
      <c r="R92" s="2496"/>
      <c r="S92" s="2496"/>
      <c r="T92" s="2496"/>
      <c r="U92" s="2496"/>
      <c r="V92" s="2496"/>
      <c r="W92" s="2496"/>
      <c r="X92" s="2496"/>
      <c r="Y92" s="2496"/>
      <c r="Z92" s="2496"/>
      <c r="AA92" s="2497"/>
      <c r="AB92" s="2497"/>
      <c r="AC92" s="2497"/>
      <c r="AD92" s="2497"/>
      <c r="AE92" s="2497"/>
      <c r="AF92" s="2497"/>
      <c r="AG92" s="2497"/>
      <c r="AH92" s="2497"/>
      <c r="AI92" s="2497"/>
    </row>
    <row r="93" spans="1:35" s="2495" customFormat="1" ht="25.5" customHeight="1">
      <c r="A93" s="208" t="s">
        <v>2282</v>
      </c>
      <c r="B93" s="189" t="s">
        <v>2264</v>
      </c>
      <c r="C93" s="216">
        <f ca="1">ROUND(D45*D93/(1+'数据-取费表'!C42),0)</f>
        <v>90</v>
      </c>
      <c r="D93" s="217">
        <f>'数据-取费表'!B43</f>
        <v>6.000000000000001E-3</v>
      </c>
      <c r="E93" s="3214" t="s">
        <v>2265</v>
      </c>
      <c r="F93" s="3215"/>
      <c r="G93" s="3215"/>
      <c r="H93" s="3216"/>
      <c r="I93" s="2500"/>
      <c r="J93" s="2496"/>
      <c r="K93" s="2496"/>
      <c r="L93" s="2496"/>
      <c r="M93" s="2496"/>
      <c r="N93" s="2496"/>
      <c r="O93" s="2496"/>
      <c r="P93" s="2496"/>
      <c r="Q93" s="2496"/>
      <c r="R93" s="2496"/>
      <c r="S93" s="2496"/>
      <c r="T93" s="2496"/>
      <c r="U93" s="2496"/>
      <c r="V93" s="2496"/>
      <c r="W93" s="2496"/>
      <c r="X93" s="2496"/>
      <c r="Y93" s="2496"/>
      <c r="Z93" s="2496"/>
      <c r="AA93" s="2497"/>
      <c r="AB93" s="2497"/>
      <c r="AC93" s="2497"/>
      <c r="AD93" s="2497"/>
      <c r="AE93" s="2497"/>
      <c r="AF93" s="2497"/>
      <c r="AG93" s="2497"/>
      <c r="AH93" s="2497"/>
      <c r="AI93" s="2497"/>
    </row>
    <row r="94" spans="1:35" s="2495" customFormat="1" ht="36.75" customHeight="1">
      <c r="A94" s="208" t="s">
        <v>2283</v>
      </c>
      <c r="B94" s="189" t="s">
        <v>2284</v>
      </c>
      <c r="C94" s="227">
        <f ca="1">ROUND((C87+C90+C91)*D94,0)</f>
        <v>10324</v>
      </c>
      <c r="D94" s="217">
        <v>0.2</v>
      </c>
      <c r="E94" s="3262" t="s">
        <v>2285</v>
      </c>
      <c r="F94" s="3263"/>
      <c r="G94" s="3263"/>
      <c r="H94" s="3264"/>
      <c r="I94" s="2500"/>
      <c r="J94" s="2496"/>
      <c r="K94" s="2496"/>
      <c r="L94" s="2496"/>
      <c r="M94" s="2496"/>
      <c r="N94" s="2496"/>
      <c r="O94" s="2496"/>
      <c r="P94" s="2496"/>
      <c r="Q94" s="2496"/>
      <c r="R94" s="2496"/>
      <c r="S94" s="2496"/>
      <c r="T94" s="2496"/>
      <c r="U94" s="2496"/>
      <c r="V94" s="2496"/>
      <c r="W94" s="2496"/>
      <c r="X94" s="2496"/>
      <c r="Y94" s="2496"/>
      <c r="Z94" s="2496"/>
      <c r="AA94" s="2497"/>
      <c r="AB94" s="2497"/>
      <c r="AC94" s="2497"/>
      <c r="AD94" s="2497"/>
      <c r="AE94" s="2497"/>
      <c r="AF94" s="2497"/>
      <c r="AG94" s="2497"/>
      <c r="AH94" s="2497"/>
      <c r="AI94" s="2497"/>
    </row>
    <row r="95" spans="1:35" s="2495" customFormat="1" ht="14.25">
      <c r="A95" s="2503" t="s">
        <v>779</v>
      </c>
      <c r="B95" s="195" t="s">
        <v>2266</v>
      </c>
      <c r="C95" s="198">
        <f ca="1">ROUND(C85-C86,0)</f>
        <v>-52239</v>
      </c>
      <c r="D95" s="191" t="s">
        <v>32</v>
      </c>
      <c r="E95" s="1787"/>
      <c r="F95" s="1781"/>
      <c r="G95" s="1781"/>
      <c r="H95" s="225"/>
      <c r="I95" s="2500"/>
      <c r="J95" s="2496"/>
      <c r="K95" s="2496"/>
      <c r="L95" s="2496"/>
      <c r="M95" s="2496"/>
      <c r="N95" s="2496"/>
      <c r="O95" s="2496"/>
      <c r="P95" s="2496"/>
      <c r="Q95" s="2496"/>
      <c r="R95" s="2496"/>
      <c r="S95" s="2496"/>
      <c r="T95" s="2496"/>
      <c r="U95" s="2496"/>
      <c r="V95" s="2496"/>
      <c r="W95" s="2496"/>
      <c r="X95" s="2496"/>
      <c r="Y95" s="2496"/>
      <c r="Z95" s="2496"/>
      <c r="AA95" s="2497"/>
      <c r="AB95" s="2497"/>
      <c r="AC95" s="2497"/>
      <c r="AD95" s="2497"/>
      <c r="AE95" s="2497"/>
      <c r="AF95" s="2497"/>
      <c r="AG95" s="2497"/>
      <c r="AH95" s="2497"/>
      <c r="AI95" s="2497"/>
    </row>
    <row r="96" spans="1:35" s="2495" customFormat="1" ht="24">
      <c r="A96" s="2503" t="s">
        <v>780</v>
      </c>
      <c r="B96" s="195" t="s">
        <v>2267</v>
      </c>
      <c r="C96" s="218">
        <f ca="1">IF(C95&lt;=0,0,C95/C86)</f>
        <v>0</v>
      </c>
      <c r="D96" s="191"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81"/>
      <c r="G96" s="1781"/>
      <c r="H96" s="225"/>
      <c r="I96" s="2500"/>
      <c r="J96" s="2496"/>
      <c r="K96" s="2496"/>
      <c r="L96" s="2496"/>
      <c r="M96" s="2496"/>
      <c r="N96" s="2496"/>
      <c r="O96" s="2496"/>
      <c r="P96" s="2496"/>
      <c r="Q96" s="2496"/>
      <c r="R96" s="2496"/>
      <c r="S96" s="2496"/>
      <c r="T96" s="2496"/>
      <c r="U96" s="2496"/>
      <c r="V96" s="2496"/>
      <c r="W96" s="2496"/>
      <c r="X96" s="2496"/>
      <c r="Y96" s="2496"/>
      <c r="Z96" s="2496"/>
      <c r="AA96" s="2497"/>
      <c r="AB96" s="2497"/>
      <c r="AC96" s="2497"/>
      <c r="AD96" s="2497"/>
      <c r="AE96" s="2497"/>
      <c r="AF96" s="2497"/>
      <c r="AG96" s="2497"/>
      <c r="AH96" s="2497"/>
      <c r="AI96" s="2497"/>
    </row>
    <row r="97" spans="1:35" s="2495" customFormat="1" ht="24.75" thickBot="1">
      <c r="A97" s="2504" t="s">
        <v>781</v>
      </c>
      <c r="B97" s="200" t="s">
        <v>2268</v>
      </c>
      <c r="C97" s="219">
        <f ca="1">ROUND(IF(C95&lt;=0,0,IF(C96&gt;=200%,C95*60%-C86*35%,IF(C96&gt;=100%,C95*50%-C86*15%,IF(C96&gt;=50%,C95*40%-C86*5%,IF(C96&lt;50%,C95*30%,0))))),0)</f>
        <v>0</v>
      </c>
      <c r="D97" s="220" t="s">
        <v>32</v>
      </c>
      <c r="E97" s="22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22"/>
      <c r="G97" s="222"/>
      <c r="H97" s="230"/>
      <c r="I97" s="2500"/>
      <c r="J97" s="2496"/>
      <c r="K97" s="2496"/>
      <c r="L97" s="2496"/>
      <c r="M97" s="2496"/>
      <c r="N97" s="2496"/>
      <c r="O97" s="2496"/>
      <c r="P97" s="2496"/>
      <c r="Q97" s="2496"/>
      <c r="R97" s="2496"/>
      <c r="S97" s="2496"/>
      <c r="T97" s="2496"/>
      <c r="U97" s="2496"/>
      <c r="V97" s="2496"/>
      <c r="W97" s="2496"/>
      <c r="X97" s="2496"/>
      <c r="Y97" s="2496"/>
      <c r="Z97" s="2496"/>
      <c r="AA97" s="2497"/>
      <c r="AB97" s="2497"/>
      <c r="AC97" s="2497"/>
      <c r="AD97" s="2497"/>
      <c r="AE97" s="2497"/>
      <c r="AF97" s="2497"/>
      <c r="AG97" s="2497"/>
      <c r="AH97" s="2497"/>
      <c r="AI97" s="2497"/>
    </row>
    <row r="98" spans="1:35" ht="21.75" customHeight="1">
      <c r="A98" s="2484"/>
      <c r="B98" s="2406"/>
      <c r="C98" s="2406"/>
      <c r="D98" s="2406"/>
      <c r="E98" s="2154"/>
      <c r="F98" s="2154"/>
      <c r="G98" s="2154"/>
      <c r="H98" s="2153"/>
      <c r="I98" s="129"/>
    </row>
    <row r="99" spans="1:35" ht="21.75" customHeight="1" thickBot="1">
      <c r="A99" s="2462" t="s">
        <v>2286</v>
      </c>
      <c r="B99" s="2406"/>
      <c r="C99" s="2406"/>
      <c r="D99" s="2406"/>
      <c r="E99" s="2154"/>
      <c r="F99" s="2154"/>
      <c r="G99" s="2154"/>
      <c r="H99" s="2153"/>
      <c r="I99" s="129"/>
    </row>
    <row r="100" spans="1:35" ht="18.75" customHeight="1">
      <c r="A100" s="3166" t="s">
        <v>2287</v>
      </c>
      <c r="B100" s="3167"/>
      <c r="C100" s="3167"/>
      <c r="D100" s="3198"/>
      <c r="E100" s="3167" t="s">
        <v>2288</v>
      </c>
      <c r="F100" s="3167"/>
      <c r="G100" s="3167"/>
      <c r="H100" s="3198"/>
      <c r="I100" s="129"/>
    </row>
    <row r="101" spans="1:35" ht="18.75" customHeight="1">
      <c r="A101" s="3206" t="s">
        <v>2289</v>
      </c>
      <c r="B101" s="3207"/>
      <c r="C101" s="727" t="str">
        <f>C4</f>
        <v>成本法</v>
      </c>
      <c r="D101" s="728" t="str">
        <f>D4</f>
        <v>假设开发法</v>
      </c>
      <c r="E101" s="3178" t="s">
        <v>2290</v>
      </c>
      <c r="F101" s="3179"/>
      <c r="G101" s="2508" t="s">
        <v>2291</v>
      </c>
      <c r="H101" s="1033">
        <f ca="1">H118</f>
        <v>15703</v>
      </c>
      <c r="I101" s="129"/>
    </row>
    <row r="102" spans="1:35" ht="18.75" customHeight="1">
      <c r="A102" s="3208" t="s">
        <v>2292</v>
      </c>
      <c r="B102" s="2508" t="s">
        <v>2291</v>
      </c>
      <c r="C102" s="727">
        <f ca="1">C19</f>
        <v>8987</v>
      </c>
      <c r="D102" s="728">
        <f ca="1">D19</f>
        <v>20180</v>
      </c>
      <c r="E102" s="3178"/>
      <c r="F102" s="3179"/>
      <c r="G102" s="2508" t="s">
        <v>2293</v>
      </c>
      <c r="H102" s="362">
        <f ca="1">I118</f>
        <v>7687</v>
      </c>
      <c r="I102" s="129"/>
    </row>
    <row r="103" spans="1:35" ht="42.75" customHeight="1">
      <c r="A103" s="3208"/>
      <c r="B103" s="2508" t="s">
        <v>2293</v>
      </c>
      <c r="C103" s="729">
        <f ca="1">C20</f>
        <v>4399</v>
      </c>
      <c r="D103" s="730">
        <f ca="1">D20</f>
        <v>9878</v>
      </c>
      <c r="E103" s="3172" t="s">
        <v>2294</v>
      </c>
      <c r="F103" s="3173"/>
      <c r="G103" s="2509" t="s">
        <v>2295</v>
      </c>
      <c r="H103" s="1033">
        <f>IF(D36="正常操作",H104+H105+H106,H105+H106)</f>
        <v>0</v>
      </c>
      <c r="I103" s="129"/>
    </row>
    <row r="104" spans="1:35" ht="18.75" customHeight="1">
      <c r="A104" s="3208" t="s">
        <v>2296</v>
      </c>
      <c r="B104" s="2510" t="s">
        <v>2291</v>
      </c>
      <c r="C104" s="731">
        <f ca="1">H118</f>
        <v>15703</v>
      </c>
      <c r="D104" s="732"/>
      <c r="E104" s="2254" t="s">
        <v>2297</v>
      </c>
      <c r="F104" s="2246"/>
      <c r="G104" s="2509" t="s">
        <v>2295</v>
      </c>
      <c r="H104" s="1034">
        <f>IF(D36="同一抵押权人同一抵押物续贷",C36&amp;"（未扣减，详见特别提示）",C36)</f>
        <v>0</v>
      </c>
      <c r="I104" s="129"/>
    </row>
    <row r="105" spans="1:35" ht="18.75" customHeight="1" thickBot="1">
      <c r="A105" s="3220"/>
      <c r="B105" s="2511" t="s">
        <v>2293</v>
      </c>
      <c r="C105" s="733">
        <f ca="1">I118</f>
        <v>7687</v>
      </c>
      <c r="D105" s="734"/>
      <c r="E105" s="2254" t="s">
        <v>2298</v>
      </c>
      <c r="F105" s="2246"/>
      <c r="G105" s="2509" t="s">
        <v>2295</v>
      </c>
      <c r="H105" s="1034">
        <f>C37</f>
        <v>0</v>
      </c>
      <c r="I105" s="129"/>
    </row>
    <row r="106" spans="1:35" ht="18.75" customHeight="1">
      <c r="A106" s="2406" t="s">
        <v>2299</v>
      </c>
      <c r="B106" s="2406"/>
      <c r="C106" s="2406"/>
      <c r="D106" s="2406"/>
      <c r="E106" s="2512" t="s">
        <v>2300</v>
      </c>
      <c r="F106" s="2246"/>
      <c r="G106" s="2509" t="s">
        <v>2295</v>
      </c>
      <c r="H106" s="1034">
        <f>C38</f>
        <v>0</v>
      </c>
      <c r="I106" s="129"/>
    </row>
    <row r="107" spans="1:35" ht="18.75" customHeight="1">
      <c r="A107" s="129"/>
      <c r="B107" s="129"/>
      <c r="C107" s="129"/>
      <c r="D107" s="129"/>
      <c r="E107" s="3209" t="str">
        <f>IF(项目基本情况!E8="已注销","——","3.房地产抵押价值")</f>
        <v>3.房地产抵押价值</v>
      </c>
      <c r="F107" s="3179"/>
      <c r="G107" s="2508" t="s">
        <v>2291</v>
      </c>
      <c r="H107" s="1033">
        <f ca="1">IF(E107="——","——",H101-H103)</f>
        <v>15703</v>
      </c>
      <c r="I107" s="129"/>
    </row>
    <row r="108" spans="1:35" ht="18.75" customHeight="1">
      <c r="A108" s="129"/>
      <c r="B108" s="129"/>
      <c r="C108" s="129"/>
      <c r="D108" s="129"/>
      <c r="E108" s="3209"/>
      <c r="F108" s="3179"/>
      <c r="G108" s="2508" t="s">
        <v>2293</v>
      </c>
      <c r="H108" s="362">
        <f ca="1">ROUND(H107*10000/'数据-汇总表'!E3,0)</f>
        <v>7687</v>
      </c>
      <c r="I108" s="129"/>
    </row>
    <row r="109" spans="1:35" ht="18.75" customHeight="1">
      <c r="A109" s="129"/>
      <c r="B109" s="129"/>
      <c r="C109" s="129"/>
      <c r="D109" s="129"/>
      <c r="E109" s="3209" t="str">
        <f>IF(项目基本情况!E8="已注销及未注销","4.抵押担保权已注销时的房地产抵押价值",IF(项目基本情况!E8="已注销","3.抵押担保权已注销时的房地产抵押价值","——"))</f>
        <v>——</v>
      </c>
      <c r="F109" s="3179"/>
      <c r="G109" s="2508" t="s">
        <v>2291</v>
      </c>
      <c r="H109" s="339" t="str">
        <f>IF(E109="——","——",H101-H105-H106)</f>
        <v>——</v>
      </c>
      <c r="I109" s="129"/>
    </row>
    <row r="110" spans="1:35" ht="18.75" customHeight="1">
      <c r="A110" s="129"/>
      <c r="B110" s="129"/>
      <c r="C110" s="129"/>
      <c r="D110" s="129"/>
      <c r="E110" s="3209"/>
      <c r="F110" s="3179"/>
      <c r="G110" s="2508" t="s">
        <v>2293</v>
      </c>
      <c r="H110" s="362" t="str">
        <f>IF(H109="——","——",ROUND(H109*10000/'数据-汇总表'!E3,0))</f>
        <v>——</v>
      </c>
      <c r="I110" s="129"/>
    </row>
    <row r="111" spans="1:35" ht="18.75" customHeight="1">
      <c r="A111" s="129"/>
      <c r="B111" s="129"/>
      <c r="C111" s="129"/>
      <c r="D111" s="129"/>
      <c r="E111" s="3210" t="str">
        <f>IF(项目基本情况!E9="抵押净值",IF(OR(项目基本情况!E8="已注销",项目基本情况!E8="房地产抵押价值"),"4.抵押净值","5.抵押净值"),"——")</f>
        <v>——</v>
      </c>
      <c r="F111" s="3211"/>
      <c r="G111" s="2508" t="s">
        <v>2291</v>
      </c>
      <c r="H111" s="1033" t="str">
        <f>IF(E111="——","——",N59)</f>
        <v>——</v>
      </c>
      <c r="I111" s="129"/>
    </row>
    <row r="112" spans="1:35" ht="18.75" customHeight="1" thickBot="1">
      <c r="A112" s="129"/>
      <c r="B112" s="129"/>
      <c r="C112" s="129"/>
      <c r="D112" s="129"/>
      <c r="E112" s="3212"/>
      <c r="F112" s="3213"/>
      <c r="G112" s="2513" t="s">
        <v>2293</v>
      </c>
      <c r="H112" s="781" t="str">
        <f>IF(E111="——","——",N61)</f>
        <v>——</v>
      </c>
      <c r="I112" s="129"/>
    </row>
    <row r="113" spans="1:11" ht="18.75" customHeight="1">
      <c r="A113" s="129"/>
      <c r="B113" s="129"/>
      <c r="C113" s="129"/>
      <c r="D113" s="129"/>
      <c r="E113" s="3221" t="s">
        <v>2299</v>
      </c>
      <c r="F113" s="3221"/>
      <c r="G113" s="3221"/>
      <c r="H113" s="3221"/>
      <c r="I113" s="129"/>
    </row>
    <row r="114" spans="1:11" ht="3.75" customHeight="1">
      <c r="A114" s="2406"/>
      <c r="B114" s="2406"/>
      <c r="C114" s="2406"/>
      <c r="D114" s="2406"/>
      <c r="E114" s="2484"/>
      <c r="F114" s="2484"/>
      <c r="G114" s="2484"/>
      <c r="H114" s="2484"/>
      <c r="I114" s="2406"/>
    </row>
    <row r="115" spans="1:11" ht="18.75" customHeight="1">
      <c r="A115" s="3234" t="s">
        <v>2301</v>
      </c>
      <c r="B115" s="3235"/>
      <c r="C115" s="3235"/>
      <c r="D115" s="3235"/>
      <c r="E115" s="3235"/>
      <c r="F115" s="3235"/>
      <c r="G115" s="3235"/>
      <c r="H115" s="3235"/>
      <c r="I115" s="3236"/>
    </row>
    <row r="116" spans="1:11" ht="27" customHeight="1">
      <c r="A116" s="3145" t="s">
        <v>2302</v>
      </c>
      <c r="B116" s="3188" t="s">
        <v>2303</v>
      </c>
      <c r="C116" s="3188" t="s">
        <v>2304</v>
      </c>
      <c r="D116" s="3194" t="s">
        <v>2305</v>
      </c>
      <c r="E116" s="3195"/>
      <c r="F116" s="3230" t="s">
        <v>2306</v>
      </c>
      <c r="G116" s="3230"/>
      <c r="H116" s="3145" t="s">
        <v>2307</v>
      </c>
      <c r="I116" s="3145"/>
    </row>
    <row r="117" spans="1:11" ht="18.75" customHeight="1">
      <c r="A117" s="3145"/>
      <c r="B117" s="3189"/>
      <c r="C117" s="3189"/>
      <c r="D117" s="1782" t="s">
        <v>2308</v>
      </c>
      <c r="E117" s="1782" t="s">
        <v>2309</v>
      </c>
      <c r="F117" s="1782" t="s">
        <v>2308</v>
      </c>
      <c r="G117" s="1782" t="s">
        <v>2310</v>
      </c>
      <c r="H117" s="1782" t="s">
        <v>2308</v>
      </c>
      <c r="I117" s="1782" t="s">
        <v>2310</v>
      </c>
    </row>
    <row r="118" spans="1:11" ht="24.75" customHeight="1">
      <c r="A118" s="2514" t="str">
        <f>项目基本情况!S2</f>
        <v>出让国有建设用地使用权及在建建筑物房地产</v>
      </c>
      <c r="B118" s="1782">
        <f>M18</f>
        <v>20428.607999999997</v>
      </c>
      <c r="C118" s="1782">
        <f>M19</f>
        <v>8573.39</v>
      </c>
      <c r="D118" s="1782">
        <f ca="1">ROUND(IF(D32="总价",C34,E118*B118/10000),0)</f>
        <v>1209</v>
      </c>
      <c r="E118" s="1782">
        <f ca="1">ROUND(IF(C33="自定义",IF(D32="楼面单价",C34,D118*10000/B118),I118-G118),0)</f>
        <v>592</v>
      </c>
      <c r="F118" s="1782">
        <f ca="1">ROUND(IF(D32="总价",C35,G118*B118/10000),0)</f>
        <v>14494</v>
      </c>
      <c r="G118" s="1782">
        <f ca="1">ROUND(IF(D32="楼面单价",C35,F118*10000/B118),0)</f>
        <v>7095</v>
      </c>
      <c r="H118" s="1782">
        <f ca="1">ROUND(IF(D32="总价",C32,I118*B118/10000),0)</f>
        <v>15703</v>
      </c>
      <c r="I118" s="1782">
        <f ca="1">ROUND(IF(D32="楼面单价",C32,H118*10000/B118),0)</f>
        <v>7687</v>
      </c>
    </row>
    <row r="119" spans="1:11" ht="18.75" customHeight="1">
      <c r="A119" s="3145" t="s">
        <v>2311</v>
      </c>
      <c r="B119" s="3145"/>
      <c r="C119" s="3145"/>
      <c r="D119" s="3190" t="str">
        <f ca="1">NUMBERSTRING(INT(D118*10000),2)&amp;"元整"</f>
        <v>壹仟贰佰零玖万元整</v>
      </c>
      <c r="E119" s="3191"/>
      <c r="F119" s="3190" t="str">
        <f ca="1">NUMBERSTRING(INT(F118*10000),2)&amp;"元整"</f>
        <v>壹亿肆仟肆佰玖拾肆万元整</v>
      </c>
      <c r="G119" s="3191"/>
      <c r="H119" s="3190" t="str">
        <f ca="1">NUMBERSTRING(INT(H118*10000),2)&amp;"元整"</f>
        <v>壹亿伍仟柒佰零叁万元整</v>
      </c>
      <c r="I119" s="3191"/>
    </row>
    <row r="120" spans="1:11" ht="18.75" customHeight="1">
      <c r="A120" s="3185" t="str">
        <f>IF(项目基本情况!B9="房地产市场价值","",MID(E103,3,LEN(E103)-2))</f>
        <v>估价师知悉的法定优先受偿款</v>
      </c>
      <c r="B120" s="3186"/>
      <c r="C120" s="3187"/>
      <c r="D120" s="3185">
        <f>H103</f>
        <v>0</v>
      </c>
      <c r="E120" s="3186"/>
      <c r="F120" s="3186"/>
      <c r="G120" s="3186"/>
      <c r="H120" s="3186"/>
      <c r="I120" s="3187"/>
      <c r="K120" s="2411" t="str">
        <f>IF(D120=0,"故，本次评估不存在"&amp;A120,"故，本次评估"&amp;A120&amp;"为人民币"&amp;D120&amp;"万元整。")</f>
        <v>故，本次评估不存在估价师知悉的法定优先受偿款</v>
      </c>
    </row>
    <row r="121" spans="1:11" ht="18.75" customHeight="1">
      <c r="A121" s="3231" t="s">
        <v>2311</v>
      </c>
      <c r="B121" s="3232"/>
      <c r="C121" s="3233"/>
      <c r="D121" s="3190" t="str">
        <f>IF(D120=0,"零元整",NUMBERSTRING(INT(D120*10000),2)&amp;"元整")</f>
        <v>零元整</v>
      </c>
      <c r="E121" s="3192"/>
      <c r="F121" s="3192"/>
      <c r="G121" s="3192"/>
      <c r="H121" s="3192"/>
      <c r="I121" s="3191"/>
    </row>
    <row r="122" spans="1:11" ht="18.75" customHeight="1">
      <c r="A122" s="3196" t="str">
        <f>IF(项目基本情况!B9="房地产市场价值","",MID(E107,3,LEN(E107)-2))</f>
        <v>房地产抵押价值</v>
      </c>
      <c r="B122" s="3196"/>
      <c r="C122" s="3196"/>
      <c r="D122" s="3185">
        <f ca="1">H107</f>
        <v>15703</v>
      </c>
      <c r="E122" s="3186"/>
      <c r="F122" s="3186"/>
      <c r="G122" s="3186"/>
      <c r="H122" s="3186"/>
      <c r="I122" s="3187"/>
    </row>
    <row r="123" spans="1:11" ht="18.75" customHeight="1">
      <c r="A123" s="3145" t="s">
        <v>2311</v>
      </c>
      <c r="B123" s="3145"/>
      <c r="C123" s="3145"/>
      <c r="D123" s="3190" t="str">
        <f ca="1">NUMBERSTRING(INT(D122*10000),2)&amp;"元整"</f>
        <v>壹亿伍仟柒佰零叁万元整</v>
      </c>
      <c r="E123" s="3192"/>
      <c r="F123" s="3192"/>
      <c r="G123" s="3192"/>
      <c r="H123" s="3192"/>
      <c r="I123" s="3191"/>
    </row>
    <row r="124" spans="1:11" ht="18.75" customHeight="1">
      <c r="A124" s="3196" t="str">
        <f>IF(项目基本情况!B9="房地产市场价值","",MID(E109,3,LEN(E109)-2))</f>
        <v/>
      </c>
      <c r="B124" s="3196"/>
      <c r="C124" s="3196"/>
      <c r="D124" s="3185" t="str">
        <f>H109</f>
        <v>——</v>
      </c>
      <c r="E124" s="3186"/>
      <c r="F124" s="3186"/>
      <c r="G124" s="3186"/>
      <c r="H124" s="3186"/>
      <c r="I124" s="3187"/>
    </row>
    <row r="125" spans="1:11" ht="18.75" customHeight="1">
      <c r="A125" s="3145" t="s">
        <v>2311</v>
      </c>
      <c r="B125" s="3145"/>
      <c r="C125" s="3145"/>
      <c r="D125" s="3190" t="e">
        <f>NUMBERSTRING(INT(D124*10000),2)&amp;"元整"</f>
        <v>#VALUE!</v>
      </c>
      <c r="E125" s="3192"/>
      <c r="F125" s="3192"/>
      <c r="G125" s="3192"/>
      <c r="H125" s="3192"/>
      <c r="I125" s="3191"/>
    </row>
    <row r="126" spans="1:11" ht="18.75" customHeight="1">
      <c r="A126" s="3196" t="str">
        <f>IF(项目基本情况!B9="房地产市场价值","",MID(E111,3,LEN(E111)-2))</f>
        <v/>
      </c>
      <c r="B126" s="3196"/>
      <c r="C126" s="3196"/>
      <c r="D126" s="3185" t="str">
        <f>H111</f>
        <v>——</v>
      </c>
      <c r="E126" s="3186"/>
      <c r="F126" s="3186"/>
      <c r="G126" s="3186"/>
      <c r="H126" s="3186"/>
      <c r="I126" s="3187"/>
    </row>
    <row r="127" spans="1:11" ht="18.75" customHeight="1">
      <c r="A127" s="3145" t="s">
        <v>2311</v>
      </c>
      <c r="B127" s="3145"/>
      <c r="C127" s="3145"/>
      <c r="D127" s="3190" t="e">
        <f>NUMBERSTRING(INT(D126*10000),2)&amp;"元整"</f>
        <v>#VALUE!</v>
      </c>
      <c r="E127" s="3192"/>
      <c r="F127" s="3192"/>
      <c r="G127" s="3192"/>
      <c r="H127" s="3192"/>
      <c r="I127" s="3191"/>
    </row>
    <row r="128" spans="1:11" ht="21.75" customHeight="1">
      <c r="A128" s="3193" t="s">
        <v>2312</v>
      </c>
      <c r="B128" s="3193"/>
      <c r="C128" s="3193"/>
      <c r="D128" s="3193"/>
      <c r="E128" s="3193"/>
      <c r="F128" s="3193"/>
      <c r="G128" s="3193"/>
      <c r="H128" s="3193"/>
      <c r="I128" s="3193"/>
    </row>
    <row r="129" spans="1:35" ht="21.75" customHeight="1">
      <c r="A129" s="2515" t="s">
        <v>2313</v>
      </c>
      <c r="B129" s="2516"/>
      <c r="C129" s="2517" t="s">
        <v>2314</v>
      </c>
      <c r="D129" s="2518"/>
      <c r="E129" s="2518"/>
      <c r="F129" s="2518"/>
      <c r="G129" s="2518"/>
      <c r="H129" s="2519"/>
      <c r="I129" s="2520"/>
    </row>
    <row r="130" spans="1:35" ht="21.75" customHeight="1">
      <c r="A130" s="2521">
        <v>1</v>
      </c>
      <c r="B130" s="2522"/>
      <c r="C130" s="2522"/>
      <c r="D130" s="2523"/>
      <c r="E130" s="2523"/>
      <c r="F130" s="2523"/>
      <c r="G130" s="2523"/>
      <c r="H130" s="2524"/>
      <c r="I130" s="2525"/>
    </row>
    <row r="131" spans="1:35" ht="21.75" customHeight="1">
      <c r="A131" s="2521">
        <v>2</v>
      </c>
      <c r="B131" s="2522"/>
      <c r="C131" s="2522"/>
      <c r="D131" s="2523"/>
      <c r="E131" s="2523"/>
      <c r="F131" s="2523"/>
      <c r="G131" s="2523"/>
      <c r="H131" s="2524"/>
      <c r="I131" s="2525"/>
    </row>
    <row r="132" spans="1:35" ht="21.75" customHeight="1">
      <c r="A132" s="2521">
        <v>3</v>
      </c>
      <c r="B132" s="2522"/>
      <c r="C132" s="2522"/>
      <c r="D132" s="2523"/>
      <c r="E132" s="2523"/>
      <c r="F132" s="2523"/>
      <c r="G132" s="2523"/>
      <c r="H132" s="2524"/>
      <c r="I132" s="2525"/>
    </row>
    <row r="133" spans="1:35" ht="21.75" customHeight="1">
      <c r="A133" s="2526"/>
      <c r="B133" s="2527"/>
      <c r="C133" s="2527"/>
      <c r="D133" s="2528"/>
      <c r="E133" s="2528"/>
      <c r="F133" s="2528"/>
      <c r="G133" s="2528"/>
      <c r="H133" s="2529"/>
      <c r="I133" s="2530"/>
    </row>
    <row r="134" spans="1:35" ht="21.75" customHeight="1">
      <c r="A134" s="2522"/>
      <c r="B134" s="2522"/>
      <c r="C134" s="2522"/>
      <c r="D134" s="2523"/>
      <c r="E134" s="2523"/>
      <c r="F134" s="2523"/>
      <c r="G134" s="2523"/>
      <c r="H134" s="2524"/>
      <c r="I134" s="786"/>
    </row>
    <row r="135" spans="1:35" ht="21.75" customHeight="1">
      <c r="A135" s="786"/>
      <c r="B135" s="786"/>
      <c r="C135" s="786"/>
      <c r="D135" s="786"/>
      <c r="E135" s="786"/>
      <c r="F135" s="2531" t="s">
        <v>2315</v>
      </c>
      <c r="G135" s="2532"/>
      <c r="H135" s="2532"/>
      <c r="I135" s="2533" t="s">
        <v>2316</v>
      </c>
    </row>
    <row r="136" spans="1:35" ht="21.75" customHeight="1">
      <c r="A136" s="786"/>
      <c r="B136" s="2534" t="s">
        <v>3151</v>
      </c>
      <c r="C136" s="786"/>
      <c r="D136" s="786"/>
      <c r="E136" s="786"/>
      <c r="F136" s="786"/>
      <c r="G136" s="786"/>
      <c r="H136" s="786"/>
      <c r="I136" s="786"/>
    </row>
    <row r="137" spans="1:35" ht="21.75" customHeight="1">
      <c r="A137" s="786"/>
      <c r="B137" s="786"/>
      <c r="C137" s="786"/>
      <c r="D137" s="786"/>
      <c r="E137" s="786"/>
      <c r="F137" s="786"/>
      <c r="G137" s="786"/>
      <c r="H137" s="786"/>
      <c r="I137" s="786"/>
    </row>
    <row r="138" spans="1:35" ht="21.75" customHeight="1">
      <c r="A138" s="786"/>
      <c r="B138" s="2532"/>
      <c r="C138" s="2532"/>
      <c r="D138" s="2532"/>
      <c r="E138" s="2532"/>
      <c r="F138" s="2532"/>
      <c r="G138" s="2532"/>
      <c r="H138" s="2532"/>
      <c r="I138" s="2533" t="s">
        <v>2317</v>
      </c>
    </row>
    <row r="139" spans="1:35" ht="21.75" customHeight="1">
      <c r="A139" s="786"/>
      <c r="B139" s="2534" t="s">
        <v>2318</v>
      </c>
      <c r="C139" s="786"/>
      <c r="D139" s="786"/>
      <c r="E139" s="786"/>
      <c r="F139" s="786"/>
      <c r="G139" s="786"/>
      <c r="H139" s="786"/>
      <c r="I139" s="786"/>
    </row>
    <row r="140" spans="1:35" ht="21.75" customHeight="1">
      <c r="A140" s="786"/>
      <c r="B140" s="2534"/>
      <c r="C140" s="786"/>
      <c r="D140" s="786"/>
      <c r="E140" s="786"/>
      <c r="F140" s="786"/>
      <c r="G140" s="786"/>
      <c r="H140" s="786"/>
      <c r="I140" s="786"/>
    </row>
    <row r="141" spans="1:35" ht="21.75" customHeight="1">
      <c r="A141" s="786"/>
      <c r="B141" s="2532"/>
      <c r="C141" s="2532"/>
      <c r="D141" s="2532"/>
      <c r="E141" s="2532"/>
      <c r="F141" s="2532"/>
      <c r="G141" s="2532"/>
      <c r="H141" s="2532"/>
      <c r="I141" s="2533" t="s">
        <v>2317</v>
      </c>
    </row>
    <row r="142" spans="1:35" ht="21.75" customHeight="1">
      <c r="A142" s="786"/>
      <c r="B142" s="2534"/>
      <c r="C142" s="2535"/>
      <c r="D142" s="2536"/>
      <c r="E142" s="2536"/>
      <c r="F142" s="2328"/>
      <c r="G142" s="786"/>
      <c r="H142" s="786"/>
      <c r="I142" s="786"/>
    </row>
    <row r="143" spans="1:35" s="130" customFormat="1" ht="21.75" customHeight="1">
      <c r="A143" s="786"/>
      <c r="B143" s="2534"/>
      <c r="C143" s="2535"/>
      <c r="D143" s="2536"/>
      <c r="E143" s="2536"/>
      <c r="F143" s="2328"/>
      <c r="G143" s="786"/>
      <c r="H143" s="786"/>
      <c r="I143" s="786"/>
      <c r="J143" s="786"/>
      <c r="K143" s="786"/>
      <c r="L143" s="786"/>
      <c r="M143" s="786"/>
      <c r="N143" s="786"/>
      <c r="O143" s="786"/>
      <c r="P143" s="786"/>
      <c r="Q143" s="786"/>
      <c r="R143" s="786"/>
      <c r="S143" s="786"/>
      <c r="T143" s="786"/>
      <c r="U143" s="786"/>
      <c r="V143" s="786"/>
      <c r="W143" s="786"/>
      <c r="X143" s="786"/>
      <c r="Y143" s="786"/>
      <c r="Z143" s="786"/>
      <c r="AA143" s="786"/>
      <c r="AB143" s="786"/>
      <c r="AC143" s="786"/>
      <c r="AD143" s="786"/>
      <c r="AE143" s="786"/>
      <c r="AF143" s="786"/>
      <c r="AG143" s="786"/>
      <c r="AH143" s="786"/>
      <c r="AI143" s="786"/>
    </row>
    <row r="144" spans="1:35" s="130" customFormat="1" ht="21.75" customHeight="1">
      <c r="A144" s="786"/>
      <c r="B144" s="786"/>
      <c r="C144" s="786"/>
      <c r="D144" s="786"/>
      <c r="E144" s="786"/>
      <c r="F144" s="786"/>
      <c r="G144" s="786"/>
      <c r="H144" s="786"/>
      <c r="I144" s="786"/>
      <c r="J144" s="786"/>
      <c r="K144" s="786"/>
      <c r="L144" s="786"/>
      <c r="M144" s="786"/>
      <c r="N144" s="786"/>
      <c r="O144" s="786"/>
      <c r="P144" s="786"/>
      <c r="Q144" s="786"/>
      <c r="R144" s="786"/>
      <c r="S144" s="786"/>
      <c r="T144" s="786"/>
      <c r="U144" s="786"/>
      <c r="V144" s="786"/>
      <c r="W144" s="786"/>
      <c r="X144" s="786"/>
      <c r="Y144" s="786"/>
      <c r="Z144" s="786"/>
      <c r="AA144" s="786"/>
      <c r="AB144" s="786"/>
      <c r="AC144" s="786"/>
      <c r="AD144" s="786"/>
      <c r="AE144" s="786"/>
      <c r="AF144" s="786"/>
      <c r="AG144" s="786"/>
      <c r="AH144" s="786"/>
      <c r="AI144" s="786"/>
    </row>
    <row r="145" spans="1:35" s="130" customFormat="1" ht="21.75" customHeight="1">
      <c r="A145" s="786"/>
      <c r="B145" s="786"/>
      <c r="C145" s="786"/>
      <c r="D145" s="786"/>
      <c r="E145" s="786"/>
      <c r="F145" s="786"/>
      <c r="G145" s="786"/>
      <c r="H145" s="786"/>
      <c r="I145" s="786"/>
      <c r="J145" s="786"/>
      <c r="K145" s="786"/>
      <c r="L145" s="786"/>
      <c r="M145" s="786"/>
      <c r="N145" s="786"/>
      <c r="O145" s="786"/>
      <c r="P145" s="786"/>
      <c r="Q145" s="786"/>
      <c r="R145" s="786"/>
      <c r="S145" s="786"/>
      <c r="T145" s="786"/>
      <c r="U145" s="786"/>
      <c r="V145" s="786"/>
      <c r="W145" s="786"/>
      <c r="X145" s="786"/>
      <c r="Y145" s="786"/>
      <c r="Z145" s="786"/>
      <c r="AA145" s="786"/>
      <c r="AB145" s="786"/>
      <c r="AC145" s="786"/>
      <c r="AD145" s="786"/>
      <c r="AE145" s="786"/>
      <c r="AF145" s="786"/>
      <c r="AG145" s="786"/>
      <c r="AH145" s="786"/>
      <c r="AI145" s="786"/>
    </row>
    <row r="146" spans="1:35" s="786" customFormat="1" ht="21.75" customHeight="1"/>
    <row r="147" spans="1:35" s="786" customFormat="1" ht="21.75" customHeight="1"/>
    <row r="148" spans="1:35" s="786" customFormat="1" ht="21.75" customHeight="1"/>
    <row r="149" spans="1:35" s="786" customFormat="1" ht="21.75" customHeight="1"/>
    <row r="150" spans="1:35" s="786" customFormat="1" ht="21.75" customHeight="1"/>
    <row r="151" spans="1:35" s="786" customFormat="1" ht="21.75" customHeight="1"/>
    <row r="152" spans="1:35" s="786" customFormat="1" ht="21.75" customHeight="1"/>
    <row r="153" spans="1:35" s="786" customFormat="1" ht="21.75" customHeight="1"/>
    <row r="154" spans="1:35" s="786" customFormat="1" ht="21.75" customHeight="1"/>
    <row r="155" spans="1:35" s="786" customFormat="1" ht="21.75" customHeight="1"/>
    <row r="156" spans="1:35" s="786" customFormat="1" ht="21.75" customHeight="1"/>
    <row r="157" spans="1:35" s="786" customFormat="1" ht="21.75" customHeight="1"/>
    <row r="158" spans="1:35" s="786" customFormat="1" ht="21.75" customHeight="1"/>
    <row r="159" spans="1:35" s="786" customFormat="1" ht="21.75" customHeight="1"/>
    <row r="160" spans="1:35" s="786" customFormat="1" ht="21.75" customHeight="1"/>
    <row r="161" s="786" customFormat="1" ht="21.75" customHeight="1"/>
    <row r="162" s="786" customFormat="1" ht="21.75" customHeight="1"/>
    <row r="163" s="786" customFormat="1" ht="21.75" customHeight="1"/>
    <row r="164" s="786" customFormat="1" ht="21.75" customHeight="1"/>
    <row r="165" s="786" customFormat="1" ht="21.75" customHeight="1"/>
    <row r="166" s="786" customFormat="1" ht="21.75" customHeight="1"/>
    <row r="167" s="786" customFormat="1" ht="21.75" customHeight="1"/>
    <row r="168" s="786" customFormat="1" ht="21.75" customHeight="1"/>
    <row r="169" s="786" customFormat="1" ht="21.75" customHeight="1"/>
    <row r="170" s="786" customFormat="1" ht="21.75" customHeight="1"/>
    <row r="171" s="786" customFormat="1" ht="21.75" customHeight="1"/>
    <row r="172" s="786" customFormat="1" ht="21.75" customHeight="1"/>
    <row r="173" s="786" customFormat="1" ht="21.75" customHeight="1"/>
    <row r="174" s="786" customFormat="1" ht="21.75" customHeight="1"/>
    <row r="175" s="786" customFormat="1" ht="21.75" customHeight="1"/>
    <row r="176" s="786" customFormat="1" ht="21.75" customHeight="1"/>
    <row r="177" s="786" customFormat="1" ht="21.75" customHeight="1"/>
    <row r="178" s="786" customFormat="1" ht="21.75" customHeight="1"/>
    <row r="179" s="786" customFormat="1" ht="21.75" customHeight="1"/>
    <row r="180" s="786" customFormat="1" ht="21.75" customHeight="1"/>
    <row r="181" s="786" customFormat="1" ht="21.75" customHeight="1"/>
    <row r="182" s="786" customFormat="1" ht="21.75" customHeight="1"/>
    <row r="183" s="786" customFormat="1" ht="21.75" customHeight="1"/>
    <row r="184" s="786" customFormat="1" ht="21.75" customHeight="1"/>
    <row r="185" s="786" customFormat="1" ht="21.75" customHeight="1"/>
    <row r="186" s="786" customFormat="1" ht="21.75" customHeight="1"/>
    <row r="187" s="786" customFormat="1" ht="21.75" customHeight="1"/>
    <row r="188" s="786" customFormat="1" ht="21.75" customHeight="1"/>
    <row r="189" s="786" customFormat="1" ht="21.75" customHeight="1"/>
    <row r="190" s="786" customFormat="1" ht="21.75" customHeight="1"/>
    <row r="191" s="786" customFormat="1" ht="21.75" customHeight="1"/>
    <row r="192" s="786" customFormat="1" ht="21.75" customHeight="1"/>
    <row r="193" s="786" customFormat="1" ht="21.75" customHeight="1"/>
    <row r="194" s="786" customFormat="1" ht="21.75" customHeight="1"/>
    <row r="195" s="786" customFormat="1" ht="21.75" customHeight="1"/>
    <row r="196" s="786" customFormat="1" ht="21.75" customHeight="1"/>
    <row r="197" s="786" customFormat="1" ht="21.75" customHeight="1"/>
    <row r="198" s="786" customFormat="1" ht="21.75" customHeight="1"/>
    <row r="199" s="786" customFormat="1" ht="21.75" customHeight="1"/>
    <row r="200" s="786" customFormat="1" ht="21.75" customHeight="1"/>
    <row r="201" s="786" customFormat="1" ht="21.75" customHeight="1"/>
    <row r="202" s="786" customFormat="1" ht="21.75" customHeight="1"/>
    <row r="203" s="786" customFormat="1" ht="21.75" customHeight="1"/>
    <row r="204" s="786" customFormat="1" ht="21.75" customHeight="1"/>
    <row r="205" s="786" customFormat="1" ht="21.75" customHeight="1"/>
    <row r="206" s="786" customFormat="1" ht="21.75" customHeight="1"/>
    <row r="207" s="786" customFormat="1" ht="21.75" customHeight="1"/>
    <row r="208" s="786" customFormat="1" ht="21.75" customHeight="1"/>
    <row r="209" s="786" customFormat="1" ht="21.75" customHeight="1"/>
    <row r="210" s="786" customFormat="1" ht="21.75" customHeight="1"/>
    <row r="211" s="786" customFormat="1" ht="21.75" customHeight="1"/>
    <row r="212" s="786" customFormat="1" ht="21.75" customHeight="1"/>
    <row r="213" s="786" customFormat="1" ht="21.75" customHeight="1"/>
    <row r="214" s="786" customFormat="1" ht="21.75" customHeight="1"/>
    <row r="215" s="786" customFormat="1" ht="21.75" customHeight="1"/>
    <row r="216" s="786" customFormat="1" ht="21.75" customHeight="1"/>
    <row r="217" s="786" customFormat="1" ht="21.75" customHeight="1"/>
    <row r="218" s="786" customFormat="1" ht="21.75" customHeight="1"/>
    <row r="219" s="786" customFormat="1" ht="21.75" customHeight="1"/>
    <row r="220" s="786" customFormat="1" ht="21.75" customHeight="1"/>
    <row r="221" s="786" customFormat="1" ht="21.75" customHeight="1"/>
    <row r="222" s="786" customFormat="1" ht="21.75" customHeight="1"/>
    <row r="223" s="786" customFormat="1" ht="21.75" customHeight="1"/>
    <row r="224" s="786" customFormat="1" ht="21.75" customHeight="1"/>
    <row r="225" s="786" customFormat="1" ht="21.75" customHeight="1"/>
    <row r="226" s="786" customFormat="1" ht="21.75" customHeight="1"/>
    <row r="227" s="786" customFormat="1" ht="21.75" customHeight="1"/>
    <row r="228" s="786" customFormat="1" ht="21.75" customHeight="1"/>
    <row r="229" s="786" customFormat="1" ht="21.75" customHeight="1"/>
    <row r="230" s="786" customFormat="1" ht="21.75" customHeight="1"/>
    <row r="231" s="786" customFormat="1" ht="21.75" customHeight="1"/>
    <row r="232" s="786" customFormat="1" ht="21.75" customHeight="1"/>
    <row r="233" s="786" customFormat="1" ht="21.75" customHeight="1"/>
    <row r="234" s="786" customFormat="1" ht="21.75" customHeight="1"/>
    <row r="235" s="786" customFormat="1" ht="21.75" customHeight="1"/>
    <row r="236" s="786" customFormat="1" ht="21.75" customHeight="1"/>
    <row r="237" s="786" customFormat="1" ht="21.75" customHeight="1"/>
    <row r="238" s="786" customFormat="1" ht="21.75" customHeight="1"/>
    <row r="239" s="786" customFormat="1" ht="21.75" customHeight="1"/>
    <row r="240" s="786" customFormat="1" ht="21.75" customHeight="1"/>
    <row r="241" s="786" customFormat="1" ht="21.75" customHeight="1"/>
    <row r="242" s="786" customFormat="1" ht="21.75" customHeight="1"/>
    <row r="243" s="786" customFormat="1" ht="21.75" customHeight="1"/>
    <row r="244" s="786" customFormat="1" ht="21.75" customHeight="1"/>
    <row r="245" s="786" customFormat="1" ht="21.75" customHeight="1"/>
    <row r="246" s="786" customFormat="1" ht="21.75" customHeight="1"/>
    <row r="247" s="786" customFormat="1" ht="21.75" customHeight="1"/>
    <row r="248" s="786" customFormat="1" ht="21.75" customHeight="1"/>
    <row r="249" s="786" customFormat="1" ht="21.75" customHeight="1"/>
    <row r="250" s="786" customFormat="1" ht="21.75" customHeight="1"/>
    <row r="251" s="786" customFormat="1" ht="21.75" customHeight="1"/>
    <row r="252" s="786" customFormat="1" ht="21.75" customHeight="1"/>
    <row r="253" s="786" customFormat="1" ht="21.75" customHeight="1"/>
    <row r="254" s="786" customFormat="1" ht="21.75" customHeight="1"/>
    <row r="255" s="786" customFormat="1" ht="21.75" customHeight="1"/>
    <row r="256" s="786" customFormat="1" ht="21.75" customHeight="1"/>
    <row r="257" s="786" customFormat="1" ht="21.75" customHeight="1"/>
    <row r="258" s="786" customFormat="1" ht="21.75" customHeight="1"/>
    <row r="259" s="786" customFormat="1" ht="21.75" customHeight="1"/>
    <row r="260" s="786" customFormat="1" ht="21.75" customHeight="1"/>
    <row r="261" s="786" customFormat="1" ht="21.75" customHeight="1"/>
    <row r="262" s="786" customFormat="1" ht="21.75" customHeight="1"/>
    <row r="263" s="786" customFormat="1" ht="21.75" customHeight="1"/>
    <row r="264" s="786" customFormat="1" ht="21.75" customHeight="1"/>
    <row r="265" s="786" customFormat="1" ht="21.75" customHeight="1"/>
    <row r="266" s="786" customFormat="1" ht="21.75" customHeight="1"/>
    <row r="267" s="786" customFormat="1" ht="21.75" customHeight="1"/>
    <row r="268" s="786" customFormat="1" ht="21.75" customHeight="1"/>
    <row r="269" s="786" customFormat="1" ht="21.75" customHeight="1"/>
    <row r="270" s="786" customFormat="1" ht="21.75" customHeight="1"/>
    <row r="271" s="786" customFormat="1" ht="21.75" customHeight="1"/>
    <row r="272" s="786" customFormat="1" ht="21.75" customHeight="1"/>
    <row r="273" s="786" customFormat="1" ht="21.75" customHeight="1"/>
    <row r="274" s="786" customFormat="1" ht="21.75" customHeight="1"/>
    <row r="275" s="786" customFormat="1" ht="21.75" customHeight="1"/>
    <row r="276" s="786" customFormat="1" ht="21.75" customHeight="1"/>
    <row r="277" s="786" customFormat="1" ht="21.75" customHeight="1"/>
    <row r="278" s="786" customFormat="1" ht="21.75" customHeight="1"/>
    <row r="279" s="786" customFormat="1" ht="21.75" customHeight="1"/>
    <row r="280" s="786" customFormat="1" ht="21.75" customHeight="1"/>
    <row r="281" s="786" customFormat="1" ht="21.75" customHeight="1"/>
    <row r="282" s="786" customFormat="1" ht="21.75" customHeight="1"/>
    <row r="283" s="786" customFormat="1" ht="21.75" customHeight="1"/>
    <row r="284" s="786" customFormat="1" ht="21.75" customHeight="1"/>
    <row r="285" s="786" customFormat="1" ht="21.75" customHeight="1"/>
    <row r="286" s="786" customFormat="1" ht="21.75" customHeight="1"/>
    <row r="287" s="786" customFormat="1" ht="21.75" customHeight="1"/>
    <row r="288" s="786" customFormat="1" ht="21.75" customHeight="1"/>
    <row r="289" s="786" customFormat="1" ht="21.75" customHeight="1"/>
    <row r="290" s="786" customFormat="1" ht="21.75" customHeight="1"/>
    <row r="291" s="786" customFormat="1" ht="21.75" customHeight="1"/>
    <row r="292" s="786" customFormat="1" ht="21.75" customHeight="1"/>
    <row r="293" s="786" customFormat="1" ht="21.75" customHeight="1"/>
    <row r="294" s="786" customFormat="1" ht="21.75" customHeight="1"/>
    <row r="295" s="786" customFormat="1" ht="21.75" customHeight="1"/>
    <row r="296" s="786" customFormat="1" ht="21.75" customHeight="1"/>
    <row r="297" s="786" customFormat="1" ht="21.75" customHeight="1"/>
    <row r="298" s="786" customFormat="1" ht="21.75" customHeight="1"/>
    <row r="299" s="786" customFormat="1" ht="21.75" customHeight="1"/>
    <row r="300" s="786" customFormat="1" ht="21.75" customHeight="1"/>
    <row r="301" s="786" customFormat="1" ht="21.75" customHeight="1"/>
    <row r="302" s="786" customFormat="1" ht="21.75" customHeight="1"/>
    <row r="303" s="786" customFormat="1" ht="21.75" customHeight="1"/>
    <row r="304" s="786" customFormat="1" ht="21.75" customHeight="1"/>
    <row r="305" s="786" customFormat="1" ht="21.75" customHeight="1"/>
    <row r="306" s="786" customFormat="1" ht="21.75" customHeight="1"/>
    <row r="307" s="786" customFormat="1" ht="21.75" customHeight="1"/>
    <row r="308" s="786" customFormat="1" ht="21.75" customHeight="1"/>
    <row r="309" s="786" customFormat="1" ht="21.75" customHeight="1"/>
    <row r="310" s="786" customFormat="1" ht="21.75" customHeight="1"/>
    <row r="311" s="786" customFormat="1" ht="21.75" customHeight="1"/>
    <row r="312" s="786" customFormat="1" ht="21.75" customHeight="1"/>
    <row r="313" s="786" customFormat="1" ht="21.75" customHeight="1"/>
    <row r="314" s="786" customFormat="1" ht="21.75" customHeight="1"/>
    <row r="315" s="786" customFormat="1" ht="21.75" customHeight="1"/>
    <row r="316" s="786" customFormat="1" ht="21.75" customHeight="1"/>
    <row r="317" s="786" customFormat="1" ht="21.75" customHeight="1"/>
    <row r="318" s="786" customFormat="1" ht="21.75" customHeight="1"/>
    <row r="319" s="786" customFormat="1" ht="21.75" customHeight="1"/>
    <row r="320" s="786" customFormat="1" ht="21.75" customHeight="1"/>
    <row r="321" s="786" customFormat="1" ht="21.75" customHeight="1"/>
    <row r="322" s="786" customFormat="1" ht="21.75" customHeight="1"/>
    <row r="323" s="786" customFormat="1" ht="21.75" customHeight="1"/>
    <row r="324" s="786" customFormat="1" ht="21.75" customHeight="1"/>
    <row r="325" s="786" customFormat="1" ht="21.75" customHeight="1"/>
    <row r="326" s="786" customFormat="1" ht="21.75" customHeight="1"/>
    <row r="327" s="786" customFormat="1" ht="21.75" customHeight="1"/>
    <row r="328" s="786" customFormat="1" ht="21.75" customHeight="1"/>
    <row r="329" s="786" customFormat="1" ht="21.75" customHeight="1"/>
    <row r="330" s="786" customFormat="1" ht="21.75" customHeight="1"/>
    <row r="331" s="786" customFormat="1" ht="21.75" customHeight="1"/>
    <row r="332" s="786" customFormat="1" ht="21.75" customHeight="1"/>
    <row r="333" s="786" customFormat="1" ht="21.75" customHeight="1"/>
    <row r="334" s="786" customFormat="1" ht="21.75" customHeight="1"/>
    <row r="335" s="786" customFormat="1" ht="21.75" customHeight="1"/>
    <row r="336" s="786" customFormat="1" ht="21.75" customHeight="1"/>
    <row r="337" s="786" customFormat="1" ht="21.75" customHeight="1"/>
    <row r="338" s="786" customFormat="1" ht="21.75" customHeight="1"/>
    <row r="339" s="786" customFormat="1" ht="21.75" customHeight="1"/>
    <row r="340" s="786" customFormat="1" ht="21.75" customHeight="1"/>
    <row r="341" s="786" customFormat="1" ht="21.75" customHeight="1"/>
    <row r="342" s="786" customFormat="1" ht="21.75" customHeight="1"/>
    <row r="343" s="786" customFormat="1" ht="21.75" customHeight="1"/>
    <row r="344" s="786" customFormat="1" ht="21.75" customHeight="1"/>
    <row r="345" s="786" customFormat="1" ht="21.75" customHeight="1"/>
    <row r="346" s="786" customFormat="1" ht="21.75" customHeight="1"/>
    <row r="347" s="786" customFormat="1" ht="21.75" customHeight="1"/>
    <row r="348" s="786" customFormat="1" ht="21.75" customHeight="1"/>
    <row r="349" s="786" customFormat="1" ht="21.75" customHeight="1"/>
    <row r="350" s="786" customFormat="1" ht="21.75" customHeight="1"/>
    <row r="351" s="786" customFormat="1" ht="21.75" customHeight="1"/>
    <row r="352" s="786" customFormat="1" ht="21.75" customHeight="1"/>
    <row r="353" s="786" customFormat="1" ht="21.75" customHeight="1"/>
    <row r="354" s="786" customFormat="1" ht="21.75" customHeight="1"/>
    <row r="355" s="786" customFormat="1" ht="21.75" customHeight="1"/>
    <row r="356" s="786" customFormat="1" ht="21.75" customHeight="1"/>
    <row r="357" s="786" customFormat="1" ht="21.75" customHeight="1"/>
    <row r="358" s="786" customFormat="1" ht="21.75" customHeight="1"/>
    <row r="359" s="786" customFormat="1" ht="21.75" customHeight="1"/>
    <row r="360" s="786" customFormat="1" ht="21.75" customHeight="1"/>
    <row r="361" s="786" customFormat="1" ht="21.75" customHeight="1"/>
    <row r="362" s="786" customFormat="1" ht="21.75" customHeight="1"/>
    <row r="363" s="786" customFormat="1" ht="21.75" customHeight="1"/>
    <row r="364" s="786" customFormat="1" ht="21.75" customHeight="1"/>
    <row r="365" s="786" customFormat="1" ht="21.75" customHeight="1"/>
    <row r="366" s="786" customFormat="1" ht="21.75" customHeight="1"/>
    <row r="367" s="786" customFormat="1" ht="21.75" customHeight="1"/>
    <row r="368" s="786" customFormat="1" ht="21.75" customHeight="1"/>
    <row r="369" s="786" customFormat="1" ht="21.75" customHeight="1"/>
    <row r="370" s="786" customFormat="1" ht="21.75" customHeight="1"/>
    <row r="371" s="786" customFormat="1" ht="21.75" customHeight="1"/>
    <row r="372" s="786" customFormat="1" ht="21.75" customHeight="1"/>
    <row r="373" s="786" customFormat="1" ht="21.75" customHeight="1"/>
    <row r="374" s="786" customFormat="1" ht="21.75" customHeight="1"/>
    <row r="375" s="786" customFormat="1" ht="21.75" customHeight="1"/>
    <row r="376" s="786" customFormat="1" ht="21.75" customHeight="1"/>
    <row r="377" s="786" customFormat="1" ht="21.75" customHeight="1"/>
    <row r="378" s="786" customFormat="1" ht="21.75" customHeight="1"/>
    <row r="379" s="786" customFormat="1" ht="21.75" customHeight="1"/>
    <row r="380" s="786" customFormat="1" ht="21.75" customHeight="1"/>
    <row r="381" s="786" customFormat="1" ht="21.75" customHeight="1"/>
    <row r="382" s="786" customFormat="1" ht="21.75" customHeight="1"/>
    <row r="383" s="786" customFormat="1" ht="21.75" customHeight="1"/>
    <row r="384" s="786" customFormat="1" ht="21.75" customHeight="1"/>
    <row r="385" s="786" customFormat="1" ht="21.75" customHeight="1"/>
    <row r="386" s="786" customFormat="1" ht="21.75" customHeight="1"/>
    <row r="387" s="786" customFormat="1" ht="21.75" customHeight="1"/>
    <row r="388" s="786" customFormat="1" ht="21.75" customHeight="1"/>
    <row r="389" s="786" customFormat="1" ht="21.75" customHeight="1"/>
    <row r="390" s="786" customFormat="1" ht="21.75" customHeight="1"/>
    <row r="391" s="786" customFormat="1" ht="21.75" customHeight="1"/>
    <row r="392" s="786" customFormat="1" ht="21.75" customHeight="1"/>
    <row r="393" s="786" customFormat="1" ht="21.75" customHeight="1"/>
    <row r="394" s="786" customFormat="1" ht="21.75" customHeight="1"/>
    <row r="395" s="786" customFormat="1" ht="21.75" customHeight="1"/>
    <row r="396" s="786" customFormat="1" ht="21.75" customHeight="1"/>
    <row r="397" s="786" customFormat="1" ht="21.75" customHeight="1"/>
    <row r="398" s="786" customFormat="1" ht="21.75" customHeight="1"/>
    <row r="399" s="786" customFormat="1" ht="21.75" customHeight="1"/>
    <row r="400" s="786" customFormat="1" ht="21.75" customHeight="1"/>
    <row r="401" spans="10:26" s="786" customFormat="1" ht="21.75" customHeight="1"/>
    <row r="402" spans="10:26" s="786" customFormat="1" ht="21.75" customHeight="1"/>
    <row r="403" spans="10:26" s="786" customFormat="1" ht="21.75" customHeight="1"/>
    <row r="404" spans="10:26" s="786" customFormat="1" ht="21.75" customHeight="1"/>
    <row r="405" spans="10:26" s="786" customFormat="1" ht="21.75" customHeight="1"/>
    <row r="406" spans="10:26" s="786" customFormat="1" ht="21.75" customHeight="1"/>
    <row r="407" spans="10:26" s="786" customFormat="1" ht="21.75" customHeight="1"/>
    <row r="408" spans="10:26" s="786" customFormat="1" ht="21.75" customHeight="1"/>
    <row r="409" spans="10:26" s="2411" customFormat="1" ht="21.75" customHeight="1">
      <c r="J409" s="786"/>
      <c r="K409" s="786"/>
      <c r="L409" s="786"/>
      <c r="M409" s="786"/>
      <c r="N409" s="786"/>
      <c r="O409" s="786"/>
      <c r="P409" s="786"/>
      <c r="Q409" s="786"/>
      <c r="R409" s="786"/>
      <c r="S409" s="786"/>
      <c r="T409" s="786"/>
      <c r="U409" s="786"/>
      <c r="V409" s="786"/>
      <c r="W409" s="786"/>
      <c r="X409" s="786"/>
      <c r="Y409" s="786"/>
      <c r="Z409" s="786"/>
    </row>
    <row r="410" spans="10:26" s="2411" customFormat="1" ht="21.75" customHeight="1">
      <c r="J410" s="786"/>
      <c r="K410" s="786"/>
      <c r="L410" s="786"/>
      <c r="M410" s="786"/>
      <c r="N410" s="786"/>
      <c r="O410" s="786"/>
      <c r="P410" s="786"/>
      <c r="Q410" s="786"/>
      <c r="R410" s="786"/>
      <c r="S410" s="786"/>
      <c r="T410" s="786"/>
      <c r="U410" s="786"/>
      <c r="V410" s="786"/>
      <c r="W410" s="786"/>
      <c r="X410" s="786"/>
      <c r="Y410" s="786"/>
      <c r="Z410" s="786"/>
    </row>
    <row r="411" spans="10:26" s="2411" customFormat="1" ht="21.75" customHeight="1">
      <c r="J411" s="786"/>
      <c r="K411" s="786"/>
      <c r="L411" s="786"/>
      <c r="M411" s="786"/>
      <c r="N411" s="786"/>
      <c r="O411" s="786"/>
      <c r="P411" s="786"/>
      <c r="Q411" s="786"/>
      <c r="R411" s="786"/>
      <c r="S411" s="786"/>
      <c r="T411" s="786"/>
      <c r="U411" s="786"/>
      <c r="V411" s="786"/>
      <c r="W411" s="786"/>
      <c r="X411" s="786"/>
      <c r="Y411" s="786"/>
      <c r="Z411" s="786"/>
    </row>
    <row r="412" spans="10:26" s="2411" customFormat="1" ht="21.75" customHeight="1">
      <c r="J412" s="786"/>
      <c r="K412" s="786"/>
      <c r="L412" s="786"/>
      <c r="M412" s="786"/>
      <c r="N412" s="786"/>
      <c r="O412" s="786"/>
      <c r="P412" s="786"/>
      <c r="Q412" s="786"/>
      <c r="R412" s="786"/>
      <c r="S412" s="786"/>
      <c r="T412" s="786"/>
      <c r="U412" s="786"/>
      <c r="V412" s="786"/>
      <c r="W412" s="786"/>
      <c r="X412" s="786"/>
      <c r="Y412" s="786"/>
      <c r="Z412" s="786"/>
    </row>
    <row r="413" spans="10:26" s="2411" customFormat="1" ht="21.75" customHeight="1">
      <c r="J413" s="786"/>
      <c r="K413" s="786"/>
      <c r="L413" s="786"/>
      <c r="M413" s="786"/>
      <c r="N413" s="786"/>
      <c r="O413" s="786"/>
      <c r="P413" s="786"/>
      <c r="Q413" s="786"/>
      <c r="R413" s="786"/>
      <c r="S413" s="786"/>
      <c r="T413" s="786"/>
      <c r="U413" s="786"/>
      <c r="V413" s="786"/>
      <c r="W413" s="786"/>
      <c r="X413" s="786"/>
      <c r="Y413" s="786"/>
      <c r="Z413" s="786"/>
    </row>
    <row r="414" spans="10:26" s="2411" customFormat="1" ht="21.75" customHeight="1">
      <c r="J414" s="786"/>
      <c r="K414" s="786"/>
      <c r="L414" s="786"/>
      <c r="M414" s="786"/>
      <c r="N414" s="786"/>
      <c r="O414" s="786"/>
      <c r="P414" s="786"/>
      <c r="Q414" s="786"/>
      <c r="R414" s="786"/>
      <c r="S414" s="786"/>
      <c r="T414" s="786"/>
      <c r="U414" s="786"/>
      <c r="V414" s="786"/>
      <c r="W414" s="786"/>
      <c r="X414" s="786"/>
      <c r="Y414" s="786"/>
      <c r="Z414" s="786"/>
    </row>
    <row r="415" spans="10:26" s="2411" customFormat="1" ht="21.75" customHeight="1">
      <c r="J415" s="786"/>
      <c r="K415" s="786"/>
      <c r="L415" s="786"/>
      <c r="M415" s="786"/>
      <c r="N415" s="786"/>
      <c r="O415" s="786"/>
      <c r="P415" s="786"/>
      <c r="Q415" s="786"/>
      <c r="R415" s="786"/>
      <c r="S415" s="786"/>
      <c r="T415" s="786"/>
      <c r="U415" s="786"/>
      <c r="V415" s="786"/>
      <c r="W415" s="786"/>
      <c r="X415" s="786"/>
      <c r="Y415" s="786"/>
      <c r="Z415" s="786"/>
    </row>
    <row r="416" spans="10:26" s="2411" customFormat="1" ht="21.75" customHeight="1">
      <c r="J416" s="786"/>
      <c r="K416" s="786"/>
      <c r="L416" s="786"/>
      <c r="M416" s="786"/>
      <c r="N416" s="786"/>
      <c r="O416" s="786"/>
      <c r="P416" s="786"/>
      <c r="Q416" s="786"/>
      <c r="R416" s="786"/>
      <c r="S416" s="786"/>
      <c r="T416" s="786"/>
      <c r="U416" s="786"/>
      <c r="V416" s="786"/>
      <c r="W416" s="786"/>
      <c r="X416" s="786"/>
      <c r="Y416" s="786"/>
      <c r="Z416" s="786"/>
    </row>
    <row r="417" spans="10:26" s="2411" customFormat="1" ht="21.75" customHeight="1">
      <c r="J417" s="786"/>
      <c r="K417" s="786"/>
      <c r="L417" s="786"/>
      <c r="M417" s="786"/>
      <c r="N417" s="786"/>
      <c r="O417" s="786"/>
      <c r="P417" s="786"/>
      <c r="Q417" s="786"/>
      <c r="R417" s="786"/>
      <c r="S417" s="786"/>
      <c r="T417" s="786"/>
      <c r="U417" s="786"/>
      <c r="V417" s="786"/>
      <c r="W417" s="786"/>
      <c r="X417" s="786"/>
      <c r="Y417" s="786"/>
      <c r="Z417" s="786"/>
    </row>
    <row r="418" spans="10:26" s="2411" customFormat="1" ht="21.75" customHeight="1">
      <c r="J418" s="786"/>
      <c r="K418" s="786"/>
      <c r="L418" s="786"/>
      <c r="M418" s="786"/>
      <c r="N418" s="786"/>
      <c r="O418" s="786"/>
      <c r="P418" s="786"/>
      <c r="Q418" s="786"/>
      <c r="R418" s="786"/>
      <c r="S418" s="786"/>
      <c r="T418" s="786"/>
      <c r="U418" s="786"/>
      <c r="V418" s="786"/>
      <c r="W418" s="786"/>
      <c r="X418" s="786"/>
      <c r="Y418" s="786"/>
      <c r="Z418" s="786"/>
    </row>
    <row r="419" spans="10:26" s="2411" customFormat="1" ht="21.75" customHeight="1">
      <c r="J419" s="786"/>
      <c r="K419" s="786"/>
      <c r="L419" s="786"/>
      <c r="M419" s="786"/>
      <c r="N419" s="786"/>
      <c r="O419" s="786"/>
      <c r="P419" s="786"/>
      <c r="Q419" s="786"/>
      <c r="R419" s="786"/>
      <c r="S419" s="786"/>
      <c r="T419" s="786"/>
      <c r="U419" s="786"/>
      <c r="V419" s="786"/>
      <c r="W419" s="786"/>
      <c r="X419" s="786"/>
      <c r="Y419" s="786"/>
      <c r="Z419" s="786"/>
    </row>
    <row r="420" spans="10:26" s="2411" customFormat="1" ht="21.75" customHeight="1">
      <c r="J420" s="786"/>
      <c r="K420" s="786"/>
      <c r="L420" s="786"/>
      <c r="M420" s="786"/>
      <c r="N420" s="786"/>
      <c r="O420" s="786"/>
      <c r="P420" s="786"/>
      <c r="Q420" s="786"/>
      <c r="R420" s="786"/>
      <c r="S420" s="786"/>
      <c r="T420" s="786"/>
      <c r="U420" s="786"/>
      <c r="V420" s="786"/>
      <c r="W420" s="786"/>
      <c r="X420" s="786"/>
      <c r="Y420" s="786"/>
      <c r="Z420" s="786"/>
    </row>
    <row r="421" spans="10:26" s="2411" customFormat="1" ht="21.75" customHeight="1">
      <c r="J421" s="786"/>
      <c r="K421" s="786"/>
      <c r="L421" s="786"/>
      <c r="M421" s="786"/>
      <c r="N421" s="786"/>
      <c r="O421" s="786"/>
      <c r="P421" s="786"/>
      <c r="Q421" s="786"/>
      <c r="R421" s="786"/>
      <c r="S421" s="786"/>
      <c r="T421" s="786"/>
      <c r="U421" s="786"/>
      <c r="V421" s="786"/>
      <c r="W421" s="786"/>
      <c r="X421" s="786"/>
      <c r="Y421" s="786"/>
      <c r="Z421" s="786"/>
    </row>
    <row r="422" spans="10:26" s="2411" customFormat="1" ht="21.75" customHeight="1">
      <c r="J422" s="786"/>
      <c r="K422" s="786"/>
      <c r="L422" s="786"/>
      <c r="M422" s="786"/>
      <c r="N422" s="786"/>
      <c r="O422" s="786"/>
      <c r="P422" s="786"/>
      <c r="Q422" s="786"/>
      <c r="R422" s="786"/>
      <c r="S422" s="786"/>
      <c r="T422" s="786"/>
      <c r="U422" s="786"/>
      <c r="V422" s="786"/>
      <c r="W422" s="786"/>
      <c r="X422" s="786"/>
      <c r="Y422" s="786"/>
      <c r="Z422" s="786"/>
    </row>
    <row r="423" spans="10:26" s="2411" customFormat="1" ht="21.75" customHeight="1">
      <c r="J423" s="786"/>
      <c r="K423" s="786"/>
      <c r="L423" s="786"/>
      <c r="M423" s="786"/>
      <c r="N423" s="786"/>
      <c r="O423" s="786"/>
      <c r="P423" s="786"/>
      <c r="Q423" s="786"/>
      <c r="R423" s="786"/>
      <c r="S423" s="786"/>
      <c r="T423" s="786"/>
      <c r="U423" s="786"/>
      <c r="V423" s="786"/>
      <c r="W423" s="786"/>
      <c r="X423" s="786"/>
      <c r="Y423" s="786"/>
      <c r="Z423" s="786"/>
    </row>
    <row r="424" spans="10:26" s="2411" customFormat="1" ht="21.75" customHeight="1">
      <c r="J424" s="786"/>
      <c r="K424" s="786"/>
      <c r="L424" s="786"/>
      <c r="M424" s="786"/>
      <c r="N424" s="786"/>
      <c r="O424" s="786"/>
      <c r="P424" s="786"/>
      <c r="Q424" s="786"/>
      <c r="R424" s="786"/>
      <c r="S424" s="786"/>
      <c r="T424" s="786"/>
      <c r="U424" s="786"/>
      <c r="V424" s="786"/>
      <c r="W424" s="786"/>
      <c r="X424" s="786"/>
      <c r="Y424" s="786"/>
      <c r="Z424" s="786"/>
    </row>
    <row r="425" spans="10:26" s="2411" customFormat="1" ht="21.75" customHeight="1">
      <c r="J425" s="786"/>
      <c r="K425" s="786"/>
      <c r="L425" s="786"/>
      <c r="M425" s="786"/>
      <c r="N425" s="786"/>
      <c r="O425" s="786"/>
      <c r="P425" s="786"/>
      <c r="Q425" s="786"/>
      <c r="R425" s="786"/>
      <c r="S425" s="786"/>
      <c r="T425" s="786"/>
      <c r="U425" s="786"/>
      <c r="V425" s="786"/>
      <c r="W425" s="786"/>
      <c r="X425" s="786"/>
      <c r="Y425" s="786"/>
      <c r="Z425" s="786"/>
    </row>
    <row r="426" spans="10:26" s="2411" customFormat="1" ht="21.75" customHeight="1">
      <c r="J426" s="786"/>
      <c r="K426" s="786"/>
      <c r="L426" s="786"/>
      <c r="M426" s="786"/>
      <c r="N426" s="786"/>
      <c r="O426" s="786"/>
      <c r="P426" s="786"/>
      <c r="Q426" s="786"/>
      <c r="R426" s="786"/>
      <c r="S426" s="786"/>
      <c r="T426" s="786"/>
      <c r="U426" s="786"/>
      <c r="V426" s="786"/>
      <c r="W426" s="786"/>
      <c r="X426" s="786"/>
      <c r="Y426" s="786"/>
      <c r="Z426" s="786"/>
    </row>
    <row r="427" spans="10:26" s="2411" customFormat="1" ht="21.75" customHeight="1">
      <c r="J427" s="786"/>
      <c r="K427" s="786"/>
      <c r="L427" s="786"/>
      <c r="M427" s="786"/>
      <c r="N427" s="786"/>
      <c r="O427" s="786"/>
      <c r="P427" s="786"/>
      <c r="Q427" s="786"/>
      <c r="R427" s="786"/>
      <c r="S427" s="786"/>
      <c r="T427" s="786"/>
      <c r="U427" s="786"/>
      <c r="V427" s="786"/>
      <c r="W427" s="786"/>
      <c r="X427" s="786"/>
      <c r="Y427" s="786"/>
      <c r="Z427" s="786"/>
    </row>
    <row r="428" spans="10:26" s="2411" customFormat="1" ht="21.75" customHeight="1">
      <c r="J428" s="786"/>
      <c r="K428" s="786"/>
      <c r="L428" s="786"/>
      <c r="M428" s="786"/>
      <c r="N428" s="786"/>
      <c r="O428" s="786"/>
      <c r="P428" s="786"/>
      <c r="Q428" s="786"/>
      <c r="R428" s="786"/>
      <c r="S428" s="786"/>
      <c r="T428" s="786"/>
      <c r="U428" s="786"/>
      <c r="V428" s="786"/>
      <c r="W428" s="786"/>
      <c r="X428" s="786"/>
      <c r="Y428" s="786"/>
      <c r="Z428" s="786"/>
    </row>
    <row r="429" spans="10:26" s="2411" customFormat="1" ht="21.75" customHeight="1">
      <c r="J429" s="786"/>
      <c r="K429" s="786"/>
      <c r="L429" s="786"/>
      <c r="M429" s="786"/>
      <c r="N429" s="786"/>
      <c r="O429" s="786"/>
      <c r="P429" s="786"/>
      <c r="Q429" s="786"/>
      <c r="R429" s="786"/>
      <c r="S429" s="786"/>
      <c r="T429" s="786"/>
      <c r="U429" s="786"/>
      <c r="V429" s="786"/>
      <c r="W429" s="786"/>
      <c r="X429" s="786"/>
      <c r="Y429" s="786"/>
      <c r="Z429" s="786"/>
    </row>
    <row r="430" spans="10:26" s="2411" customFormat="1" ht="21.75" customHeight="1">
      <c r="J430" s="786"/>
      <c r="K430" s="786"/>
      <c r="L430" s="786"/>
      <c r="M430" s="786"/>
      <c r="N430" s="786"/>
      <c r="O430" s="786"/>
      <c r="P430" s="786"/>
      <c r="Q430" s="786"/>
      <c r="R430" s="786"/>
      <c r="S430" s="786"/>
      <c r="T430" s="786"/>
      <c r="U430" s="786"/>
      <c r="V430" s="786"/>
      <c r="W430" s="786"/>
      <c r="X430" s="786"/>
      <c r="Y430" s="786"/>
      <c r="Z430" s="786"/>
    </row>
    <row r="431" spans="10:26" s="2411" customFormat="1" ht="21.75" customHeight="1">
      <c r="J431" s="786"/>
      <c r="K431" s="786"/>
      <c r="L431" s="786"/>
      <c r="M431" s="786"/>
      <c r="N431" s="786"/>
      <c r="O431" s="786"/>
      <c r="P431" s="786"/>
      <c r="Q431" s="786"/>
      <c r="R431" s="786"/>
      <c r="S431" s="786"/>
      <c r="T431" s="786"/>
      <c r="U431" s="786"/>
      <c r="V431" s="786"/>
      <c r="W431" s="786"/>
      <c r="X431" s="786"/>
      <c r="Y431" s="786"/>
      <c r="Z431" s="786"/>
    </row>
    <row r="432" spans="10:26" s="2411" customFormat="1" ht="21.75" customHeight="1">
      <c r="J432" s="786"/>
      <c r="K432" s="786"/>
      <c r="L432" s="786"/>
      <c r="M432" s="786"/>
      <c r="N432" s="786"/>
      <c r="O432" s="786"/>
      <c r="P432" s="786"/>
      <c r="Q432" s="786"/>
      <c r="R432" s="786"/>
      <c r="S432" s="786"/>
      <c r="T432" s="786"/>
      <c r="U432" s="786"/>
      <c r="V432" s="786"/>
      <c r="W432" s="786"/>
      <c r="X432" s="786"/>
      <c r="Y432" s="786"/>
      <c r="Z432" s="786"/>
    </row>
    <row r="433" spans="10:26" s="2411" customFormat="1" ht="21.75" customHeight="1">
      <c r="J433" s="786"/>
      <c r="K433" s="786"/>
      <c r="L433" s="786"/>
      <c r="M433" s="786"/>
      <c r="N433" s="786"/>
      <c r="O433" s="786"/>
      <c r="P433" s="786"/>
      <c r="Q433" s="786"/>
      <c r="R433" s="786"/>
      <c r="S433" s="786"/>
      <c r="T433" s="786"/>
      <c r="U433" s="786"/>
      <c r="V433" s="786"/>
      <c r="W433" s="786"/>
      <c r="X433" s="786"/>
      <c r="Y433" s="786"/>
      <c r="Z433" s="786"/>
    </row>
    <row r="434" spans="10:26" s="2411" customFormat="1" ht="21.75" customHeight="1">
      <c r="J434" s="786"/>
      <c r="K434" s="786"/>
      <c r="L434" s="786"/>
      <c r="M434" s="786"/>
      <c r="N434" s="786"/>
      <c r="O434" s="786"/>
      <c r="P434" s="786"/>
      <c r="Q434" s="786"/>
      <c r="R434" s="786"/>
      <c r="S434" s="786"/>
      <c r="T434" s="786"/>
      <c r="U434" s="786"/>
      <c r="V434" s="786"/>
      <c r="W434" s="786"/>
      <c r="X434" s="786"/>
      <c r="Y434" s="786"/>
      <c r="Z434" s="786"/>
    </row>
    <row r="435" spans="10:26" s="2411" customFormat="1" ht="21.75" customHeight="1">
      <c r="J435" s="786"/>
      <c r="K435" s="786"/>
      <c r="L435" s="786"/>
      <c r="M435" s="786"/>
      <c r="N435" s="786"/>
      <c r="O435" s="786"/>
      <c r="P435" s="786"/>
      <c r="Q435" s="786"/>
      <c r="R435" s="786"/>
      <c r="S435" s="786"/>
      <c r="T435" s="786"/>
      <c r="U435" s="786"/>
      <c r="V435" s="786"/>
      <c r="W435" s="786"/>
      <c r="X435" s="786"/>
      <c r="Y435" s="786"/>
      <c r="Z435" s="786"/>
    </row>
    <row r="436" spans="10:26" s="2411" customFormat="1" ht="21.75" customHeight="1">
      <c r="J436" s="786"/>
      <c r="K436" s="786"/>
      <c r="L436" s="786"/>
      <c r="M436" s="786"/>
      <c r="N436" s="786"/>
      <c r="O436" s="786"/>
      <c r="P436" s="786"/>
      <c r="Q436" s="786"/>
      <c r="R436" s="786"/>
      <c r="S436" s="786"/>
      <c r="T436" s="786"/>
      <c r="U436" s="786"/>
      <c r="V436" s="786"/>
      <c r="W436" s="786"/>
      <c r="X436" s="786"/>
      <c r="Y436" s="786"/>
      <c r="Z436" s="786"/>
    </row>
    <row r="437" spans="10:26" s="2411" customFormat="1" ht="21.75" customHeight="1">
      <c r="J437" s="786"/>
      <c r="K437" s="786"/>
      <c r="L437" s="786"/>
      <c r="M437" s="786"/>
      <c r="N437" s="786"/>
      <c r="O437" s="786"/>
      <c r="P437" s="786"/>
      <c r="Q437" s="786"/>
      <c r="R437" s="786"/>
      <c r="S437" s="786"/>
      <c r="T437" s="786"/>
      <c r="U437" s="786"/>
      <c r="V437" s="786"/>
      <c r="W437" s="786"/>
      <c r="X437" s="786"/>
      <c r="Y437" s="786"/>
      <c r="Z437" s="786"/>
    </row>
    <row r="438" spans="10:26" s="2411" customFormat="1" ht="21.75" customHeight="1">
      <c r="J438" s="786"/>
      <c r="K438" s="786"/>
      <c r="L438" s="786"/>
      <c r="M438" s="786"/>
      <c r="N438" s="786"/>
      <c r="O438" s="786"/>
      <c r="P438" s="786"/>
      <c r="Q438" s="786"/>
      <c r="R438" s="786"/>
      <c r="S438" s="786"/>
      <c r="T438" s="786"/>
      <c r="U438" s="786"/>
      <c r="V438" s="786"/>
      <c r="W438" s="786"/>
      <c r="X438" s="786"/>
      <c r="Y438" s="786"/>
      <c r="Z438" s="786"/>
    </row>
    <row r="439" spans="10:26" s="2411" customFormat="1" ht="21.75" customHeight="1">
      <c r="J439" s="786"/>
      <c r="K439" s="786"/>
      <c r="L439" s="786"/>
      <c r="M439" s="786"/>
      <c r="N439" s="786"/>
      <c r="O439" s="786"/>
      <c r="P439" s="786"/>
      <c r="Q439" s="786"/>
      <c r="R439" s="786"/>
      <c r="S439" s="786"/>
      <c r="T439" s="786"/>
      <c r="U439" s="786"/>
      <c r="V439" s="786"/>
      <c r="W439" s="786"/>
      <c r="X439" s="786"/>
      <c r="Y439" s="786"/>
      <c r="Z439" s="786"/>
    </row>
    <row r="440" spans="10:26" s="2411" customFormat="1" ht="21.75" customHeight="1">
      <c r="J440" s="786"/>
      <c r="K440" s="786"/>
      <c r="L440" s="786"/>
      <c r="M440" s="786"/>
      <c r="N440" s="786"/>
      <c r="O440" s="786"/>
      <c r="P440" s="786"/>
      <c r="Q440" s="786"/>
      <c r="R440" s="786"/>
      <c r="S440" s="786"/>
      <c r="T440" s="786"/>
      <c r="U440" s="786"/>
      <c r="V440" s="786"/>
      <c r="W440" s="786"/>
      <c r="X440" s="786"/>
      <c r="Y440" s="786"/>
      <c r="Z440" s="786"/>
    </row>
    <row r="441" spans="10:26" s="2411" customFormat="1" ht="21.75" customHeight="1">
      <c r="J441" s="786"/>
      <c r="K441" s="786"/>
      <c r="L441" s="786"/>
      <c r="M441" s="786"/>
      <c r="N441" s="786"/>
      <c r="O441" s="786"/>
      <c r="P441" s="786"/>
      <c r="Q441" s="786"/>
      <c r="R441" s="786"/>
      <c r="S441" s="786"/>
      <c r="T441" s="786"/>
      <c r="U441" s="786"/>
      <c r="V441" s="786"/>
      <c r="W441" s="786"/>
      <c r="X441" s="786"/>
      <c r="Y441" s="786"/>
      <c r="Z441" s="786"/>
    </row>
    <row r="442" spans="10:26" s="2411" customFormat="1" ht="21.75" customHeight="1">
      <c r="J442" s="786"/>
      <c r="K442" s="786"/>
      <c r="L442" s="786"/>
      <c r="M442" s="786"/>
      <c r="N442" s="786"/>
      <c r="O442" s="786"/>
      <c r="P442" s="786"/>
      <c r="Q442" s="786"/>
      <c r="R442" s="786"/>
      <c r="S442" s="786"/>
      <c r="T442" s="786"/>
      <c r="U442" s="786"/>
      <c r="V442" s="786"/>
      <c r="W442" s="786"/>
      <c r="X442" s="786"/>
      <c r="Y442" s="786"/>
      <c r="Z442" s="786"/>
    </row>
    <row r="443" spans="10:26" s="2411" customFormat="1" ht="21.75" customHeight="1">
      <c r="J443" s="786"/>
      <c r="K443" s="786"/>
      <c r="L443" s="786"/>
      <c r="M443" s="786"/>
      <c r="N443" s="786"/>
      <c r="O443" s="786"/>
      <c r="P443" s="786"/>
      <c r="Q443" s="786"/>
      <c r="R443" s="786"/>
      <c r="S443" s="786"/>
      <c r="T443" s="786"/>
      <c r="U443" s="786"/>
      <c r="V443" s="786"/>
      <c r="W443" s="786"/>
      <c r="X443" s="786"/>
      <c r="Y443" s="786"/>
      <c r="Z443" s="786"/>
    </row>
    <row r="444" spans="10:26" s="2411" customFormat="1" ht="21.75" customHeight="1">
      <c r="J444" s="786"/>
      <c r="K444" s="786"/>
      <c r="L444" s="786"/>
      <c r="M444" s="786"/>
      <c r="N444" s="786"/>
      <c r="O444" s="786"/>
      <c r="P444" s="786"/>
      <c r="Q444" s="786"/>
      <c r="R444" s="786"/>
      <c r="S444" s="786"/>
      <c r="T444" s="786"/>
      <c r="U444" s="786"/>
      <c r="V444" s="786"/>
      <c r="W444" s="786"/>
      <c r="X444" s="786"/>
      <c r="Y444" s="786"/>
      <c r="Z444" s="786"/>
    </row>
    <row r="445" spans="10:26" s="2411" customFormat="1" ht="21.75" customHeight="1">
      <c r="J445" s="786"/>
      <c r="K445" s="786"/>
      <c r="L445" s="786"/>
      <c r="M445" s="786"/>
      <c r="N445" s="786"/>
      <c r="O445" s="786"/>
      <c r="P445" s="786"/>
      <c r="Q445" s="786"/>
      <c r="R445" s="786"/>
      <c r="S445" s="786"/>
      <c r="T445" s="786"/>
      <c r="U445" s="786"/>
      <c r="V445" s="786"/>
      <c r="W445" s="786"/>
      <c r="X445" s="786"/>
      <c r="Y445" s="786"/>
      <c r="Z445" s="786"/>
    </row>
    <row r="446" spans="10:26" s="2411" customFormat="1" ht="21.75" customHeight="1">
      <c r="J446" s="786"/>
      <c r="K446" s="786"/>
      <c r="L446" s="786"/>
      <c r="M446" s="786"/>
      <c r="N446" s="786"/>
      <c r="O446" s="786"/>
      <c r="P446" s="786"/>
      <c r="Q446" s="786"/>
      <c r="R446" s="786"/>
      <c r="S446" s="786"/>
      <c r="T446" s="786"/>
      <c r="U446" s="786"/>
      <c r="V446" s="786"/>
      <c r="W446" s="786"/>
      <c r="X446" s="786"/>
      <c r="Y446" s="786"/>
      <c r="Z446" s="786"/>
    </row>
    <row r="447" spans="10:26" s="2411" customFormat="1" ht="21.75" customHeight="1">
      <c r="J447" s="786"/>
      <c r="K447" s="786"/>
      <c r="L447" s="786"/>
      <c r="M447" s="786"/>
      <c r="N447" s="786"/>
      <c r="O447" s="786"/>
      <c r="P447" s="786"/>
      <c r="Q447" s="786"/>
      <c r="R447" s="786"/>
      <c r="S447" s="786"/>
      <c r="T447" s="786"/>
      <c r="U447" s="786"/>
      <c r="V447" s="786"/>
      <c r="W447" s="786"/>
      <c r="X447" s="786"/>
      <c r="Y447" s="786"/>
      <c r="Z447" s="786"/>
    </row>
    <row r="448" spans="10:26" s="2411" customFormat="1" ht="21.75" customHeight="1">
      <c r="J448" s="786"/>
      <c r="K448" s="786"/>
      <c r="L448" s="786"/>
      <c r="M448" s="786"/>
      <c r="N448" s="786"/>
      <c r="O448" s="786"/>
      <c r="P448" s="786"/>
      <c r="Q448" s="786"/>
      <c r="R448" s="786"/>
      <c r="S448" s="786"/>
      <c r="T448" s="786"/>
      <c r="U448" s="786"/>
      <c r="V448" s="786"/>
      <c r="W448" s="786"/>
      <c r="X448" s="786"/>
      <c r="Y448" s="786"/>
      <c r="Z448" s="786"/>
    </row>
    <row r="449" spans="10:26" s="2411" customFormat="1" ht="21.75" customHeight="1">
      <c r="J449" s="786"/>
      <c r="K449" s="786"/>
      <c r="L449" s="786"/>
      <c r="M449" s="786"/>
      <c r="N449" s="786"/>
      <c r="O449" s="786"/>
      <c r="P449" s="786"/>
      <c r="Q449" s="786"/>
      <c r="R449" s="786"/>
      <c r="S449" s="786"/>
      <c r="T449" s="786"/>
      <c r="U449" s="786"/>
      <c r="V449" s="786"/>
      <c r="W449" s="786"/>
      <c r="X449" s="786"/>
      <c r="Y449" s="786"/>
      <c r="Z449" s="786"/>
    </row>
    <row r="450" spans="10:26" s="2411" customFormat="1" ht="21.75" customHeight="1">
      <c r="J450" s="786"/>
      <c r="K450" s="786"/>
      <c r="L450" s="786"/>
      <c r="M450" s="786"/>
      <c r="N450" s="786"/>
      <c r="O450" s="786"/>
      <c r="P450" s="786"/>
      <c r="Q450" s="786"/>
      <c r="R450" s="786"/>
      <c r="S450" s="786"/>
      <c r="T450" s="786"/>
      <c r="U450" s="786"/>
      <c r="V450" s="786"/>
      <c r="W450" s="786"/>
      <c r="X450" s="786"/>
      <c r="Y450" s="786"/>
      <c r="Z450" s="786"/>
    </row>
    <row r="451" spans="10:26" s="2411" customFormat="1" ht="21.75" customHeight="1">
      <c r="J451" s="786"/>
      <c r="K451" s="786"/>
      <c r="L451" s="786"/>
      <c r="M451" s="786"/>
      <c r="N451" s="786"/>
      <c r="O451" s="786"/>
      <c r="P451" s="786"/>
      <c r="Q451" s="786"/>
      <c r="R451" s="786"/>
      <c r="S451" s="786"/>
      <c r="T451" s="786"/>
      <c r="U451" s="786"/>
      <c r="V451" s="786"/>
      <c r="W451" s="786"/>
      <c r="X451" s="786"/>
      <c r="Y451" s="786"/>
      <c r="Z451" s="786"/>
    </row>
    <row r="452" spans="10:26" s="2411" customFormat="1" ht="21.75" customHeight="1">
      <c r="J452" s="786"/>
      <c r="K452" s="786"/>
      <c r="L452" s="786"/>
      <c r="M452" s="786"/>
      <c r="N452" s="786"/>
      <c r="O452" s="786"/>
      <c r="P452" s="786"/>
      <c r="Q452" s="786"/>
      <c r="R452" s="786"/>
      <c r="S452" s="786"/>
      <c r="T452" s="786"/>
      <c r="U452" s="786"/>
      <c r="V452" s="786"/>
      <c r="W452" s="786"/>
      <c r="X452" s="786"/>
      <c r="Y452" s="786"/>
      <c r="Z452" s="786"/>
    </row>
    <row r="453" spans="10:26" s="2411" customFormat="1" ht="21.75" customHeight="1">
      <c r="J453" s="786"/>
      <c r="K453" s="786"/>
      <c r="L453" s="786"/>
      <c r="M453" s="786"/>
      <c r="N453" s="786"/>
      <c r="O453" s="786"/>
      <c r="P453" s="786"/>
      <c r="Q453" s="786"/>
      <c r="R453" s="786"/>
      <c r="S453" s="786"/>
      <c r="T453" s="786"/>
      <c r="U453" s="786"/>
      <c r="V453" s="786"/>
      <c r="W453" s="786"/>
      <c r="X453" s="786"/>
      <c r="Y453" s="786"/>
      <c r="Z453" s="786"/>
    </row>
    <row r="454" spans="10:26" s="2411" customFormat="1" ht="21.75" customHeight="1">
      <c r="J454" s="786"/>
      <c r="K454" s="786"/>
      <c r="L454" s="786"/>
      <c r="M454" s="786"/>
      <c r="N454" s="786"/>
      <c r="O454" s="786"/>
      <c r="P454" s="786"/>
      <c r="Q454" s="786"/>
      <c r="R454" s="786"/>
      <c r="S454" s="786"/>
      <c r="T454" s="786"/>
      <c r="U454" s="786"/>
      <c r="V454" s="786"/>
      <c r="W454" s="786"/>
      <c r="X454" s="786"/>
      <c r="Y454" s="786"/>
      <c r="Z454" s="786"/>
    </row>
    <row r="455" spans="10:26" s="2411" customFormat="1" ht="21.75" customHeight="1">
      <c r="J455" s="786"/>
      <c r="K455" s="786"/>
      <c r="L455" s="786"/>
      <c r="M455" s="786"/>
      <c r="N455" s="786"/>
      <c r="O455" s="786"/>
      <c r="P455" s="786"/>
      <c r="Q455" s="786"/>
      <c r="R455" s="786"/>
      <c r="S455" s="786"/>
      <c r="T455" s="786"/>
      <c r="U455" s="786"/>
      <c r="V455" s="786"/>
      <c r="W455" s="786"/>
      <c r="X455" s="786"/>
      <c r="Y455" s="786"/>
      <c r="Z455" s="786"/>
    </row>
    <row r="456" spans="10:26" s="2411" customFormat="1" ht="21.75" customHeight="1">
      <c r="J456" s="786"/>
      <c r="K456" s="786"/>
      <c r="L456" s="786"/>
      <c r="M456" s="786"/>
      <c r="N456" s="786"/>
      <c r="O456" s="786"/>
      <c r="P456" s="786"/>
      <c r="Q456" s="786"/>
      <c r="R456" s="786"/>
      <c r="S456" s="786"/>
      <c r="T456" s="786"/>
      <c r="U456" s="786"/>
      <c r="V456" s="786"/>
      <c r="W456" s="786"/>
      <c r="X456" s="786"/>
      <c r="Y456" s="786"/>
      <c r="Z456" s="786"/>
    </row>
    <row r="457" spans="10:26" s="2411" customFormat="1" ht="21.75" customHeight="1">
      <c r="J457" s="786"/>
      <c r="K457" s="786"/>
      <c r="L457" s="786"/>
      <c r="M457" s="786"/>
      <c r="N457" s="786"/>
      <c r="O457" s="786"/>
      <c r="P457" s="786"/>
      <c r="Q457" s="786"/>
      <c r="R457" s="786"/>
      <c r="S457" s="786"/>
      <c r="T457" s="786"/>
      <c r="U457" s="786"/>
      <c r="V457" s="786"/>
      <c r="W457" s="786"/>
      <c r="X457" s="786"/>
      <c r="Y457" s="786"/>
      <c r="Z457" s="786"/>
    </row>
    <row r="458" spans="10:26" s="2411" customFormat="1" ht="21.75" customHeight="1">
      <c r="J458" s="786"/>
      <c r="K458" s="786"/>
      <c r="L458" s="786"/>
      <c r="M458" s="786"/>
      <c r="N458" s="786"/>
      <c r="O458" s="786"/>
      <c r="P458" s="786"/>
      <c r="Q458" s="786"/>
      <c r="R458" s="786"/>
      <c r="S458" s="786"/>
      <c r="T458" s="786"/>
      <c r="U458" s="786"/>
      <c r="V458" s="786"/>
      <c r="W458" s="786"/>
      <c r="X458" s="786"/>
      <c r="Y458" s="786"/>
      <c r="Z458" s="786"/>
    </row>
    <row r="459" spans="10:26" s="2411" customFormat="1" ht="21.75" customHeight="1">
      <c r="J459" s="786"/>
      <c r="K459" s="786"/>
      <c r="L459" s="786"/>
      <c r="M459" s="786"/>
      <c r="N459" s="786"/>
      <c r="O459" s="786"/>
      <c r="P459" s="786"/>
      <c r="Q459" s="786"/>
      <c r="R459" s="786"/>
      <c r="S459" s="786"/>
      <c r="T459" s="786"/>
      <c r="U459" s="786"/>
      <c r="V459" s="786"/>
      <c r="W459" s="786"/>
      <c r="X459" s="786"/>
      <c r="Y459" s="786"/>
      <c r="Z459" s="786"/>
    </row>
    <row r="460" spans="10:26" s="2411" customFormat="1" ht="21.75" customHeight="1">
      <c r="J460" s="786"/>
      <c r="K460" s="786"/>
      <c r="L460" s="786"/>
      <c r="M460" s="786"/>
      <c r="N460" s="786"/>
      <c r="O460" s="786"/>
      <c r="P460" s="786"/>
      <c r="Q460" s="786"/>
      <c r="R460" s="786"/>
      <c r="S460" s="786"/>
      <c r="T460" s="786"/>
      <c r="U460" s="786"/>
      <c r="V460" s="786"/>
      <c r="W460" s="786"/>
      <c r="X460" s="786"/>
      <c r="Y460" s="786"/>
      <c r="Z460" s="786"/>
    </row>
    <row r="461" spans="10:26" s="2411" customFormat="1" ht="21.75" customHeight="1">
      <c r="J461" s="786"/>
      <c r="K461" s="786"/>
      <c r="L461" s="786"/>
      <c r="M461" s="786"/>
      <c r="N461" s="786"/>
      <c r="O461" s="786"/>
      <c r="P461" s="786"/>
      <c r="Q461" s="786"/>
      <c r="R461" s="786"/>
      <c r="S461" s="786"/>
      <c r="T461" s="786"/>
      <c r="U461" s="786"/>
      <c r="V461" s="786"/>
      <c r="W461" s="786"/>
      <c r="X461" s="786"/>
      <c r="Y461" s="786"/>
      <c r="Z461" s="786"/>
    </row>
    <row r="462" spans="10:26" s="2411" customFormat="1" ht="21.75" customHeight="1">
      <c r="J462" s="786"/>
      <c r="K462" s="786"/>
      <c r="L462" s="786"/>
      <c r="M462" s="786"/>
      <c r="N462" s="786"/>
      <c r="O462" s="786"/>
      <c r="P462" s="786"/>
      <c r="Q462" s="786"/>
      <c r="R462" s="786"/>
      <c r="S462" s="786"/>
      <c r="T462" s="786"/>
      <c r="U462" s="786"/>
      <c r="V462" s="786"/>
      <c r="W462" s="786"/>
      <c r="X462" s="786"/>
      <c r="Y462" s="786"/>
      <c r="Z462" s="786"/>
    </row>
    <row r="463" spans="10:26" s="2411" customFormat="1" ht="21.75" customHeight="1">
      <c r="J463" s="786"/>
      <c r="K463" s="786"/>
      <c r="L463" s="786"/>
      <c r="M463" s="786"/>
      <c r="N463" s="786"/>
      <c r="O463" s="786"/>
      <c r="P463" s="786"/>
      <c r="Q463" s="786"/>
      <c r="R463" s="786"/>
      <c r="S463" s="786"/>
      <c r="T463" s="786"/>
      <c r="U463" s="786"/>
      <c r="V463" s="786"/>
      <c r="W463" s="786"/>
      <c r="X463" s="786"/>
      <c r="Y463" s="786"/>
      <c r="Z463" s="786"/>
    </row>
    <row r="464" spans="10:26" s="2411" customFormat="1" ht="21.75" customHeight="1">
      <c r="J464" s="786"/>
      <c r="K464" s="786"/>
      <c r="L464" s="786"/>
      <c r="M464" s="786"/>
      <c r="N464" s="786"/>
      <c r="O464" s="786"/>
      <c r="P464" s="786"/>
      <c r="Q464" s="786"/>
      <c r="R464" s="786"/>
      <c r="S464" s="786"/>
      <c r="T464" s="786"/>
      <c r="U464" s="786"/>
      <c r="V464" s="786"/>
      <c r="W464" s="786"/>
      <c r="X464" s="786"/>
      <c r="Y464" s="786"/>
      <c r="Z464" s="786"/>
    </row>
    <row r="465" spans="10:26" s="2411" customFormat="1" ht="21.75" customHeight="1">
      <c r="J465" s="786"/>
      <c r="K465" s="786"/>
      <c r="L465" s="786"/>
      <c r="M465" s="786"/>
      <c r="N465" s="786"/>
      <c r="O465" s="786"/>
      <c r="P465" s="786"/>
      <c r="Q465" s="786"/>
      <c r="R465" s="786"/>
      <c r="S465" s="786"/>
      <c r="T465" s="786"/>
      <c r="U465" s="786"/>
      <c r="V465" s="786"/>
      <c r="W465" s="786"/>
      <c r="X465" s="786"/>
      <c r="Y465" s="786"/>
      <c r="Z465" s="786"/>
    </row>
    <row r="466" spans="10:26" s="2411" customFormat="1" ht="21.75" customHeight="1">
      <c r="J466" s="786"/>
      <c r="K466" s="786"/>
      <c r="L466" s="786"/>
      <c r="M466" s="786"/>
      <c r="N466" s="786"/>
      <c r="O466" s="786"/>
      <c r="P466" s="786"/>
      <c r="Q466" s="786"/>
      <c r="R466" s="786"/>
      <c r="S466" s="786"/>
      <c r="T466" s="786"/>
      <c r="U466" s="786"/>
      <c r="V466" s="786"/>
      <c r="W466" s="786"/>
      <c r="X466" s="786"/>
      <c r="Y466" s="786"/>
      <c r="Z466" s="786"/>
    </row>
    <row r="467" spans="10:26" s="2411" customFormat="1" ht="21.75" customHeight="1">
      <c r="J467" s="786"/>
      <c r="K467" s="786"/>
      <c r="L467" s="786"/>
      <c r="M467" s="786"/>
      <c r="N467" s="786"/>
      <c r="O467" s="786"/>
      <c r="P467" s="786"/>
      <c r="Q467" s="786"/>
      <c r="R467" s="786"/>
      <c r="S467" s="786"/>
      <c r="T467" s="786"/>
      <c r="U467" s="786"/>
      <c r="V467" s="786"/>
      <c r="W467" s="786"/>
      <c r="X467" s="786"/>
      <c r="Y467" s="786"/>
      <c r="Z467" s="786"/>
    </row>
    <row r="468" spans="10:26" s="2411" customFormat="1" ht="21.75" customHeight="1">
      <c r="J468" s="786"/>
      <c r="K468" s="786"/>
      <c r="L468" s="786"/>
      <c r="M468" s="786"/>
      <c r="N468" s="786"/>
      <c r="O468" s="786"/>
      <c r="P468" s="786"/>
      <c r="Q468" s="786"/>
      <c r="R468" s="786"/>
      <c r="S468" s="786"/>
      <c r="T468" s="786"/>
      <c r="U468" s="786"/>
      <c r="V468" s="786"/>
      <c r="W468" s="786"/>
      <c r="X468" s="786"/>
      <c r="Y468" s="786"/>
      <c r="Z468" s="786"/>
    </row>
    <row r="469" spans="10:26" s="2411" customFormat="1" ht="21.75" customHeight="1">
      <c r="J469" s="786"/>
      <c r="K469" s="786"/>
      <c r="L469" s="786"/>
      <c r="M469" s="786"/>
      <c r="N469" s="786"/>
      <c r="O469" s="786"/>
      <c r="P469" s="786"/>
      <c r="Q469" s="786"/>
      <c r="R469" s="786"/>
      <c r="S469" s="786"/>
      <c r="T469" s="786"/>
      <c r="U469" s="786"/>
      <c r="V469" s="786"/>
      <c r="W469" s="786"/>
      <c r="X469" s="786"/>
      <c r="Y469" s="786"/>
      <c r="Z469" s="786"/>
    </row>
    <row r="470" spans="10:26" s="2411" customFormat="1" ht="21.75" customHeight="1">
      <c r="J470" s="786"/>
      <c r="K470" s="786"/>
      <c r="L470" s="786"/>
      <c r="M470" s="786"/>
      <c r="N470" s="786"/>
      <c r="O470" s="786"/>
      <c r="P470" s="786"/>
      <c r="Q470" s="786"/>
      <c r="R470" s="786"/>
      <c r="S470" s="786"/>
      <c r="T470" s="786"/>
      <c r="U470" s="786"/>
      <c r="V470" s="786"/>
      <c r="W470" s="786"/>
      <c r="X470" s="786"/>
      <c r="Y470" s="786"/>
      <c r="Z470" s="786"/>
    </row>
    <row r="471" spans="10:26" s="2411" customFormat="1" ht="21.75" customHeight="1">
      <c r="J471" s="786"/>
      <c r="K471" s="786"/>
      <c r="L471" s="786"/>
      <c r="M471" s="786"/>
      <c r="N471" s="786"/>
      <c r="O471" s="786"/>
      <c r="P471" s="786"/>
      <c r="Q471" s="786"/>
      <c r="R471" s="786"/>
      <c r="S471" s="786"/>
      <c r="T471" s="786"/>
      <c r="U471" s="786"/>
      <c r="V471" s="786"/>
      <c r="W471" s="786"/>
      <c r="X471" s="786"/>
      <c r="Y471" s="786"/>
      <c r="Z471" s="786"/>
    </row>
    <row r="472" spans="10:26" s="2411" customFormat="1" ht="21.75" customHeight="1">
      <c r="J472" s="786"/>
      <c r="K472" s="786"/>
      <c r="L472" s="786"/>
      <c r="M472" s="786"/>
      <c r="N472" s="786"/>
      <c r="O472" s="786"/>
      <c r="P472" s="786"/>
      <c r="Q472" s="786"/>
      <c r="R472" s="786"/>
      <c r="S472" s="786"/>
      <c r="T472" s="786"/>
      <c r="U472" s="786"/>
      <c r="V472" s="786"/>
      <c r="W472" s="786"/>
      <c r="X472" s="786"/>
      <c r="Y472" s="786"/>
      <c r="Z472" s="786"/>
    </row>
    <row r="473" spans="10:26" s="2411" customFormat="1" ht="21.75" customHeight="1">
      <c r="J473" s="786"/>
      <c r="K473" s="786"/>
      <c r="L473" s="786"/>
      <c r="M473" s="786"/>
      <c r="N473" s="786"/>
      <c r="O473" s="786"/>
      <c r="P473" s="786"/>
      <c r="Q473" s="786"/>
      <c r="R473" s="786"/>
      <c r="S473" s="786"/>
      <c r="T473" s="786"/>
      <c r="U473" s="786"/>
      <c r="V473" s="786"/>
      <c r="W473" s="786"/>
      <c r="X473" s="786"/>
      <c r="Y473" s="786"/>
      <c r="Z473" s="786"/>
    </row>
    <row r="474" spans="10:26" s="2411" customFormat="1" ht="21.75" customHeight="1">
      <c r="J474" s="786"/>
      <c r="K474" s="786"/>
      <c r="L474" s="786"/>
      <c r="M474" s="786"/>
      <c r="N474" s="786"/>
      <c r="O474" s="786"/>
      <c r="P474" s="786"/>
      <c r="Q474" s="786"/>
      <c r="R474" s="786"/>
      <c r="S474" s="786"/>
      <c r="T474" s="786"/>
      <c r="U474" s="786"/>
      <c r="V474" s="786"/>
      <c r="W474" s="786"/>
      <c r="X474" s="786"/>
      <c r="Y474" s="786"/>
      <c r="Z474" s="786"/>
    </row>
    <row r="475" spans="10:26" s="2411" customFormat="1" ht="21.75" customHeight="1">
      <c r="J475" s="786"/>
      <c r="K475" s="786"/>
      <c r="L475" s="786"/>
      <c r="M475" s="786"/>
      <c r="N475" s="786"/>
      <c r="O475" s="786"/>
      <c r="P475" s="786"/>
      <c r="Q475" s="786"/>
      <c r="R475" s="786"/>
      <c r="S475" s="786"/>
      <c r="T475" s="786"/>
      <c r="U475" s="786"/>
      <c r="V475" s="786"/>
      <c r="W475" s="786"/>
      <c r="X475" s="786"/>
      <c r="Y475" s="786"/>
      <c r="Z475" s="786"/>
    </row>
    <row r="476" spans="10:26" s="2411" customFormat="1" ht="21.75" customHeight="1">
      <c r="J476" s="786"/>
      <c r="K476" s="786"/>
      <c r="L476" s="786"/>
      <c r="M476" s="786"/>
      <c r="N476" s="786"/>
      <c r="O476" s="786"/>
      <c r="P476" s="786"/>
      <c r="Q476" s="786"/>
      <c r="R476" s="786"/>
      <c r="S476" s="786"/>
      <c r="T476" s="786"/>
      <c r="U476" s="786"/>
      <c r="V476" s="786"/>
      <c r="W476" s="786"/>
      <c r="X476" s="786"/>
      <c r="Y476" s="786"/>
      <c r="Z476" s="786"/>
    </row>
    <row r="477" spans="10:26" s="2411" customFormat="1" ht="21.75" customHeight="1">
      <c r="J477" s="786"/>
      <c r="K477" s="786"/>
      <c r="L477" s="786"/>
      <c r="M477" s="786"/>
      <c r="N477" s="786"/>
      <c r="O477" s="786"/>
      <c r="P477" s="786"/>
      <c r="Q477" s="786"/>
      <c r="R477" s="786"/>
      <c r="S477" s="786"/>
      <c r="T477" s="786"/>
      <c r="U477" s="786"/>
      <c r="V477" s="786"/>
      <c r="W477" s="786"/>
      <c r="X477" s="786"/>
      <c r="Y477" s="786"/>
      <c r="Z477" s="786"/>
    </row>
    <row r="478" spans="10:26" s="2411" customFormat="1" ht="21.75" customHeight="1">
      <c r="J478" s="786"/>
      <c r="K478" s="786"/>
      <c r="L478" s="786"/>
      <c r="M478" s="786"/>
      <c r="N478" s="786"/>
      <c r="O478" s="786"/>
      <c r="P478" s="786"/>
      <c r="Q478" s="786"/>
      <c r="R478" s="786"/>
      <c r="S478" s="786"/>
      <c r="T478" s="786"/>
      <c r="U478" s="786"/>
      <c r="V478" s="786"/>
      <c r="W478" s="786"/>
      <c r="X478" s="786"/>
      <c r="Y478" s="786"/>
      <c r="Z478" s="786"/>
    </row>
    <row r="479" spans="10:26" s="2411" customFormat="1" ht="21.75" customHeight="1">
      <c r="J479" s="786"/>
      <c r="K479" s="786"/>
      <c r="L479" s="786"/>
      <c r="M479" s="786"/>
      <c r="N479" s="786"/>
      <c r="O479" s="786"/>
      <c r="P479" s="786"/>
      <c r="Q479" s="786"/>
      <c r="R479" s="786"/>
      <c r="S479" s="786"/>
      <c r="T479" s="786"/>
      <c r="U479" s="786"/>
      <c r="V479" s="786"/>
      <c r="W479" s="786"/>
      <c r="X479" s="786"/>
      <c r="Y479" s="786"/>
      <c r="Z479" s="786"/>
    </row>
    <row r="480" spans="10:26" s="2411" customFormat="1" ht="21.75" customHeight="1">
      <c r="J480" s="786"/>
      <c r="K480" s="786"/>
      <c r="L480" s="786"/>
      <c r="M480" s="786"/>
      <c r="N480" s="786"/>
      <c r="O480" s="786"/>
      <c r="P480" s="786"/>
      <c r="Q480" s="786"/>
      <c r="R480" s="786"/>
      <c r="S480" s="786"/>
      <c r="T480" s="786"/>
      <c r="U480" s="786"/>
      <c r="V480" s="786"/>
      <c r="W480" s="786"/>
      <c r="X480" s="786"/>
      <c r="Y480" s="786"/>
      <c r="Z480" s="786"/>
    </row>
    <row r="481" spans="10:26" s="2411" customFormat="1" ht="21.75" customHeight="1">
      <c r="J481" s="786"/>
      <c r="K481" s="786"/>
      <c r="L481" s="786"/>
      <c r="M481" s="786"/>
      <c r="N481" s="786"/>
      <c r="O481" s="786"/>
      <c r="P481" s="786"/>
      <c r="Q481" s="786"/>
      <c r="R481" s="786"/>
      <c r="S481" s="786"/>
      <c r="T481" s="786"/>
      <c r="U481" s="786"/>
      <c r="V481" s="786"/>
      <c r="W481" s="786"/>
      <c r="X481" s="786"/>
      <c r="Y481" s="786"/>
      <c r="Z481" s="786"/>
    </row>
    <row r="482" spans="10:26" s="2411" customFormat="1" ht="21.75" customHeight="1">
      <c r="J482" s="786"/>
      <c r="K482" s="786"/>
      <c r="L482" s="786"/>
      <c r="M482" s="786"/>
      <c r="N482" s="786"/>
      <c r="O482" s="786"/>
      <c r="P482" s="786"/>
      <c r="Q482" s="786"/>
      <c r="R482" s="786"/>
      <c r="S482" s="786"/>
      <c r="T482" s="786"/>
      <c r="U482" s="786"/>
      <c r="V482" s="786"/>
      <c r="W482" s="786"/>
      <c r="X482" s="786"/>
      <c r="Y482" s="786"/>
      <c r="Z482" s="786"/>
    </row>
    <row r="483" spans="10:26" s="2411" customFormat="1" ht="21.75" customHeight="1">
      <c r="J483" s="786"/>
      <c r="K483" s="786"/>
      <c r="L483" s="786"/>
      <c r="M483" s="786"/>
      <c r="N483" s="786"/>
      <c r="O483" s="786"/>
      <c r="P483" s="786"/>
      <c r="Q483" s="786"/>
      <c r="R483" s="786"/>
      <c r="S483" s="786"/>
      <c r="T483" s="786"/>
      <c r="U483" s="786"/>
      <c r="V483" s="786"/>
      <c r="W483" s="786"/>
      <c r="X483" s="786"/>
      <c r="Y483" s="786"/>
      <c r="Z483" s="786"/>
    </row>
    <row r="484" spans="10:26" s="2411" customFormat="1" ht="21.75" customHeight="1">
      <c r="J484" s="786"/>
      <c r="K484" s="786"/>
      <c r="L484" s="786"/>
      <c r="M484" s="786"/>
      <c r="N484" s="786"/>
      <c r="O484" s="786"/>
      <c r="P484" s="786"/>
      <c r="Q484" s="786"/>
      <c r="R484" s="786"/>
      <c r="S484" s="786"/>
      <c r="T484" s="786"/>
      <c r="U484" s="786"/>
      <c r="V484" s="786"/>
      <c r="W484" s="786"/>
      <c r="X484" s="786"/>
      <c r="Y484" s="786"/>
      <c r="Z484" s="786"/>
    </row>
    <row r="485" spans="10:26" s="2411" customFormat="1" ht="21.75" customHeight="1">
      <c r="J485" s="786"/>
      <c r="K485" s="786"/>
      <c r="L485" s="786"/>
      <c r="M485" s="786"/>
      <c r="N485" s="786"/>
      <c r="O485" s="786"/>
      <c r="P485" s="786"/>
      <c r="Q485" s="786"/>
      <c r="R485" s="786"/>
      <c r="S485" s="786"/>
      <c r="T485" s="786"/>
      <c r="U485" s="786"/>
      <c r="V485" s="786"/>
      <c r="W485" s="786"/>
      <c r="X485" s="786"/>
      <c r="Y485" s="786"/>
      <c r="Z485" s="786"/>
    </row>
    <row r="486" spans="10:26" s="2411" customFormat="1" ht="21.75" customHeight="1">
      <c r="J486" s="786"/>
      <c r="K486" s="786"/>
      <c r="L486" s="786"/>
      <c r="M486" s="786"/>
      <c r="N486" s="786"/>
      <c r="O486" s="786"/>
      <c r="P486" s="786"/>
      <c r="Q486" s="786"/>
      <c r="R486" s="786"/>
      <c r="S486" s="786"/>
      <c r="T486" s="786"/>
      <c r="U486" s="786"/>
      <c r="V486" s="786"/>
      <c r="W486" s="786"/>
      <c r="X486" s="786"/>
      <c r="Y486" s="786"/>
      <c r="Z486" s="786"/>
    </row>
    <row r="487" spans="10:26" s="2411" customFormat="1" ht="21.75" customHeight="1">
      <c r="J487" s="786"/>
      <c r="K487" s="786"/>
      <c r="L487" s="786"/>
      <c r="M487" s="786"/>
      <c r="N487" s="786"/>
      <c r="O487" s="786"/>
      <c r="P487" s="786"/>
      <c r="Q487" s="786"/>
      <c r="R487" s="786"/>
      <c r="S487" s="786"/>
      <c r="T487" s="786"/>
      <c r="U487" s="786"/>
      <c r="V487" s="786"/>
      <c r="W487" s="786"/>
      <c r="X487" s="786"/>
      <c r="Y487" s="786"/>
      <c r="Z487" s="786"/>
    </row>
    <row r="488" spans="10:26" s="2411" customFormat="1" ht="21.75" customHeight="1">
      <c r="J488" s="786"/>
      <c r="K488" s="786"/>
      <c r="L488" s="786"/>
      <c r="M488" s="786"/>
      <c r="N488" s="786"/>
      <c r="O488" s="786"/>
      <c r="P488" s="786"/>
      <c r="Q488" s="786"/>
      <c r="R488" s="786"/>
      <c r="S488" s="786"/>
      <c r="T488" s="786"/>
      <c r="U488" s="786"/>
      <c r="V488" s="786"/>
      <c r="W488" s="786"/>
      <c r="X488" s="786"/>
      <c r="Y488" s="786"/>
      <c r="Z488" s="786"/>
    </row>
    <row r="489" spans="10:26" s="2411" customFormat="1" ht="21.75" customHeight="1">
      <c r="J489" s="786"/>
      <c r="K489" s="786"/>
      <c r="L489" s="786"/>
      <c r="M489" s="786"/>
      <c r="N489" s="786"/>
      <c r="O489" s="786"/>
      <c r="P489" s="786"/>
      <c r="Q489" s="786"/>
      <c r="R489" s="786"/>
      <c r="S489" s="786"/>
      <c r="T489" s="786"/>
      <c r="U489" s="786"/>
      <c r="V489" s="786"/>
      <c r="W489" s="786"/>
      <c r="X489" s="786"/>
      <c r="Y489" s="786"/>
      <c r="Z489" s="786"/>
    </row>
    <row r="490" spans="10:26" s="2411" customFormat="1" ht="21.75" customHeight="1">
      <c r="J490" s="786"/>
      <c r="K490" s="786"/>
      <c r="L490" s="786"/>
      <c r="M490" s="786"/>
      <c r="N490" s="786"/>
      <c r="O490" s="786"/>
      <c r="P490" s="786"/>
      <c r="Q490" s="786"/>
      <c r="R490" s="786"/>
      <c r="S490" s="786"/>
      <c r="T490" s="786"/>
      <c r="U490" s="786"/>
      <c r="V490" s="786"/>
      <c r="W490" s="786"/>
      <c r="X490" s="786"/>
      <c r="Y490" s="786"/>
      <c r="Z490" s="786"/>
    </row>
    <row r="491" spans="10:26" s="2411" customFormat="1" ht="21.75" customHeight="1">
      <c r="J491" s="786"/>
      <c r="K491" s="786"/>
      <c r="L491" s="786"/>
      <c r="M491" s="786"/>
      <c r="N491" s="786"/>
      <c r="O491" s="786"/>
      <c r="P491" s="786"/>
      <c r="Q491" s="786"/>
      <c r="R491" s="786"/>
      <c r="S491" s="786"/>
      <c r="T491" s="786"/>
      <c r="U491" s="786"/>
      <c r="V491" s="786"/>
      <c r="W491" s="786"/>
      <c r="X491" s="786"/>
      <c r="Y491" s="786"/>
      <c r="Z491" s="786"/>
    </row>
    <row r="492" spans="10:26" s="2411" customFormat="1" ht="21.75" customHeight="1">
      <c r="J492" s="786"/>
      <c r="K492" s="786"/>
      <c r="L492" s="786"/>
      <c r="M492" s="786"/>
      <c r="N492" s="786"/>
      <c r="O492" s="786"/>
      <c r="P492" s="786"/>
      <c r="Q492" s="786"/>
      <c r="R492" s="786"/>
      <c r="S492" s="786"/>
      <c r="T492" s="786"/>
      <c r="U492" s="786"/>
      <c r="V492" s="786"/>
      <c r="W492" s="786"/>
      <c r="X492" s="786"/>
      <c r="Y492" s="786"/>
      <c r="Z492" s="786"/>
    </row>
    <row r="493" spans="10:26" s="2411" customFormat="1" ht="21.75" customHeight="1">
      <c r="J493" s="786"/>
      <c r="K493" s="786"/>
      <c r="L493" s="786"/>
      <c r="M493" s="786"/>
      <c r="N493" s="786"/>
      <c r="O493" s="786"/>
      <c r="P493" s="786"/>
      <c r="Q493" s="786"/>
      <c r="R493" s="786"/>
      <c r="S493" s="786"/>
      <c r="T493" s="786"/>
      <c r="U493" s="786"/>
      <c r="V493" s="786"/>
      <c r="W493" s="786"/>
      <c r="X493" s="786"/>
      <c r="Y493" s="786"/>
      <c r="Z493" s="786"/>
    </row>
    <row r="494" spans="10:26" s="2411" customFormat="1" ht="21.75" customHeight="1">
      <c r="J494" s="786"/>
      <c r="K494" s="786"/>
      <c r="L494" s="786"/>
      <c r="M494" s="786"/>
      <c r="N494" s="786"/>
      <c r="O494" s="786"/>
      <c r="P494" s="786"/>
      <c r="Q494" s="786"/>
      <c r="R494" s="786"/>
      <c r="S494" s="786"/>
      <c r="T494" s="786"/>
      <c r="U494" s="786"/>
      <c r="V494" s="786"/>
      <c r="W494" s="786"/>
      <c r="X494" s="786"/>
      <c r="Y494" s="786"/>
      <c r="Z494" s="786"/>
    </row>
    <row r="495" spans="10:26" s="2411" customFormat="1" ht="21.75" customHeight="1">
      <c r="J495" s="786"/>
      <c r="K495" s="786"/>
      <c r="L495" s="786"/>
      <c r="M495" s="786"/>
      <c r="N495" s="786"/>
      <c r="O495" s="786"/>
      <c r="P495" s="786"/>
      <c r="Q495" s="786"/>
      <c r="R495" s="786"/>
      <c r="S495" s="786"/>
      <c r="T495" s="786"/>
      <c r="U495" s="786"/>
      <c r="V495" s="786"/>
      <c r="W495" s="786"/>
      <c r="X495" s="786"/>
      <c r="Y495" s="786"/>
      <c r="Z495" s="786"/>
    </row>
    <row r="496" spans="10:26" s="2411" customFormat="1" ht="21.75" customHeight="1">
      <c r="J496" s="786"/>
      <c r="K496" s="786"/>
      <c r="L496" s="786"/>
      <c r="M496" s="786"/>
      <c r="N496" s="786"/>
      <c r="O496" s="786"/>
      <c r="P496" s="786"/>
      <c r="Q496" s="786"/>
      <c r="R496" s="786"/>
      <c r="S496" s="786"/>
      <c r="T496" s="786"/>
      <c r="U496" s="786"/>
      <c r="V496" s="786"/>
      <c r="W496" s="786"/>
      <c r="X496" s="786"/>
      <c r="Y496" s="786"/>
      <c r="Z496" s="786"/>
    </row>
    <row r="497" spans="10:26" s="2411" customFormat="1" ht="21.75" customHeight="1">
      <c r="J497" s="786"/>
      <c r="K497" s="786"/>
      <c r="L497" s="786"/>
      <c r="M497" s="786"/>
      <c r="N497" s="786"/>
      <c r="O497" s="786"/>
      <c r="P497" s="786"/>
      <c r="Q497" s="786"/>
      <c r="R497" s="786"/>
      <c r="S497" s="786"/>
      <c r="T497" s="786"/>
      <c r="U497" s="786"/>
      <c r="V497" s="786"/>
      <c r="W497" s="786"/>
      <c r="X497" s="786"/>
      <c r="Y497" s="786"/>
      <c r="Z497" s="786"/>
    </row>
    <row r="498" spans="10:26" s="2411" customFormat="1" ht="21.75" customHeight="1">
      <c r="J498" s="786"/>
      <c r="K498" s="786"/>
      <c r="L498" s="786"/>
      <c r="M498" s="786"/>
      <c r="N498" s="786"/>
      <c r="O498" s="786"/>
      <c r="P498" s="786"/>
      <c r="Q498" s="786"/>
      <c r="R498" s="786"/>
      <c r="S498" s="786"/>
      <c r="T498" s="786"/>
      <c r="U498" s="786"/>
      <c r="V498" s="786"/>
      <c r="W498" s="786"/>
      <c r="X498" s="786"/>
      <c r="Y498" s="786"/>
      <c r="Z498" s="786"/>
    </row>
    <row r="499" spans="10:26" s="2411" customFormat="1" ht="21.75" customHeight="1">
      <c r="J499" s="786"/>
      <c r="K499" s="786"/>
      <c r="L499" s="786"/>
      <c r="M499" s="786"/>
      <c r="N499" s="786"/>
      <c r="O499" s="786"/>
      <c r="P499" s="786"/>
      <c r="Q499" s="786"/>
      <c r="R499" s="786"/>
      <c r="S499" s="786"/>
      <c r="T499" s="786"/>
      <c r="U499" s="786"/>
      <c r="V499" s="786"/>
      <c r="W499" s="786"/>
      <c r="X499" s="786"/>
      <c r="Y499" s="786"/>
      <c r="Z499" s="786"/>
    </row>
    <row r="500" spans="10:26" s="2411" customFormat="1" ht="21.75" customHeight="1">
      <c r="J500" s="786"/>
      <c r="K500" s="786"/>
      <c r="L500" s="786"/>
      <c r="M500" s="786"/>
      <c r="N500" s="786"/>
      <c r="O500" s="786"/>
      <c r="P500" s="786"/>
      <c r="Q500" s="786"/>
      <c r="R500" s="786"/>
      <c r="S500" s="786"/>
      <c r="T500" s="786"/>
      <c r="U500" s="786"/>
      <c r="V500" s="786"/>
      <c r="W500" s="786"/>
      <c r="X500" s="786"/>
      <c r="Y500" s="786"/>
      <c r="Z500" s="786"/>
    </row>
    <row r="501" spans="10:26" s="2411" customFormat="1" ht="21.75" customHeight="1">
      <c r="J501" s="786"/>
      <c r="K501" s="786"/>
      <c r="L501" s="786"/>
      <c r="M501" s="786"/>
      <c r="N501" s="786"/>
      <c r="O501" s="786"/>
      <c r="P501" s="786"/>
      <c r="Q501" s="786"/>
      <c r="R501" s="786"/>
      <c r="S501" s="786"/>
      <c r="T501" s="786"/>
      <c r="U501" s="786"/>
      <c r="V501" s="786"/>
      <c r="W501" s="786"/>
      <c r="X501" s="786"/>
      <c r="Y501" s="786"/>
      <c r="Z501" s="786"/>
    </row>
    <row r="502" spans="10:26" s="2411" customFormat="1" ht="21.75" customHeight="1">
      <c r="J502" s="786"/>
      <c r="K502" s="786"/>
      <c r="L502" s="786"/>
      <c r="M502" s="786"/>
      <c r="N502" s="786"/>
      <c r="O502" s="786"/>
      <c r="P502" s="786"/>
      <c r="Q502" s="786"/>
      <c r="R502" s="786"/>
      <c r="S502" s="786"/>
      <c r="T502" s="786"/>
      <c r="U502" s="786"/>
      <c r="V502" s="786"/>
      <c r="W502" s="786"/>
      <c r="X502" s="786"/>
      <c r="Y502" s="786"/>
      <c r="Z502" s="786"/>
    </row>
    <row r="503" spans="10:26" s="2411" customFormat="1" ht="21.75" customHeight="1">
      <c r="J503" s="786"/>
      <c r="K503" s="786"/>
      <c r="L503" s="786"/>
      <c r="M503" s="786"/>
      <c r="N503" s="786"/>
      <c r="O503" s="786"/>
      <c r="P503" s="786"/>
      <c r="Q503" s="786"/>
      <c r="R503" s="786"/>
      <c r="S503" s="786"/>
      <c r="T503" s="786"/>
      <c r="U503" s="786"/>
      <c r="V503" s="786"/>
      <c r="W503" s="786"/>
      <c r="X503" s="786"/>
      <c r="Y503" s="786"/>
      <c r="Z503" s="786"/>
    </row>
    <row r="504" spans="10:26" s="2411" customFormat="1" ht="21.75" customHeight="1">
      <c r="J504" s="786"/>
      <c r="K504" s="786"/>
      <c r="L504" s="786"/>
      <c r="M504" s="786"/>
      <c r="N504" s="786"/>
      <c r="O504" s="786"/>
      <c r="P504" s="786"/>
      <c r="Q504" s="786"/>
      <c r="R504" s="786"/>
      <c r="S504" s="786"/>
      <c r="T504" s="786"/>
      <c r="U504" s="786"/>
      <c r="V504" s="786"/>
      <c r="W504" s="786"/>
      <c r="X504" s="786"/>
      <c r="Y504" s="786"/>
      <c r="Z504" s="786"/>
    </row>
    <row r="505" spans="10:26" s="2411" customFormat="1" ht="21.75" customHeight="1">
      <c r="J505" s="786"/>
      <c r="K505" s="786"/>
      <c r="L505" s="786"/>
      <c r="M505" s="786"/>
      <c r="N505" s="786"/>
      <c r="O505" s="786"/>
      <c r="P505" s="786"/>
      <c r="Q505" s="786"/>
      <c r="R505" s="786"/>
      <c r="S505" s="786"/>
      <c r="T505" s="786"/>
      <c r="U505" s="786"/>
      <c r="V505" s="786"/>
      <c r="W505" s="786"/>
      <c r="X505" s="786"/>
      <c r="Y505" s="786"/>
      <c r="Z505" s="786"/>
    </row>
    <row r="506" spans="10:26" s="2411" customFormat="1" ht="21.75" customHeight="1">
      <c r="J506" s="786"/>
      <c r="K506" s="786"/>
      <c r="L506" s="786"/>
      <c r="M506" s="786"/>
      <c r="N506" s="786"/>
      <c r="O506" s="786"/>
      <c r="P506" s="786"/>
      <c r="Q506" s="786"/>
      <c r="R506" s="786"/>
      <c r="S506" s="786"/>
      <c r="T506" s="786"/>
      <c r="U506" s="786"/>
      <c r="V506" s="786"/>
      <c r="W506" s="786"/>
      <c r="X506" s="786"/>
      <c r="Y506" s="786"/>
      <c r="Z506" s="786"/>
    </row>
    <row r="507" spans="10:26" s="2411" customFormat="1" ht="21.75" customHeight="1">
      <c r="J507" s="786"/>
      <c r="K507" s="786"/>
      <c r="L507" s="786"/>
      <c r="M507" s="786"/>
      <c r="N507" s="786"/>
      <c r="O507" s="786"/>
      <c r="P507" s="786"/>
      <c r="Q507" s="786"/>
      <c r="R507" s="786"/>
      <c r="S507" s="786"/>
      <c r="T507" s="786"/>
      <c r="U507" s="786"/>
      <c r="V507" s="786"/>
      <c r="W507" s="786"/>
      <c r="X507" s="786"/>
      <c r="Y507" s="786"/>
      <c r="Z507" s="786"/>
    </row>
    <row r="508" spans="10:26" s="2411" customFormat="1" ht="21.75" customHeight="1">
      <c r="J508" s="786"/>
      <c r="K508" s="786"/>
      <c r="L508" s="786"/>
      <c r="M508" s="786"/>
      <c r="N508" s="786"/>
      <c r="O508" s="786"/>
      <c r="P508" s="786"/>
      <c r="Q508" s="786"/>
      <c r="R508" s="786"/>
      <c r="S508" s="786"/>
      <c r="T508" s="786"/>
      <c r="U508" s="786"/>
      <c r="V508" s="786"/>
      <c r="W508" s="786"/>
      <c r="X508" s="786"/>
      <c r="Y508" s="786"/>
      <c r="Z508" s="786"/>
    </row>
    <row r="509" spans="10:26" s="2411" customFormat="1" ht="21.75" customHeight="1">
      <c r="J509" s="786"/>
      <c r="K509" s="786"/>
      <c r="L509" s="786"/>
      <c r="M509" s="786"/>
      <c r="N509" s="786"/>
      <c r="O509" s="786"/>
      <c r="P509" s="786"/>
      <c r="Q509" s="786"/>
      <c r="R509" s="786"/>
      <c r="S509" s="786"/>
      <c r="T509" s="786"/>
      <c r="U509" s="786"/>
      <c r="V509" s="786"/>
      <c r="W509" s="786"/>
      <c r="X509" s="786"/>
      <c r="Y509" s="786"/>
      <c r="Z509" s="786"/>
    </row>
    <row r="510" spans="10:26" s="2411" customFormat="1" ht="21.75" customHeight="1">
      <c r="J510" s="786"/>
      <c r="K510" s="786"/>
      <c r="L510" s="786"/>
      <c r="M510" s="786"/>
      <c r="N510" s="786"/>
      <c r="O510" s="786"/>
      <c r="P510" s="786"/>
      <c r="Q510" s="786"/>
      <c r="R510" s="786"/>
      <c r="S510" s="786"/>
      <c r="T510" s="786"/>
      <c r="U510" s="786"/>
      <c r="V510" s="786"/>
      <c r="W510" s="786"/>
      <c r="X510" s="786"/>
      <c r="Y510" s="786"/>
      <c r="Z510" s="786"/>
    </row>
    <row r="511" spans="10:26" s="2411" customFormat="1" ht="21.75" customHeight="1">
      <c r="J511" s="786"/>
      <c r="K511" s="786"/>
      <c r="L511" s="786"/>
      <c r="M511" s="786"/>
      <c r="N511" s="786"/>
      <c r="O511" s="786"/>
      <c r="P511" s="786"/>
      <c r="Q511" s="786"/>
      <c r="R511" s="786"/>
      <c r="S511" s="786"/>
      <c r="T511" s="786"/>
      <c r="U511" s="786"/>
      <c r="V511" s="786"/>
      <c r="W511" s="786"/>
      <c r="X511" s="786"/>
      <c r="Y511" s="786"/>
      <c r="Z511" s="786"/>
    </row>
    <row r="512" spans="10:26" s="2411" customFormat="1" ht="21.75" customHeight="1">
      <c r="J512" s="786"/>
      <c r="K512" s="786"/>
      <c r="L512" s="786"/>
      <c r="M512" s="786"/>
      <c r="N512" s="786"/>
      <c r="O512" s="786"/>
      <c r="P512" s="786"/>
      <c r="Q512" s="786"/>
      <c r="R512" s="786"/>
      <c r="S512" s="786"/>
      <c r="T512" s="786"/>
      <c r="U512" s="786"/>
      <c r="V512" s="786"/>
      <c r="W512" s="786"/>
      <c r="X512" s="786"/>
      <c r="Y512" s="786"/>
      <c r="Z512" s="786"/>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10" sqref="E10"/>
    </sheetView>
  </sheetViews>
  <sheetFormatPr defaultColWidth="8.375" defaultRowHeight="12.75"/>
  <cols>
    <col min="1" max="1" width="10.375" style="304" customWidth="1"/>
    <col min="2" max="2" width="29.25" style="286" customWidth="1"/>
    <col min="3" max="3" width="12.125" style="286" customWidth="1"/>
    <col min="4" max="5" width="11.25" style="307" customWidth="1"/>
    <col min="6" max="6" width="9.5" style="286" customWidth="1"/>
    <col min="7" max="7" width="31.875" style="286" customWidth="1"/>
    <col min="8" max="254" width="9" style="286" customWidth="1"/>
    <col min="255" max="16384" width="8.375" style="286"/>
  </cols>
  <sheetData>
    <row r="1" spans="1:9" s="235" customFormat="1" ht="20.25">
      <c r="A1" s="231" t="s">
        <v>2319</v>
      </c>
      <c r="B1" s="1924"/>
      <c r="C1" s="233"/>
      <c r="D1" s="233"/>
      <c r="E1" s="233"/>
      <c r="F1" s="233"/>
      <c r="G1" s="1367">
        <f>MATCH(B1,'数据-取费表'!A6:A16,0)+5</f>
        <v>7</v>
      </c>
    </row>
    <row r="2" spans="1:9" s="235" customFormat="1" ht="18" customHeight="1">
      <c r="A2" s="236" t="s">
        <v>2320</v>
      </c>
      <c r="B2" s="237">
        <f ca="1">IF(D2="——",C52,C52-E2)</f>
        <v>8987</v>
      </c>
      <c r="C2" s="234" t="s">
        <v>2321</v>
      </c>
      <c r="D2" s="2537" t="s">
        <v>70</v>
      </c>
      <c r="E2" s="1428" t="e">
        <f ca="1">SUMIF(INDIRECT("'"&amp;G2&amp;"'"&amp;"!A:A"),"承租人权益价值",INDIRECT("'"&amp;G2&amp;"'"&amp;"!c:c"))</f>
        <v>#REF!</v>
      </c>
      <c r="F2" s="2538" t="s">
        <v>2321</v>
      </c>
      <c r="G2" s="2539"/>
    </row>
    <row r="3" spans="1:9" s="235" customFormat="1" ht="18" customHeight="1" thickBot="1">
      <c r="A3" s="238" t="s">
        <v>2322</v>
      </c>
      <c r="B3" s="239">
        <f ca="1">ROUND(B2*10000/(IF(B1="",'数据-汇总表'!E3,INDIRECT("'数据-取费表'!k"&amp;$G$1))),0)</f>
        <v>4399</v>
      </c>
      <c r="C3" s="234" t="s">
        <v>2323</v>
      </c>
      <c r="D3" s="234"/>
      <c r="E3" s="234"/>
      <c r="F3" s="234"/>
      <c r="G3" s="234"/>
    </row>
    <row r="4" spans="1:9" s="243" customFormat="1" ht="15.75">
      <c r="A4" s="240" t="s">
        <v>2324</v>
      </c>
      <c r="B4" s="241"/>
      <c r="C4" s="241"/>
      <c r="D4" s="241"/>
      <c r="E4" s="241"/>
      <c r="F4" s="241"/>
      <c r="G4" s="242"/>
    </row>
    <row r="5" spans="1:9" s="249" customFormat="1" ht="13.5" customHeight="1">
      <c r="A5" s="290" t="s">
        <v>2325</v>
      </c>
      <c r="B5" s="245" t="s">
        <v>2326</v>
      </c>
      <c r="C5" s="246">
        <f>C6+C7+C8</f>
        <v>509</v>
      </c>
      <c r="D5" s="246" t="s">
        <v>2327</v>
      </c>
      <c r="E5" s="247" t="s">
        <v>2328</v>
      </c>
      <c r="F5" s="247" t="s">
        <v>2329</v>
      </c>
      <c r="G5" s="248"/>
    </row>
    <row r="6" spans="1:9" s="249" customFormat="1" ht="13.5" customHeight="1">
      <c r="A6" s="938" t="s">
        <v>2330</v>
      </c>
      <c r="B6" s="250" t="s">
        <v>2331</v>
      </c>
      <c r="C6" s="251">
        <f>'土地比较法-住宅、综合'!B2</f>
        <v>494</v>
      </c>
      <c r="D6" s="252"/>
      <c r="E6" s="253"/>
      <c r="F6" s="253"/>
      <c r="G6" s="254"/>
    </row>
    <row r="7" spans="1:9" s="249" customFormat="1" ht="13.5" customHeight="1">
      <c r="A7" s="938" t="s">
        <v>2332</v>
      </c>
      <c r="B7" s="250" t="s">
        <v>2333</v>
      </c>
      <c r="C7" s="255">
        <f>ROUND(C6*F7,0)</f>
        <v>15</v>
      </c>
      <c r="D7" s="255"/>
      <c r="E7" s="253"/>
      <c r="F7" s="256">
        <f>'数据-取费表'!B48+'数据-取费表'!B49</f>
        <v>3.0499999999999999E-2</v>
      </c>
      <c r="G7" s="254"/>
    </row>
    <row r="8" spans="1:9" s="258" customFormat="1">
      <c r="A8" s="938" t="s">
        <v>2334</v>
      </c>
      <c r="B8" s="250" t="s">
        <v>2335</v>
      </c>
      <c r="C8" s="255">
        <f>IF(G8="已包含在土地购买价格中","0",IF(B1="",'数据-取费表'!B29,IF(G9="全部缴纳",C9+C10,H9)))</f>
        <v>0</v>
      </c>
      <c r="D8" s="257"/>
      <c r="E8" s="255"/>
      <c r="F8" s="256"/>
      <c r="G8" s="2540" t="s">
        <v>3202</v>
      </c>
    </row>
    <row r="9" spans="1:9" s="249" customFormat="1" ht="13.5" customHeight="1">
      <c r="A9" s="939" t="s">
        <v>800</v>
      </c>
      <c r="B9" s="259" t="s">
        <v>2336</v>
      </c>
      <c r="C9" s="260">
        <f ca="1">ROUND(D9*E9/10000,0)</f>
        <v>0</v>
      </c>
      <c r="D9" s="1020">
        <f ca="1">IF(B1="",'数据-汇总表'!E5,IF(INDIRECT("'数据-取费表'!c"&amp;$G$1)="住宅",INDIRECT("'数据-取费表'!k"&amp;$G$1),0))</f>
        <v>0</v>
      </c>
      <c r="E9" s="260">
        <f>'数据-取费表'!B27</f>
        <v>30</v>
      </c>
      <c r="F9" s="256"/>
      <c r="G9" s="2541" t="s">
        <v>3140</v>
      </c>
      <c r="H9" s="1378"/>
      <c r="I9" s="2542" t="s">
        <v>2337</v>
      </c>
    </row>
    <row r="10" spans="1:9" s="249" customFormat="1" ht="13.5" customHeight="1">
      <c r="A10" s="939" t="s">
        <v>801</v>
      </c>
      <c r="B10" s="259" t="s">
        <v>2338</v>
      </c>
      <c r="C10" s="260">
        <f ca="1">ROUND(D10*E10/10000,0)</f>
        <v>61</v>
      </c>
      <c r="D10" s="1020">
        <f ca="1">IF(B1="",'数据-汇总表'!E6,IF(INDIRECT("'数据-取费表'!c"&amp;$G$1)="住宅",INDIRECT("'数据-取费表'!s"&amp;$G$1),INDIRECT("'数据-取费表'!k"&amp;$G$1)+INDIRECT("'数据-取费表'!s"&amp;$G$1)))</f>
        <v>20428.607999999997</v>
      </c>
      <c r="E10" s="260">
        <f>'数据-取费表'!B28</f>
        <v>30</v>
      </c>
      <c r="F10" s="256"/>
      <c r="G10" s="261"/>
    </row>
    <row r="11" spans="1:9" s="249" customFormat="1" ht="13.5" hidden="1" customHeight="1">
      <c r="A11" s="262" t="s">
        <v>7</v>
      </c>
      <c r="B11" s="250" t="s">
        <v>2339</v>
      </c>
      <c r="C11" s="246"/>
      <c r="D11" s="1022"/>
      <c r="E11" s="253"/>
      <c r="F11" s="253"/>
      <c r="G11" s="254"/>
    </row>
    <row r="12" spans="1:9" s="249" customFormat="1" ht="13.5" hidden="1" customHeight="1">
      <c r="A12" s="262" t="s">
        <v>8</v>
      </c>
      <c r="B12" s="250" t="s">
        <v>2340</v>
      </c>
      <c r="C12" s="246">
        <v>0</v>
      </c>
      <c r="D12" s="1022"/>
      <c r="E12" s="263"/>
      <c r="F12" s="256">
        <v>3.0499999999999999E-2</v>
      </c>
      <c r="G12" s="254"/>
    </row>
    <row r="13" spans="1:9" s="249" customFormat="1" ht="13.5" hidden="1" customHeight="1">
      <c r="A13" s="262" t="s">
        <v>9</v>
      </c>
      <c r="B13" s="250" t="s">
        <v>2341</v>
      </c>
      <c r="C13" s="246"/>
      <c r="D13" s="1022"/>
      <c r="E13" s="253"/>
      <c r="F13" s="253"/>
      <c r="G13" s="254"/>
    </row>
    <row r="14" spans="1:9" s="249" customFormat="1" ht="13.5" hidden="1" customHeight="1">
      <c r="A14" s="262" t="s">
        <v>10</v>
      </c>
      <c r="B14" s="250" t="s">
        <v>2342</v>
      </c>
      <c r="C14" s="246"/>
      <c r="D14" s="1022"/>
      <c r="E14" s="253"/>
      <c r="F14" s="253"/>
      <c r="G14" s="254" t="s">
        <v>2343</v>
      </c>
    </row>
    <row r="15" spans="1:9" s="249" customFormat="1" ht="13.5" hidden="1" customHeight="1">
      <c r="A15" s="262" t="s">
        <v>11</v>
      </c>
      <c r="B15" s="250" t="s">
        <v>2344</v>
      </c>
      <c r="C15" s="255"/>
      <c r="D15" s="1022"/>
      <c r="E15" s="253"/>
      <c r="F15" s="253"/>
      <c r="G15" s="254" t="s">
        <v>2345</v>
      </c>
    </row>
    <row r="16" spans="1:9" s="249" customFormat="1" ht="13.5" hidden="1" customHeight="1">
      <c r="A16" s="262" t="s">
        <v>12</v>
      </c>
      <c r="B16" s="250" t="s">
        <v>2342</v>
      </c>
      <c r="C16" s="255"/>
      <c r="D16" s="1022"/>
      <c r="E16" s="253"/>
      <c r="F16" s="253"/>
      <c r="G16" s="254"/>
    </row>
    <row r="17" spans="1:7" s="249" customFormat="1" ht="13.5" hidden="1" customHeight="1">
      <c r="A17" s="262" t="s">
        <v>13</v>
      </c>
      <c r="B17" s="250" t="s">
        <v>2346</v>
      </c>
      <c r="C17" s="264"/>
      <c r="D17" s="1023"/>
      <c r="E17" s="264"/>
      <c r="F17" s="264"/>
      <c r="G17" s="254" t="s">
        <v>2345</v>
      </c>
    </row>
    <row r="18" spans="1:7" s="249" customFormat="1" ht="13.5" hidden="1" customHeight="1">
      <c r="A18" s="262" t="s">
        <v>14</v>
      </c>
      <c r="B18" s="250" t="s">
        <v>2347</v>
      </c>
      <c r="C18" s="255">
        <v>0</v>
      </c>
      <c r="D18" s="1022"/>
      <c r="E18" s="253"/>
      <c r="F18" s="256">
        <v>3.0499999999999999E-2</v>
      </c>
      <c r="G18" s="254" t="s">
        <v>2348</v>
      </c>
    </row>
    <row r="19" spans="1:7" s="258" customFormat="1" ht="13.5" customHeight="1">
      <c r="A19" s="290" t="s">
        <v>2349</v>
      </c>
      <c r="B19" s="245" t="s">
        <v>2350</v>
      </c>
      <c r="C19" s="246" t="str">
        <f>IF(G19="已包含在土地取得成本中","0",ROUND(D19*E19/10000,0))</f>
        <v>0</v>
      </c>
      <c r="D19" s="1024">
        <f ca="1">D9+D10</f>
        <v>20428.607999999997</v>
      </c>
      <c r="E19" s="246">
        <f>'数据-取费表'!B31</f>
        <v>200</v>
      </c>
      <c r="F19" s="266"/>
      <c r="G19" s="2540" t="s">
        <v>3141</v>
      </c>
    </row>
    <row r="20" spans="1:7" s="249" customFormat="1" ht="13.5" customHeight="1">
      <c r="A20" s="290" t="s">
        <v>2351</v>
      </c>
      <c r="B20" s="245" t="s">
        <v>2352</v>
      </c>
      <c r="C20" s="267">
        <f>ROUND((C5+C19)*F20,0)</f>
        <v>10</v>
      </c>
      <c r="D20" s="267"/>
      <c r="E20" s="267"/>
      <c r="F20" s="268">
        <f>'数据-取费表'!B37</f>
        <v>0.02</v>
      </c>
      <c r="G20" s="269" t="s">
        <v>2353</v>
      </c>
    </row>
    <row r="21" spans="1:7" s="249" customFormat="1" ht="13.5" customHeight="1">
      <c r="A21" s="290" t="s">
        <v>2354</v>
      </c>
      <c r="B21" s="245" t="s">
        <v>2355</v>
      </c>
      <c r="C21" s="270">
        <f>F21</f>
        <v>1.4999999999999999E-2</v>
      </c>
      <c r="D21" s="271" t="s">
        <v>2356</v>
      </c>
      <c r="E21" s="267"/>
      <c r="F21" s="268">
        <f>'数据-取费表'!B38</f>
        <v>1.4999999999999999E-2</v>
      </c>
      <c r="G21" s="269" t="s">
        <v>2357</v>
      </c>
    </row>
    <row r="22" spans="1:7" s="249" customFormat="1" ht="13.5" customHeight="1">
      <c r="A22" s="290" t="s">
        <v>2358</v>
      </c>
      <c r="B22" s="245" t="s">
        <v>2359</v>
      </c>
      <c r="C22" s="1342">
        <f ca="1">ROUND(SUM(C23:C25),0)</f>
        <v>47</v>
      </c>
      <c r="D22" s="270">
        <f ca="1">C26</f>
        <v>6.9999999999999999E-4</v>
      </c>
      <c r="E22" s="271" t="s">
        <v>2356</v>
      </c>
      <c r="F22" s="272">
        <f ca="1">'数据-取费表'!B40</f>
        <v>4.7500000000000001E-2</v>
      </c>
      <c r="G22" s="269" t="str">
        <f>IF('数据-取费表'!B22&lt;=1,"单利计息","复利计息")</f>
        <v>复利计息</v>
      </c>
    </row>
    <row r="23" spans="1:7" s="249" customFormat="1" ht="13.5" customHeight="1">
      <c r="A23" s="940" t="s">
        <v>2360</v>
      </c>
      <c r="B23" s="250" t="s">
        <v>2361</v>
      </c>
      <c r="C23" s="1343">
        <f ca="1">ROUND(IF('数据-取费表'!B22&lt;=1,C5*F22*'数据-取费表'!B23,C5*(POWER((1+F22),'数据-取费表'!B23)-1)),0)</f>
        <v>47</v>
      </c>
      <c r="D23" s="273"/>
      <c r="E23" s="273"/>
      <c r="F23" s="274"/>
      <c r="G23" s="275" t="s">
        <v>2362</v>
      </c>
    </row>
    <row r="24" spans="1:7" s="249" customFormat="1" ht="13.5" customHeight="1">
      <c r="A24" s="940" t="s">
        <v>2363</v>
      </c>
      <c r="B24" s="250" t="s">
        <v>2364</v>
      </c>
      <c r="C24" s="1343">
        <f ca="1">ROUND(IF('数据-取费表'!B22&lt;=1,C19*F22*('数据-取费表'!B19/2+'数据-取费表'!B21),C19*(POWER((1+F22),('数据-取费表'!B19/2+'数据-取费表'!B21))-1)),0)</f>
        <v>0</v>
      </c>
      <c r="D24" s="273"/>
      <c r="E24" s="273"/>
      <c r="F24" s="274"/>
      <c r="G24" s="275" t="s">
        <v>2365</v>
      </c>
    </row>
    <row r="25" spans="1:7" s="249" customFormat="1" ht="24">
      <c r="A25" s="940" t="s">
        <v>2366</v>
      </c>
      <c r="B25" s="250" t="s">
        <v>2367</v>
      </c>
      <c r="C25" s="1343">
        <f ca="1">ROUND(IF('数据-取费表'!B22&lt;=1,C20*F22*'数据-取费表'!B23/2,C20*(POWER((1+F22),'数据-取费表'!B23/2)-1)),0)</f>
        <v>0</v>
      </c>
      <c r="D25" s="273"/>
      <c r="E25" s="276"/>
      <c r="F25" s="274"/>
      <c r="G25" s="277" t="s">
        <v>2368</v>
      </c>
    </row>
    <row r="26" spans="1:7" s="249" customFormat="1">
      <c r="A26" s="940" t="s">
        <v>795</v>
      </c>
      <c r="B26" s="250" t="s">
        <v>2369</v>
      </c>
      <c r="C26" s="273">
        <f ca="1">ROUND(IF('数据-取费表'!B22&lt;=1,F21*F22*'数据-取费表'!B23/2,F21*(POWER((1+F22),'数据-取费表'!B23/2)-1)),4)</f>
        <v>6.9999999999999999E-4</v>
      </c>
      <c r="D26" s="273"/>
      <c r="E26" s="276"/>
      <c r="F26" s="274"/>
      <c r="G26" s="278"/>
    </row>
    <row r="27" spans="1:7" s="249" customFormat="1" ht="24.75">
      <c r="A27" s="290" t="s">
        <v>2370</v>
      </c>
      <c r="B27" s="279" t="s">
        <v>2371</v>
      </c>
      <c r="C27" s="280">
        <f ca="1">C28</f>
        <v>74</v>
      </c>
      <c r="D27" s="270">
        <f ca="1">C29</f>
        <v>2.0999999999999999E-3</v>
      </c>
      <c r="E27" s="271" t="s">
        <v>2372</v>
      </c>
      <c r="F27" s="281">
        <f ca="1">IF(B1="",'数据-取费表'!Q16,INDIRECT("'数据-取费表'!q"&amp;$G$1))</f>
        <v>0.15</v>
      </c>
      <c r="G27" s="282" t="s">
        <v>2373</v>
      </c>
    </row>
    <row r="28" spans="1:7" s="249" customFormat="1" ht="13.5" customHeight="1">
      <c r="A28" s="940" t="s">
        <v>791</v>
      </c>
      <c r="B28" s="283" t="s">
        <v>2374</v>
      </c>
      <c r="C28" s="284">
        <f ca="1">ROUND((C5+C19+C20)*F27*'数据-取费表'!B21/'数据-取费表'!B20,0)</f>
        <v>74</v>
      </c>
      <c r="D28" s="270"/>
      <c r="E28" s="271"/>
      <c r="F28" s="281"/>
      <c r="G28" s="282"/>
    </row>
    <row r="29" spans="1:7" s="249" customFormat="1" ht="13.5" customHeight="1">
      <c r="A29" s="940" t="s">
        <v>792</v>
      </c>
      <c r="B29" s="283" t="s">
        <v>2375</v>
      </c>
      <c r="C29" s="273">
        <f ca="1">ROUND(C21*F27*'数据-取费表'!B21/'数据-取费表'!B20,4)</f>
        <v>2.0999999999999999E-3</v>
      </c>
      <c r="D29" s="270"/>
      <c r="E29" s="271"/>
      <c r="F29" s="281"/>
      <c r="G29" s="282"/>
    </row>
    <row r="30" spans="1:7" s="249" customFormat="1" ht="13.5" customHeight="1">
      <c r="A30" s="290" t="s">
        <v>2376</v>
      </c>
      <c r="B30" s="245" t="s">
        <v>2377</v>
      </c>
      <c r="C30" s="270">
        <f>ROUND(F30/(1+'数据-取费表'!C42),4)</f>
        <v>5.33E-2</v>
      </c>
      <c r="D30" s="271" t="s">
        <v>2372</v>
      </c>
      <c r="E30" s="276"/>
      <c r="F30" s="272">
        <f>'数据-取费表'!B41</f>
        <v>5.6000000000000001E-2</v>
      </c>
      <c r="G30" s="269" t="s">
        <v>2378</v>
      </c>
    </row>
    <row r="31" spans="1:7" ht="16.5" customHeight="1">
      <c r="A31" s="244">
        <v>1</v>
      </c>
      <c r="B31" s="245" t="s">
        <v>2379</v>
      </c>
      <c r="C31" s="246">
        <f ca="1">ROUND((C5+C19+C20+C22+C27)/(1-C21-D22-D27-C30),0)</f>
        <v>689</v>
      </c>
      <c r="D31" s="265"/>
      <c r="E31" s="246"/>
      <c r="F31" s="285"/>
      <c r="G31" s="269" t="s">
        <v>2380</v>
      </c>
    </row>
    <row r="32" spans="1:7" s="243" customFormat="1" ht="15.75">
      <c r="A32" s="287" t="s">
        <v>2381</v>
      </c>
      <c r="B32" s="288"/>
      <c r="C32" s="288"/>
      <c r="D32" s="288"/>
      <c r="E32" s="288"/>
      <c r="F32" s="288"/>
      <c r="G32" s="289"/>
    </row>
    <row r="33" spans="1:7" s="249" customFormat="1" ht="13.5" customHeight="1">
      <c r="A33" s="290" t="s">
        <v>782</v>
      </c>
      <c r="B33" s="245" t="s">
        <v>2382</v>
      </c>
      <c r="C33" s="291">
        <f ca="1">SUM(C34:C38)</f>
        <v>6322</v>
      </c>
      <c r="D33" s="267"/>
      <c r="E33" s="247"/>
      <c r="F33" s="276"/>
      <c r="G33" s="269"/>
    </row>
    <row r="34" spans="1:7" s="293" customFormat="1" ht="13.5" customHeight="1">
      <c r="A34" s="940" t="s">
        <v>791</v>
      </c>
      <c r="B34" s="250" t="s">
        <v>2383</v>
      </c>
      <c r="C34" s="255">
        <f ca="1">IF(B1="",IF(F34=100%,'数据-取费表'!M16,'数据-取费表'!O16),IF(F34=100%,INDIRECT("'数据-取费表'!m"&amp;$G$1)+INDIRECT("'数据-取费表'!t"&amp;$G$1),INDIRECT("'数据-取费表'!o"&amp;$G$1)+INDIRECT("'数据-取费表'!aq"&amp;$G$1)))</f>
        <v>5663</v>
      </c>
      <c r="D34" s="252"/>
      <c r="E34" s="255"/>
      <c r="F34" s="292">
        <f ca="1">IF('数据-取费表'!B24=0,1,IF(B1="",'数据-取费表'!N16,INDIRECT("'数据-取费表'!n"&amp;$G$1)))</f>
        <v>0.99</v>
      </c>
      <c r="G34" s="254" t="s">
        <v>2384</v>
      </c>
    </row>
    <row r="35" spans="1:7" ht="13.5" customHeight="1">
      <c r="A35" s="940" t="s">
        <v>796</v>
      </c>
      <c r="B35" s="250" t="s">
        <v>2385</v>
      </c>
      <c r="C35" s="255">
        <f ca="1">ROUND(C34*F35,0)</f>
        <v>170</v>
      </c>
      <c r="D35" s="255"/>
      <c r="E35" s="255"/>
      <c r="F35" s="294">
        <f>'数据-取费表'!B33</f>
        <v>0.03</v>
      </c>
      <c r="G35" s="254" t="s">
        <v>2386</v>
      </c>
    </row>
    <row r="36" spans="1:7" ht="24">
      <c r="A36" s="940" t="s">
        <v>797</v>
      </c>
      <c r="B36" s="250" t="s">
        <v>2387</v>
      </c>
      <c r="C36" s="255">
        <f ca="1">ROUND(IF(B1="",SUMIF('数据-取费表'!C:C,"住宅",IF(F34=100%,'数据-取费表'!M:M,'数据-取费表'!O:O))*F36,IF(INDIRECT("'数据-取费表'!c"&amp;$G$1)="住宅",IF(F34=100%,INDIRECT("'数据-取费表'!m"&amp;$G$1)*F36,INDIRECT("'数据-取费表'!o"&amp;$G$1)*F36),0)),0)</f>
        <v>0</v>
      </c>
      <c r="D36" s="255"/>
      <c r="E36" s="255"/>
      <c r="F36" s="294">
        <f>'数据-取费表'!B34</f>
        <v>0</v>
      </c>
      <c r="G36" s="295" t="s">
        <v>2388</v>
      </c>
    </row>
    <row r="37" spans="1:7" s="293" customFormat="1" ht="13.5" customHeight="1">
      <c r="A37" s="940" t="s">
        <v>798</v>
      </c>
      <c r="B37" s="250" t="s">
        <v>2389</v>
      </c>
      <c r="C37" s="284">
        <f ca="1">ROUND(E37*D37*F34/10000,0)</f>
        <v>404</v>
      </c>
      <c r="D37" s="252">
        <f ca="1">D19</f>
        <v>20428.607999999997</v>
      </c>
      <c r="E37" s="284">
        <f>'数据-取费表'!B35</f>
        <v>200</v>
      </c>
      <c r="F37" s="294"/>
      <c r="G37" s="296" t="s">
        <v>2390</v>
      </c>
    </row>
    <row r="38" spans="1:7" ht="13.5" customHeight="1">
      <c r="A38" s="940" t="s">
        <v>799</v>
      </c>
      <c r="B38" s="250" t="s">
        <v>2391</v>
      </c>
      <c r="C38" s="255">
        <f ca="1">ROUND(C34*F38,0)</f>
        <v>85</v>
      </c>
      <c r="D38" s="255"/>
      <c r="E38" s="255"/>
      <c r="F38" s="294">
        <f>'数据-取费表'!B36</f>
        <v>1.4999999999999999E-2</v>
      </c>
      <c r="G38" s="254" t="s">
        <v>2386</v>
      </c>
    </row>
    <row r="39" spans="1:7" s="249" customFormat="1" ht="13.5" customHeight="1">
      <c r="A39" s="290" t="s">
        <v>2392</v>
      </c>
      <c r="B39" s="245" t="s">
        <v>2393</v>
      </c>
      <c r="C39" s="267">
        <f ca="1">ROUND(C33*F20,0)</f>
        <v>126</v>
      </c>
      <c r="D39" s="267"/>
      <c r="E39" s="267"/>
      <c r="F39" s="268"/>
      <c r="G39" s="269" t="s">
        <v>2394</v>
      </c>
    </row>
    <row r="40" spans="1:7" s="249" customFormat="1" ht="13.5" customHeight="1">
      <c r="A40" s="290" t="s">
        <v>2395</v>
      </c>
      <c r="B40" s="245" t="s">
        <v>2396</v>
      </c>
      <c r="C40" s="1715">
        <f>F21</f>
        <v>1.4999999999999999E-2</v>
      </c>
      <c r="D40" s="271" t="s">
        <v>2397</v>
      </c>
      <c r="E40" s="267"/>
      <c r="F40" s="268"/>
      <c r="G40" s="269" t="s">
        <v>2398</v>
      </c>
    </row>
    <row r="41" spans="1:7" s="249" customFormat="1" ht="13.5" customHeight="1">
      <c r="A41" s="290" t="s">
        <v>2399</v>
      </c>
      <c r="B41" s="245" t="s">
        <v>2400</v>
      </c>
      <c r="C41" s="267">
        <f ca="1">ROUND(SUM(C42:C43),0)</f>
        <v>291</v>
      </c>
      <c r="D41" s="270">
        <f ca="1">C44</f>
        <v>6.9999999999999999E-4</v>
      </c>
      <c r="E41" s="271" t="s">
        <v>2397</v>
      </c>
      <c r="F41" s="272"/>
      <c r="G41" s="269" t="str">
        <f>IF('数据-取费表'!B22&lt;=1,"单利计息","复利计息")</f>
        <v>复利计息</v>
      </c>
    </row>
    <row r="42" spans="1:7" ht="13.5" customHeight="1">
      <c r="A42" s="940" t="s">
        <v>791</v>
      </c>
      <c r="B42" s="250" t="s">
        <v>2401</v>
      </c>
      <c r="C42" s="273">
        <f ca="1">ROUND(IF('数据-取费表'!B22&lt;=1,C33*F22*'数据-取费表'!B21/2,C33*(POWER((1+F22),'数据-取费表'!B21/2)-1)),0)</f>
        <v>285</v>
      </c>
      <c r="D42" s="273"/>
      <c r="E42" s="273"/>
      <c r="F42" s="274"/>
      <c r="G42" s="3265" t="s">
        <v>2402</v>
      </c>
    </row>
    <row r="43" spans="1:7" ht="13.5" customHeight="1">
      <c r="A43" s="940" t="s">
        <v>792</v>
      </c>
      <c r="B43" s="250" t="s">
        <v>2403</v>
      </c>
      <c r="C43" s="273">
        <f ca="1">ROUND(IF('数据-取费表'!B22&lt;=1,C39*F22*'数据-取费表'!B21/2,C39*(POWER((1+F22),'数据-取费表'!B21/2)-1)),0)</f>
        <v>6</v>
      </c>
      <c r="D43" s="273"/>
      <c r="E43" s="273"/>
      <c r="F43" s="274"/>
      <c r="G43" s="3266"/>
    </row>
    <row r="44" spans="1:7" ht="13.5" customHeight="1">
      <c r="A44" s="940" t="s">
        <v>793</v>
      </c>
      <c r="B44" s="250" t="s">
        <v>2404</v>
      </c>
      <c r="C44" s="273">
        <f ca="1">ROUND(IF('数据-取费表'!B22&lt;=1,C40*F22*'数据-取费表'!B21/2,C40*(POWER((1+F22),'数据-取费表'!B21/2)-1)),4)</f>
        <v>6.9999999999999999E-4</v>
      </c>
      <c r="D44" s="273"/>
      <c r="E44" s="273"/>
      <c r="F44" s="274"/>
      <c r="G44" s="3267"/>
    </row>
    <row r="45" spans="1:7" s="249" customFormat="1" ht="13.5" customHeight="1">
      <c r="A45" s="290" t="s">
        <v>2405</v>
      </c>
      <c r="B45" s="279" t="s">
        <v>2371</v>
      </c>
      <c r="C45" s="280">
        <f ca="1">C46</f>
        <v>967</v>
      </c>
      <c r="D45" s="270">
        <f ca="1">C47</f>
        <v>2.3E-3</v>
      </c>
      <c r="E45" s="271" t="s">
        <v>2397</v>
      </c>
      <c r="F45" s="281"/>
      <c r="G45" s="282" t="s">
        <v>2406</v>
      </c>
    </row>
    <row r="46" spans="1:7" s="249" customFormat="1" ht="13.5" customHeight="1">
      <c r="A46" s="940" t="s">
        <v>791</v>
      </c>
      <c r="B46" s="283" t="s">
        <v>2407</v>
      </c>
      <c r="C46" s="284">
        <f ca="1">ROUND((C33+C39)*F27,0)</f>
        <v>967</v>
      </c>
      <c r="D46" s="298"/>
      <c r="E46" s="271"/>
      <c r="F46" s="281"/>
      <c r="G46" s="282"/>
    </row>
    <row r="47" spans="1:7" s="249" customFormat="1" ht="13.5" customHeight="1">
      <c r="A47" s="940" t="s">
        <v>792</v>
      </c>
      <c r="B47" s="283" t="s">
        <v>2408</v>
      </c>
      <c r="C47" s="273">
        <f ca="1">ROUND(C40*F27,4)</f>
        <v>2.3E-3</v>
      </c>
      <c r="D47" s="298"/>
      <c r="E47" s="271"/>
      <c r="F47" s="281"/>
      <c r="G47" s="282"/>
    </row>
    <row r="48" spans="1:7" s="249" customFormat="1" ht="13.5" customHeight="1">
      <c r="A48" s="290" t="s">
        <v>2370</v>
      </c>
      <c r="B48" s="245" t="s">
        <v>2409</v>
      </c>
      <c r="C48" s="1715">
        <f>ROUND(F30/(1+'数据-取费表'!C42),4)</f>
        <v>5.33E-2</v>
      </c>
      <c r="D48" s="271" t="s">
        <v>2397</v>
      </c>
      <c r="E48" s="267"/>
      <c r="F48" s="272"/>
      <c r="G48" s="269" t="s">
        <v>2410</v>
      </c>
    </row>
    <row r="49" spans="1:7" ht="16.5" customHeight="1">
      <c r="A49" s="290" t="s">
        <v>2376</v>
      </c>
      <c r="B49" s="245" t="s">
        <v>2411</v>
      </c>
      <c r="C49" s="267">
        <f ca="1">ROUND((C33+C39+C41+C45)/(1-C40-D41-D45-C48),0)</f>
        <v>8298</v>
      </c>
      <c r="D49" s="267"/>
      <c r="E49" s="267"/>
      <c r="F49" s="299"/>
      <c r="G49" s="269" t="s">
        <v>2412</v>
      </c>
    </row>
    <row r="50" spans="1:7" s="293" customFormat="1" ht="24">
      <c r="A50" s="290" t="s">
        <v>2413</v>
      </c>
      <c r="B50" s="245" t="s">
        <v>2414</v>
      </c>
      <c r="C50" s="267"/>
      <c r="D50" s="267"/>
      <c r="E50" s="267"/>
      <c r="F50" s="299">
        <f>IF('数据-取费表'!B24=0,'数据-取费表'!N16,1)</f>
        <v>1</v>
      </c>
      <c r="G50" s="282" t="s">
        <v>2415</v>
      </c>
    </row>
    <row r="51" spans="1:7" ht="16.5" customHeight="1">
      <c r="A51" s="290" t="s">
        <v>2416</v>
      </c>
      <c r="B51" s="245" t="s">
        <v>2417</v>
      </c>
      <c r="C51" s="267">
        <f ca="1">ROUND(C49*F50,0)</f>
        <v>8298</v>
      </c>
      <c r="D51" s="267"/>
      <c r="E51" s="267"/>
      <c r="F51" s="299"/>
      <c r="G51" s="269" t="s">
        <v>2418</v>
      </c>
    </row>
    <row r="52" spans="1:7" s="243" customFormat="1" ht="16.5" thickBot="1">
      <c r="A52" s="300" t="s">
        <v>2419</v>
      </c>
      <c r="B52" s="301"/>
      <c r="C52" s="302">
        <f ca="1">C31+C51</f>
        <v>8987</v>
      </c>
      <c r="D52" s="301"/>
      <c r="E52" s="301"/>
      <c r="F52" s="301"/>
      <c r="G52" s="303"/>
    </row>
    <row r="55" spans="1:7" ht="15">
      <c r="B55" s="305" t="s">
        <v>2420</v>
      </c>
      <c r="C55" s="306"/>
    </row>
    <row r="56" spans="1:7">
      <c r="B56" s="308" t="s">
        <v>1513</v>
      </c>
      <c r="C56" s="310">
        <f ca="1">1-C57</f>
        <v>7.6999999999999957E-2</v>
      </c>
    </row>
    <row r="57" spans="1:7">
      <c r="B57" s="308" t="s">
        <v>1514</v>
      </c>
      <c r="C57" s="309">
        <f ca="1">ROUND(C51/C52,3)</f>
        <v>0.92300000000000004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04" customWidth="1"/>
    <col min="2" max="2" width="29.25" style="286" customWidth="1"/>
    <col min="3" max="3" width="12.125" style="286" customWidth="1"/>
    <col min="4" max="5" width="11.25" style="307" customWidth="1"/>
    <col min="6" max="6" width="9.5" style="286" customWidth="1"/>
    <col min="7" max="7" width="31.875" style="286" customWidth="1"/>
    <col min="8" max="8" width="10.75" style="286" customWidth="1"/>
    <col min="9" max="254" width="9" style="286" customWidth="1"/>
    <col min="255" max="16384" width="8.375" style="286"/>
  </cols>
  <sheetData>
    <row r="1" spans="1:8" s="235" customFormat="1" ht="20.25">
      <c r="A1" s="231" t="s">
        <v>2319</v>
      </c>
      <c r="B1" s="1924"/>
      <c r="C1" s="2543" t="s">
        <v>2421</v>
      </c>
      <c r="D1" s="233"/>
      <c r="E1" s="233"/>
      <c r="F1" s="233"/>
      <c r="G1" s="1367">
        <f>MATCH(B1,'数据-取费表'!A6:A16,0)+5</f>
        <v>7</v>
      </c>
      <c r="H1" s="1270" t="str">
        <f>IF(ISERROR(FIND("住宅",B1)),"非住宅","住宅")</f>
        <v>非住宅</v>
      </c>
    </row>
    <row r="2" spans="1:8" s="235" customFormat="1" ht="18" customHeight="1">
      <c r="A2" s="236" t="s">
        <v>2320</v>
      </c>
      <c r="B2" s="237">
        <f ca="1">ROUND(IF(D2="——",C52/10000,C52/10000-E2),0)</f>
        <v>9042</v>
      </c>
      <c r="C2" s="234" t="s">
        <v>2321</v>
      </c>
      <c r="D2" s="2537" t="s">
        <v>70</v>
      </c>
      <c r="E2" s="1428" t="e">
        <f ca="1">SUMIF(INDIRECT("'"&amp;G2&amp;"'"&amp;"!A:A"),"承租人权益价值",INDIRECT("'"&amp;G2&amp;"'"&amp;"!c:c"))</f>
        <v>#REF!</v>
      </c>
      <c r="F2" s="2538" t="s">
        <v>2321</v>
      </c>
      <c r="G2" s="2539"/>
    </row>
    <row r="3" spans="1:8" s="235" customFormat="1" ht="18" customHeight="1" thickBot="1">
      <c r="A3" s="238" t="s">
        <v>2322</v>
      </c>
      <c r="B3" s="239">
        <f ca="1">ROUND(B2*10000/(IF(B1="",'数据-汇总表'!E3,INDIRECT("'数据-取费表'!k"&amp;$G$1))),0)</f>
        <v>4426</v>
      </c>
      <c r="C3" s="234" t="s">
        <v>2323</v>
      </c>
      <c r="D3" s="234"/>
      <c r="E3" s="234"/>
      <c r="F3" s="234"/>
      <c r="G3" s="234"/>
    </row>
    <row r="4" spans="1:8" s="243" customFormat="1" ht="15.75">
      <c r="A4" s="240" t="s">
        <v>2324</v>
      </c>
      <c r="B4" s="241"/>
      <c r="C4" s="241"/>
      <c r="D4" s="241"/>
      <c r="E4" s="241"/>
      <c r="F4" s="241"/>
      <c r="G4" s="242"/>
    </row>
    <row r="5" spans="1:8" s="249" customFormat="1" ht="13.5" customHeight="1">
      <c r="A5" s="290" t="s">
        <v>2325</v>
      </c>
      <c r="B5" s="245" t="s">
        <v>2326</v>
      </c>
      <c r="C5" s="246">
        <f ca="1">C6+C7+C8</f>
        <v>612858</v>
      </c>
      <c r="D5" s="246" t="s">
        <v>2327</v>
      </c>
      <c r="E5" s="247" t="s">
        <v>2328</v>
      </c>
      <c r="F5" s="247" t="s">
        <v>2329</v>
      </c>
      <c r="G5" s="248"/>
    </row>
    <row r="6" spans="1:8" s="249" customFormat="1" ht="13.5" customHeight="1">
      <c r="A6" s="938" t="s">
        <v>2330</v>
      </c>
      <c r="B6" s="250" t="s">
        <v>2331</v>
      </c>
      <c r="C6" s="251"/>
      <c r="D6" s="252"/>
      <c r="E6" s="253"/>
      <c r="F6" s="253"/>
      <c r="G6" s="254"/>
    </row>
    <row r="7" spans="1:8" s="249" customFormat="1" ht="13.5" customHeight="1">
      <c r="A7" s="938" t="s">
        <v>2332</v>
      </c>
      <c r="B7" s="250" t="s">
        <v>2333</v>
      </c>
      <c r="C7" s="255">
        <f>ROUND(C6*F7,0)</f>
        <v>0</v>
      </c>
      <c r="D7" s="255"/>
      <c r="E7" s="253"/>
      <c r="F7" s="256">
        <f>'数据-取费表'!B48+'数据-取费表'!B49</f>
        <v>3.0499999999999999E-2</v>
      </c>
      <c r="G7" s="254"/>
    </row>
    <row r="8" spans="1:8" s="258" customFormat="1">
      <c r="A8" s="938" t="s">
        <v>2334</v>
      </c>
      <c r="B8" s="250" t="s">
        <v>2335</v>
      </c>
      <c r="C8" s="255">
        <f ca="1">IF(G8="已包含在土地购买价格中",0,C9+C10)</f>
        <v>612858</v>
      </c>
      <c r="D8" s="257"/>
      <c r="E8" s="255"/>
      <c r="F8" s="256"/>
      <c r="G8" s="2540"/>
    </row>
    <row r="9" spans="1:8" s="249" customFormat="1" ht="13.5" customHeight="1">
      <c r="A9" s="939" t="s">
        <v>800</v>
      </c>
      <c r="B9" s="259" t="s">
        <v>2336</v>
      </c>
      <c r="C9" s="260">
        <f ca="1">ROUND(D9*E9,0)</f>
        <v>0</v>
      </c>
      <c r="D9" s="1020">
        <f ca="1">IF(B1="",'数据-汇总表'!E5,IF(INDIRECT("'数据-取费表'!c"&amp;$G$1)="住宅",INDIRECT("'数据-取费表'!k"&amp;$G$1),0))</f>
        <v>0</v>
      </c>
      <c r="E9" s="260">
        <f>'数据-取费表'!B27</f>
        <v>30</v>
      </c>
      <c r="F9" s="256"/>
      <c r="G9" s="261"/>
    </row>
    <row r="10" spans="1:8" s="249" customFormat="1" ht="13.5" customHeight="1">
      <c r="A10" s="939" t="s">
        <v>801</v>
      </c>
      <c r="B10" s="259" t="s">
        <v>2338</v>
      </c>
      <c r="C10" s="260">
        <f ca="1">ROUND(D10*E10,0)</f>
        <v>612858</v>
      </c>
      <c r="D10" s="1020">
        <f ca="1">IF(B1="",'数据-汇总表'!E6,IF(INDIRECT("'数据-取费表'!c"&amp;$G$1)="住宅",INDIRECT("'数据-取费表'!s"&amp;$G$1),INDIRECT("'数据-取费表'!k"&amp;$G$1)+INDIRECT("'数据-取费表'!s"&amp;$G$1)))</f>
        <v>20428.607999999997</v>
      </c>
      <c r="E10" s="260">
        <f>'数据-取费表'!B28</f>
        <v>30</v>
      </c>
      <c r="F10" s="256"/>
      <c r="G10" s="261"/>
    </row>
    <row r="11" spans="1:8" s="249" customFormat="1" ht="13.5" hidden="1" customHeight="1">
      <c r="A11" s="262" t="s">
        <v>7</v>
      </c>
      <c r="B11" s="250" t="s">
        <v>2339</v>
      </c>
      <c r="C11" s="246"/>
      <c r="D11" s="1022"/>
      <c r="E11" s="253"/>
      <c r="F11" s="253"/>
      <c r="G11" s="254"/>
    </row>
    <row r="12" spans="1:8" s="249" customFormat="1" ht="13.5" hidden="1" customHeight="1">
      <c r="A12" s="262" t="s">
        <v>8</v>
      </c>
      <c r="B12" s="250" t="s">
        <v>2422</v>
      </c>
      <c r="C12" s="246">
        <v>0</v>
      </c>
      <c r="D12" s="1022"/>
      <c r="E12" s="263"/>
      <c r="F12" s="256">
        <v>3.0499999999999999E-2</v>
      </c>
      <c r="G12" s="254"/>
    </row>
    <row r="13" spans="1:8" s="249" customFormat="1" ht="13.5" hidden="1" customHeight="1">
      <c r="A13" s="262" t="s">
        <v>9</v>
      </c>
      <c r="B13" s="250" t="s">
        <v>2423</v>
      </c>
      <c r="C13" s="246"/>
      <c r="D13" s="1022"/>
      <c r="E13" s="253"/>
      <c r="F13" s="253"/>
      <c r="G13" s="254"/>
    </row>
    <row r="14" spans="1:8" s="249" customFormat="1" ht="13.5" hidden="1" customHeight="1">
      <c r="A14" s="262" t="s">
        <v>10</v>
      </c>
      <c r="B14" s="250" t="s">
        <v>2335</v>
      </c>
      <c r="C14" s="246"/>
      <c r="D14" s="1022"/>
      <c r="E14" s="253"/>
      <c r="F14" s="253"/>
      <c r="G14" s="254" t="s">
        <v>2424</v>
      </c>
    </row>
    <row r="15" spans="1:8" s="249" customFormat="1" ht="13.5" hidden="1" customHeight="1">
      <c r="A15" s="262" t="s">
        <v>11</v>
      </c>
      <c r="B15" s="250" t="s">
        <v>2425</v>
      </c>
      <c r="C15" s="255"/>
      <c r="D15" s="1022"/>
      <c r="E15" s="253"/>
      <c r="F15" s="253"/>
      <c r="G15" s="254" t="s">
        <v>2426</v>
      </c>
    </row>
    <row r="16" spans="1:8" s="249" customFormat="1" ht="13.5" hidden="1" customHeight="1">
      <c r="A16" s="262" t="s">
        <v>12</v>
      </c>
      <c r="B16" s="250" t="s">
        <v>2335</v>
      </c>
      <c r="C16" s="255"/>
      <c r="D16" s="1022"/>
      <c r="E16" s="253"/>
      <c r="F16" s="253"/>
      <c r="G16" s="254"/>
    </row>
    <row r="17" spans="1:7" s="249" customFormat="1" ht="13.5" hidden="1" customHeight="1">
      <c r="A17" s="262" t="s">
        <v>13</v>
      </c>
      <c r="B17" s="250" t="s">
        <v>2427</v>
      </c>
      <c r="C17" s="264"/>
      <c r="D17" s="1023"/>
      <c r="E17" s="264"/>
      <c r="F17" s="264"/>
      <c r="G17" s="254" t="s">
        <v>2426</v>
      </c>
    </row>
    <row r="18" spans="1:7" s="249" customFormat="1" ht="13.5" hidden="1" customHeight="1">
      <c r="A18" s="262" t="s">
        <v>14</v>
      </c>
      <c r="B18" s="250" t="s">
        <v>2428</v>
      </c>
      <c r="C18" s="255">
        <v>0</v>
      </c>
      <c r="D18" s="1022"/>
      <c r="E18" s="253"/>
      <c r="F18" s="256">
        <v>3.0499999999999999E-2</v>
      </c>
      <c r="G18" s="254" t="s">
        <v>2429</v>
      </c>
    </row>
    <row r="19" spans="1:7" s="258" customFormat="1" ht="13.5" customHeight="1">
      <c r="A19" s="290" t="s">
        <v>2430</v>
      </c>
      <c r="B19" s="245" t="s">
        <v>2431</v>
      </c>
      <c r="C19" s="246">
        <f ca="1">IF(G19="已包含在土地取得成本中","0",ROUND(D19*E19,0))</f>
        <v>4085722</v>
      </c>
      <c r="D19" s="1024">
        <f ca="1">D9+D10</f>
        <v>20428.607999999997</v>
      </c>
      <c r="E19" s="246">
        <f>'数据-取费表'!B31</f>
        <v>200</v>
      </c>
      <c r="F19" s="266"/>
      <c r="G19" s="2540"/>
    </row>
    <row r="20" spans="1:7" s="249" customFormat="1" ht="13.5" customHeight="1">
      <c r="A20" s="290" t="s">
        <v>2432</v>
      </c>
      <c r="B20" s="245" t="s">
        <v>2433</v>
      </c>
      <c r="C20" s="267">
        <f ca="1">ROUND((C5+C19)*F20,0)</f>
        <v>93972</v>
      </c>
      <c r="D20" s="267"/>
      <c r="E20" s="267"/>
      <c r="F20" s="268">
        <f>'数据-取费表'!B37</f>
        <v>0.02</v>
      </c>
      <c r="G20" s="269" t="s">
        <v>2434</v>
      </c>
    </row>
    <row r="21" spans="1:7" s="249" customFormat="1" ht="13.5" customHeight="1">
      <c r="A21" s="290" t="s">
        <v>2435</v>
      </c>
      <c r="B21" s="245" t="s">
        <v>2436</v>
      </c>
      <c r="C21" s="270">
        <f>F21</f>
        <v>1.4999999999999999E-2</v>
      </c>
      <c r="D21" s="271" t="s">
        <v>2437</v>
      </c>
      <c r="E21" s="267"/>
      <c r="F21" s="268">
        <f>'数据-取费表'!B38</f>
        <v>1.4999999999999999E-2</v>
      </c>
      <c r="G21" s="269" t="s">
        <v>2438</v>
      </c>
    </row>
    <row r="22" spans="1:7" s="249" customFormat="1" ht="13.5" customHeight="1">
      <c r="A22" s="290" t="s">
        <v>2439</v>
      </c>
      <c r="B22" s="245" t="s">
        <v>2440</v>
      </c>
      <c r="C22" s="1368">
        <f ca="1">ROUND(SUM(C23:C25),0)</f>
        <v>461430</v>
      </c>
      <c r="D22" s="270">
        <f ca="1">C26</f>
        <v>6.9999999999999999E-4</v>
      </c>
      <c r="E22" s="271" t="s">
        <v>2437</v>
      </c>
      <c r="F22" s="272">
        <f ca="1">'数据-取费表'!B40</f>
        <v>4.7500000000000001E-2</v>
      </c>
      <c r="G22" s="269" t="str">
        <f>IF('数据-取费表'!B22&lt;=1,"单利计息","复利计息")</f>
        <v>复利计息</v>
      </c>
    </row>
    <row r="23" spans="1:7" s="249" customFormat="1" ht="13.5" customHeight="1">
      <c r="A23" s="940" t="s">
        <v>2330</v>
      </c>
      <c r="B23" s="250" t="s">
        <v>2441</v>
      </c>
      <c r="C23" s="1369">
        <f ca="1">ROUND(IF('数据-取费表'!B22&lt;=1,C5*F22*'数据-取费表'!B22,C5*(POWER((1+F22),'数据-取费表'!B22)-1)),0)</f>
        <v>59604</v>
      </c>
      <c r="D23" s="273"/>
      <c r="E23" s="273"/>
      <c r="F23" s="274"/>
      <c r="G23" s="275" t="s">
        <v>2442</v>
      </c>
    </row>
    <row r="24" spans="1:7" s="249" customFormat="1" ht="13.5" customHeight="1">
      <c r="A24" s="940" t="s">
        <v>2332</v>
      </c>
      <c r="B24" s="250" t="s">
        <v>2443</v>
      </c>
      <c r="C24" s="1369">
        <f ca="1">ROUND(IF('数据-取费表'!B22&lt;=1,C19*F22*('数据-取费表'!B19/2+'数据-取费表'!B20),C19*(POWER((1+F22),('数据-取费表'!B19/2+'数据-取费表'!B20))-1)),0)</f>
        <v>397362</v>
      </c>
      <c r="D24" s="273"/>
      <c r="E24" s="273"/>
      <c r="F24" s="274"/>
      <c r="G24" s="275" t="s">
        <v>2444</v>
      </c>
    </row>
    <row r="25" spans="1:7" s="249" customFormat="1" ht="24">
      <c r="A25" s="940" t="s">
        <v>2334</v>
      </c>
      <c r="B25" s="250" t="s">
        <v>2445</v>
      </c>
      <c r="C25" s="1369">
        <f ca="1">ROUND(IF('数据-取费表'!B22&lt;=1,C20*F22*'数据-取费表'!B22/2,C20*(POWER((1+F22),'数据-取费表'!B22/2)-1)),0)</f>
        <v>4464</v>
      </c>
      <c r="D25" s="273"/>
      <c r="E25" s="276"/>
      <c r="F25" s="274"/>
      <c r="G25" s="277" t="s">
        <v>2446</v>
      </c>
    </row>
    <row r="26" spans="1:7" s="249" customFormat="1">
      <c r="A26" s="940" t="s">
        <v>795</v>
      </c>
      <c r="B26" s="250" t="s">
        <v>2369</v>
      </c>
      <c r="C26" s="273">
        <f ca="1">ROUND(IF('数据-取费表'!B22&lt;=1,F21*F22*'数据-取费表'!B22/2,F21*(POWER((1+F22),'数据-取费表'!B22/2)-1)),4)</f>
        <v>6.9999999999999999E-4</v>
      </c>
      <c r="D26" s="273"/>
      <c r="E26" s="276"/>
      <c r="F26" s="274"/>
      <c r="G26" s="278"/>
    </row>
    <row r="27" spans="1:7" s="249" customFormat="1" ht="24.75">
      <c r="A27" s="290" t="s">
        <v>2370</v>
      </c>
      <c r="B27" s="279" t="s">
        <v>2371</v>
      </c>
      <c r="C27" s="280">
        <f ca="1">C28</f>
        <v>718883</v>
      </c>
      <c r="D27" s="270">
        <f ca="1">C29</f>
        <v>2.3E-3</v>
      </c>
      <c r="E27" s="271" t="s">
        <v>2372</v>
      </c>
      <c r="F27" s="281">
        <f ca="1">IF(B1="",'数据-取费表'!Q16,INDIRECT("'数据-取费表'!q"&amp;$G$1))</f>
        <v>0.15</v>
      </c>
      <c r="G27" s="282" t="s">
        <v>2373</v>
      </c>
    </row>
    <row r="28" spans="1:7" s="249" customFormat="1" ht="13.5" customHeight="1">
      <c r="A28" s="940" t="s">
        <v>791</v>
      </c>
      <c r="B28" s="283" t="s">
        <v>2374</v>
      </c>
      <c r="C28" s="284">
        <f ca="1">ROUND((C5+C19+C20)*F27,0)</f>
        <v>718883</v>
      </c>
      <c r="D28" s="270"/>
      <c r="E28" s="271"/>
      <c r="F28" s="281"/>
      <c r="G28" s="282"/>
    </row>
    <row r="29" spans="1:7" s="249" customFormat="1" ht="13.5" customHeight="1">
      <c r="A29" s="940" t="s">
        <v>792</v>
      </c>
      <c r="B29" s="283" t="s">
        <v>2375</v>
      </c>
      <c r="C29" s="273">
        <f ca="1">ROUND(C21*F27,4)</f>
        <v>2.3E-3</v>
      </c>
      <c r="D29" s="270"/>
      <c r="E29" s="271"/>
      <c r="F29" s="281"/>
      <c r="G29" s="282"/>
    </row>
    <row r="30" spans="1:7" s="249" customFormat="1" ht="13.5" customHeight="1">
      <c r="A30" s="290" t="s">
        <v>2376</v>
      </c>
      <c r="B30" s="245" t="s">
        <v>2377</v>
      </c>
      <c r="C30" s="270">
        <f>ROUND(F30/(1+'数据-取费表'!C42),4)</f>
        <v>5.33E-2</v>
      </c>
      <c r="D30" s="271" t="s">
        <v>2372</v>
      </c>
      <c r="E30" s="276"/>
      <c r="F30" s="272">
        <f>'数据-取费表'!B41</f>
        <v>5.6000000000000001E-2</v>
      </c>
      <c r="G30" s="269" t="s">
        <v>2378</v>
      </c>
    </row>
    <row r="31" spans="1:7" ht="16.5" customHeight="1">
      <c r="A31" s="244">
        <v>1</v>
      </c>
      <c r="B31" s="245" t="s">
        <v>2379</v>
      </c>
      <c r="C31" s="246">
        <f ca="1">ROUND((C5+C19+C20+C22+C27)/(1-C21-D22-D27-C30),0)</f>
        <v>6431426</v>
      </c>
      <c r="D31" s="265"/>
      <c r="E31" s="246"/>
      <c r="F31" s="285"/>
      <c r="G31" s="269" t="s">
        <v>2380</v>
      </c>
    </row>
    <row r="32" spans="1:7" s="243" customFormat="1" ht="15.75">
      <c r="A32" s="287" t="s">
        <v>2447</v>
      </c>
      <c r="B32" s="288"/>
      <c r="C32" s="288"/>
      <c r="D32" s="288"/>
      <c r="E32" s="288"/>
      <c r="F32" s="288"/>
      <c r="G32" s="289"/>
    </row>
    <row r="33" spans="1:7" s="249" customFormat="1" ht="13.5" customHeight="1">
      <c r="A33" s="290" t="s">
        <v>782</v>
      </c>
      <c r="B33" s="245" t="s">
        <v>2448</v>
      </c>
      <c r="C33" s="291">
        <f ca="1">SUM(C34:C38)</f>
        <v>63859829</v>
      </c>
      <c r="D33" s="267"/>
      <c r="E33" s="247"/>
      <c r="F33" s="276"/>
      <c r="G33" s="269"/>
    </row>
    <row r="34" spans="1:7" s="293" customFormat="1" ht="13.5" customHeight="1">
      <c r="A34" s="940" t="s">
        <v>791</v>
      </c>
      <c r="B34" s="250" t="s">
        <v>2383</v>
      </c>
      <c r="C34" s="255">
        <f ca="1">ROUND(IF(B1="",SUMPRODUCT('数据-取费表'!K6:K14,'数据-取费表'!L6:L14),INDIRECT("'数据-取费表'!l"&amp;$G$1)*INDIRECT("'数据-取费表'!k"&amp;$G$1)+'数据-取费表'!L14*INDIRECT("'数据-取费表'!S"&amp;$G$1)),0)</f>
        <v>57200102</v>
      </c>
      <c r="D34" s="252"/>
      <c r="E34" s="255"/>
      <c r="F34" s="292"/>
      <c r="G34" s="254"/>
    </row>
    <row r="35" spans="1:7" ht="13.5" customHeight="1">
      <c r="A35" s="940" t="s">
        <v>796</v>
      </c>
      <c r="B35" s="250" t="s">
        <v>2385</v>
      </c>
      <c r="C35" s="255">
        <f ca="1">ROUND(C34*F35,0)</f>
        <v>1716003</v>
      </c>
      <c r="D35" s="255"/>
      <c r="E35" s="255"/>
      <c r="F35" s="294">
        <f>'数据-取费表'!B33</f>
        <v>0.03</v>
      </c>
      <c r="G35" s="254" t="s">
        <v>2386</v>
      </c>
    </row>
    <row r="36" spans="1:7" ht="24">
      <c r="A36" s="940" t="s">
        <v>797</v>
      </c>
      <c r="B36" s="250" t="s">
        <v>2387</v>
      </c>
      <c r="C36" s="255">
        <f ca="1">ROUND(IF(B1="",SUM('数据-取费表'!AP6:AP13)*F36,IF(INDIRECT("'数据-取费表'!c"&amp;$G$1)="住宅",INDIRECT("'数据-取费表'!k"&amp;$G$1)*INDIRECT("'数据-取费表'!l"&amp;$G$1)*F36,0)),0)</f>
        <v>0</v>
      </c>
      <c r="D36" s="255"/>
      <c r="E36" s="255"/>
      <c r="F36" s="294">
        <f>'数据-取费表'!B34</f>
        <v>0</v>
      </c>
      <c r="G36" s="295" t="s">
        <v>2388</v>
      </c>
    </row>
    <row r="37" spans="1:7" s="293" customFormat="1" ht="13.5" customHeight="1">
      <c r="A37" s="940" t="s">
        <v>798</v>
      </c>
      <c r="B37" s="250" t="s">
        <v>2389</v>
      </c>
      <c r="C37" s="284">
        <f ca="1">ROUND(E37*D37,0)</f>
        <v>4085722</v>
      </c>
      <c r="D37" s="252">
        <f ca="1">D19</f>
        <v>20428.607999999997</v>
      </c>
      <c r="E37" s="284">
        <f>'数据-取费表'!B35</f>
        <v>200</v>
      </c>
      <c r="F37" s="294"/>
      <c r="G37" s="296"/>
    </row>
    <row r="38" spans="1:7" ht="13.5" customHeight="1">
      <c r="A38" s="940" t="s">
        <v>799</v>
      </c>
      <c r="B38" s="250" t="s">
        <v>2391</v>
      </c>
      <c r="C38" s="255">
        <f ca="1">ROUND(C34*F38,0)</f>
        <v>858002</v>
      </c>
      <c r="D38" s="255"/>
      <c r="E38" s="255"/>
      <c r="F38" s="294">
        <f>'数据-取费表'!B36</f>
        <v>1.4999999999999999E-2</v>
      </c>
      <c r="G38" s="254" t="s">
        <v>2386</v>
      </c>
    </row>
    <row r="39" spans="1:7" s="249" customFormat="1" ht="13.5" customHeight="1">
      <c r="A39" s="290" t="s">
        <v>2392</v>
      </c>
      <c r="B39" s="245" t="s">
        <v>2393</v>
      </c>
      <c r="C39" s="267">
        <f ca="1">ROUND(C33*F20,0)</f>
        <v>1277197</v>
      </c>
      <c r="D39" s="267"/>
      <c r="E39" s="267"/>
      <c r="F39" s="268"/>
      <c r="G39" s="269" t="s">
        <v>2394</v>
      </c>
    </row>
    <row r="40" spans="1:7" s="249" customFormat="1" ht="13.5" customHeight="1">
      <c r="A40" s="290" t="s">
        <v>2395</v>
      </c>
      <c r="B40" s="245" t="s">
        <v>2396</v>
      </c>
      <c r="C40" s="1715">
        <f>F21</f>
        <v>1.4999999999999999E-2</v>
      </c>
      <c r="D40" s="271" t="s">
        <v>2397</v>
      </c>
      <c r="E40" s="267"/>
      <c r="F40" s="268"/>
      <c r="G40" s="269" t="s">
        <v>2398</v>
      </c>
    </row>
    <row r="41" spans="1:7" s="249" customFormat="1" ht="13.5" customHeight="1">
      <c r="A41" s="290" t="s">
        <v>2399</v>
      </c>
      <c r="B41" s="245" t="s">
        <v>2400</v>
      </c>
      <c r="C41" s="267">
        <f ca="1">ROUND(SUM(C42:C43),0)</f>
        <v>3094009</v>
      </c>
      <c r="D41" s="270">
        <f ca="1">C44</f>
        <v>6.9999999999999999E-4</v>
      </c>
      <c r="E41" s="271" t="s">
        <v>2397</v>
      </c>
      <c r="F41" s="272"/>
      <c r="G41" s="269" t="str">
        <f>IF('数据-取费表'!B22&lt;=1,"单利计息","复利计息")</f>
        <v>复利计息</v>
      </c>
    </row>
    <row r="42" spans="1:7" ht="13.5" customHeight="1">
      <c r="A42" s="940" t="s">
        <v>791</v>
      </c>
      <c r="B42" s="250" t="s">
        <v>2401</v>
      </c>
      <c r="C42" s="273">
        <f ca="1">ROUND(IF('数据-取费表'!B22&lt;=1,C33*F22*'数据-取费表'!B20/2,C33*(POWER((1+F22),'数据-取费表'!B20/2)-1)),0)</f>
        <v>3033342</v>
      </c>
      <c r="D42" s="273"/>
      <c r="E42" s="273"/>
      <c r="F42" s="274"/>
      <c r="G42" s="3265" t="s">
        <v>2449</v>
      </c>
    </row>
    <row r="43" spans="1:7" ht="13.5" customHeight="1">
      <c r="A43" s="940" t="s">
        <v>792</v>
      </c>
      <c r="B43" s="250" t="s">
        <v>2403</v>
      </c>
      <c r="C43" s="273">
        <f ca="1">ROUND(IF('数据-取费表'!B22&lt;=1,C39*F22*'数据-取费表'!B20/2,C39*(POWER((1+F22),'数据-取费表'!B20/2)-1)),0)</f>
        <v>60667</v>
      </c>
      <c r="D43" s="273"/>
      <c r="E43" s="273"/>
      <c r="F43" s="274"/>
      <c r="G43" s="3266"/>
    </row>
    <row r="44" spans="1:7" ht="13.5" customHeight="1">
      <c r="A44" s="940" t="s">
        <v>793</v>
      </c>
      <c r="B44" s="250" t="s">
        <v>2404</v>
      </c>
      <c r="C44" s="273">
        <f ca="1">ROUND(IF('数据-取费表'!B22&lt;=1,C40*F22*'数据-取费表'!B20/2,C40*(POWER((1+F22),'数据-取费表'!B20/2)-1)),4)</f>
        <v>6.9999999999999999E-4</v>
      </c>
      <c r="D44" s="273"/>
      <c r="E44" s="273"/>
      <c r="F44" s="274"/>
      <c r="G44" s="3267"/>
    </row>
    <row r="45" spans="1:7" s="249" customFormat="1" ht="13.5" customHeight="1">
      <c r="A45" s="290" t="s">
        <v>2405</v>
      </c>
      <c r="B45" s="279" t="s">
        <v>2371</v>
      </c>
      <c r="C45" s="280">
        <f ca="1">C46</f>
        <v>9770554</v>
      </c>
      <c r="D45" s="270">
        <f ca="1">C47</f>
        <v>2.3E-3</v>
      </c>
      <c r="E45" s="271" t="s">
        <v>2397</v>
      </c>
      <c r="F45" s="281"/>
      <c r="G45" s="282" t="s">
        <v>2406</v>
      </c>
    </row>
    <row r="46" spans="1:7" s="249" customFormat="1" ht="13.5" customHeight="1">
      <c r="A46" s="940" t="s">
        <v>791</v>
      </c>
      <c r="B46" s="283" t="s">
        <v>2407</v>
      </c>
      <c r="C46" s="284">
        <f ca="1">ROUND((C33+C39)*F27,0)</f>
        <v>9770554</v>
      </c>
      <c r="D46" s="298"/>
      <c r="E46" s="271"/>
      <c r="F46" s="281"/>
      <c r="G46" s="282"/>
    </row>
    <row r="47" spans="1:7" s="249" customFormat="1" ht="13.5" customHeight="1">
      <c r="A47" s="940" t="s">
        <v>792</v>
      </c>
      <c r="B47" s="283" t="s">
        <v>2408</v>
      </c>
      <c r="C47" s="273">
        <f ca="1">ROUND(C40*F27,4)</f>
        <v>2.3E-3</v>
      </c>
      <c r="D47" s="298"/>
      <c r="E47" s="271"/>
      <c r="F47" s="281"/>
      <c r="G47" s="282"/>
    </row>
    <row r="48" spans="1:7" s="249" customFormat="1" ht="13.5" customHeight="1">
      <c r="A48" s="290" t="s">
        <v>2370</v>
      </c>
      <c r="B48" s="245" t="s">
        <v>2409</v>
      </c>
      <c r="C48" s="297">
        <f>ROUND(F30/(1+'数据-取费表'!C42),4)</f>
        <v>5.33E-2</v>
      </c>
      <c r="D48" s="271" t="s">
        <v>2397</v>
      </c>
      <c r="E48" s="267"/>
      <c r="F48" s="272"/>
      <c r="G48" s="269" t="s">
        <v>2410</v>
      </c>
    </row>
    <row r="49" spans="1:7" ht="16.5" customHeight="1">
      <c r="A49" s="290" t="s">
        <v>2376</v>
      </c>
      <c r="B49" s="245" t="s">
        <v>2450</v>
      </c>
      <c r="C49" s="267">
        <f ca="1">ROUND((C33+C39+C41+C45)/(1-C40-D41-D45-C48),0)</f>
        <v>83990082</v>
      </c>
      <c r="D49" s="267"/>
      <c r="E49" s="267"/>
      <c r="F49" s="299"/>
      <c r="G49" s="269" t="s">
        <v>2412</v>
      </c>
    </row>
    <row r="50" spans="1:7" s="293" customFormat="1">
      <c r="A50" s="290" t="s">
        <v>2413</v>
      </c>
      <c r="B50" s="245" t="s">
        <v>2414</v>
      </c>
      <c r="C50" s="267"/>
      <c r="D50" s="267"/>
      <c r="E50" s="267"/>
      <c r="F50" s="299">
        <f>IF('数据-取费表'!B24=0,'数据-取费表'!N16,1)</f>
        <v>1</v>
      </c>
      <c r="G50" s="282"/>
    </row>
    <row r="51" spans="1:7" ht="16.5" customHeight="1">
      <c r="A51" s="290" t="s">
        <v>2416</v>
      </c>
      <c r="B51" s="245" t="s">
        <v>2451</v>
      </c>
      <c r="C51" s="267">
        <f ca="1">ROUND(C49*F50,0)</f>
        <v>83990082</v>
      </c>
      <c r="D51" s="267"/>
      <c r="E51" s="267"/>
      <c r="F51" s="299"/>
      <c r="G51" s="269" t="s">
        <v>2418</v>
      </c>
    </row>
    <row r="52" spans="1:7" s="243" customFormat="1" ht="16.5" thickBot="1">
      <c r="A52" s="300" t="s">
        <v>2419</v>
      </c>
      <c r="B52" s="301"/>
      <c r="C52" s="302">
        <f ca="1">C31+C51</f>
        <v>90421508</v>
      </c>
      <c r="D52" s="301"/>
      <c r="E52" s="301"/>
      <c r="F52" s="301"/>
      <c r="G52" s="303"/>
    </row>
    <row r="55" spans="1:7" ht="15">
      <c r="B55" s="305" t="s">
        <v>2420</v>
      </c>
      <c r="C55" s="306"/>
    </row>
    <row r="56" spans="1:7">
      <c r="B56" s="308" t="s">
        <v>1513</v>
      </c>
      <c r="C56" s="310">
        <f ca="1">1-C57</f>
        <v>7.0999999999999952E-2</v>
      </c>
    </row>
    <row r="57" spans="1:7">
      <c r="B57" s="308" t="s">
        <v>1514</v>
      </c>
      <c r="C57" s="309">
        <f ca="1">ROUND(C51/C52,3)</f>
        <v>0.92900000000000005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20"/>
  <sheetViews>
    <sheetView workbookViewId="0">
      <selection activeCell="M27" sqref="M27"/>
    </sheetView>
  </sheetViews>
  <sheetFormatPr defaultRowHeight="12.75"/>
  <cols>
    <col min="1" max="1" width="27.75" style="3061" customWidth="1"/>
    <col min="2" max="2" width="16.125" style="3061" hidden="1" customWidth="1"/>
    <col min="3" max="3" width="11.75" style="3061" hidden="1" customWidth="1"/>
    <col min="4" max="4" width="9.625" style="3061" customWidth="1"/>
    <col min="5" max="5" width="8.75" style="3061" customWidth="1"/>
    <col min="6" max="6" width="8.375" style="3061" customWidth="1"/>
    <col min="7" max="7" width="7.875" style="3061" customWidth="1"/>
    <col min="8" max="8" width="9" style="3061" customWidth="1"/>
    <col min="9" max="9" width="7.625" style="3061" customWidth="1"/>
    <col min="10" max="10" width="8.625" style="3061" customWidth="1"/>
    <col min="11" max="11" width="11.75" style="3061" customWidth="1"/>
    <col min="12" max="12" width="6.25" style="3061" customWidth="1"/>
    <col min="13" max="13" width="22.75" style="3061" customWidth="1"/>
    <col min="14" max="14" width="7.875" style="3061" customWidth="1"/>
    <col min="15" max="256" width="9" style="3061"/>
    <col min="257" max="257" width="27.75" style="3061" customWidth="1"/>
    <col min="258" max="258" width="16.125" style="3061" customWidth="1"/>
    <col min="259" max="259" width="11.75" style="3061" customWidth="1"/>
    <col min="260" max="261" width="13.875" style="3061" customWidth="1"/>
    <col min="262" max="262" width="8.375" style="3061" customWidth="1"/>
    <col min="263" max="263" width="7.875" style="3061" customWidth="1"/>
    <col min="264" max="264" width="9" style="3061" customWidth="1"/>
    <col min="265" max="266" width="10.625" style="3061" customWidth="1"/>
    <col min="267" max="267" width="14.375" style="3061" customWidth="1"/>
    <col min="268" max="268" width="6.25" style="3061" customWidth="1"/>
    <col min="269" max="269" width="22.75" style="3061" customWidth="1"/>
    <col min="270" max="270" width="7.875" style="3061" customWidth="1"/>
    <col min="271" max="512" width="9" style="3061"/>
    <col min="513" max="513" width="27.75" style="3061" customWidth="1"/>
    <col min="514" max="514" width="16.125" style="3061" customWidth="1"/>
    <col min="515" max="515" width="11.75" style="3061" customWidth="1"/>
    <col min="516" max="517" width="13.875" style="3061" customWidth="1"/>
    <col min="518" max="518" width="8.375" style="3061" customWidth="1"/>
    <col min="519" max="519" width="7.875" style="3061" customWidth="1"/>
    <col min="520" max="520" width="9" style="3061" customWidth="1"/>
    <col min="521" max="522" width="10.625" style="3061" customWidth="1"/>
    <col min="523" max="523" width="14.375" style="3061" customWidth="1"/>
    <col min="524" max="524" width="6.25" style="3061" customWidth="1"/>
    <col min="525" max="525" width="22.75" style="3061" customWidth="1"/>
    <col min="526" max="526" width="7.875" style="3061" customWidth="1"/>
    <col min="527" max="768" width="9" style="3061"/>
    <col min="769" max="769" width="27.75" style="3061" customWidth="1"/>
    <col min="770" max="770" width="16.125" style="3061" customWidth="1"/>
    <col min="771" max="771" width="11.75" style="3061" customWidth="1"/>
    <col min="772" max="773" width="13.875" style="3061" customWidth="1"/>
    <col min="774" max="774" width="8.375" style="3061" customWidth="1"/>
    <col min="775" max="775" width="7.875" style="3061" customWidth="1"/>
    <col min="776" max="776" width="9" style="3061" customWidth="1"/>
    <col min="777" max="778" width="10.625" style="3061" customWidth="1"/>
    <col min="779" max="779" width="14.375" style="3061" customWidth="1"/>
    <col min="780" max="780" width="6.25" style="3061" customWidth="1"/>
    <col min="781" max="781" width="22.75" style="3061" customWidth="1"/>
    <col min="782" max="782" width="7.875" style="3061" customWidth="1"/>
    <col min="783" max="1024" width="9" style="3061"/>
    <col min="1025" max="1025" width="27.75" style="3061" customWidth="1"/>
    <col min="1026" max="1026" width="16.125" style="3061" customWidth="1"/>
    <col min="1027" max="1027" width="11.75" style="3061" customWidth="1"/>
    <col min="1028" max="1029" width="13.875" style="3061" customWidth="1"/>
    <col min="1030" max="1030" width="8.375" style="3061" customWidth="1"/>
    <col min="1031" max="1031" width="7.875" style="3061" customWidth="1"/>
    <col min="1032" max="1032" width="9" style="3061" customWidth="1"/>
    <col min="1033" max="1034" width="10.625" style="3061" customWidth="1"/>
    <col min="1035" max="1035" width="14.375" style="3061" customWidth="1"/>
    <col min="1036" max="1036" width="6.25" style="3061" customWidth="1"/>
    <col min="1037" max="1037" width="22.75" style="3061" customWidth="1"/>
    <col min="1038" max="1038" width="7.875" style="3061" customWidth="1"/>
    <col min="1039" max="1280" width="9" style="3061"/>
    <col min="1281" max="1281" width="27.75" style="3061" customWidth="1"/>
    <col min="1282" max="1282" width="16.125" style="3061" customWidth="1"/>
    <col min="1283" max="1283" width="11.75" style="3061" customWidth="1"/>
    <col min="1284" max="1285" width="13.875" style="3061" customWidth="1"/>
    <col min="1286" max="1286" width="8.375" style="3061" customWidth="1"/>
    <col min="1287" max="1287" width="7.875" style="3061" customWidth="1"/>
    <col min="1288" max="1288" width="9" style="3061" customWidth="1"/>
    <col min="1289" max="1290" width="10.625" style="3061" customWidth="1"/>
    <col min="1291" max="1291" width="14.375" style="3061" customWidth="1"/>
    <col min="1292" max="1292" width="6.25" style="3061" customWidth="1"/>
    <col min="1293" max="1293" width="22.75" style="3061" customWidth="1"/>
    <col min="1294" max="1294" width="7.875" style="3061" customWidth="1"/>
    <col min="1295" max="1536" width="9" style="3061"/>
    <col min="1537" max="1537" width="27.75" style="3061" customWidth="1"/>
    <col min="1538" max="1538" width="16.125" style="3061" customWidth="1"/>
    <col min="1539" max="1539" width="11.75" style="3061" customWidth="1"/>
    <col min="1540" max="1541" width="13.875" style="3061" customWidth="1"/>
    <col min="1542" max="1542" width="8.375" style="3061" customWidth="1"/>
    <col min="1543" max="1543" width="7.875" style="3061" customWidth="1"/>
    <col min="1544" max="1544" width="9" style="3061" customWidth="1"/>
    <col min="1545" max="1546" width="10.625" style="3061" customWidth="1"/>
    <col min="1547" max="1547" width="14.375" style="3061" customWidth="1"/>
    <col min="1548" max="1548" width="6.25" style="3061" customWidth="1"/>
    <col min="1549" max="1549" width="22.75" style="3061" customWidth="1"/>
    <col min="1550" max="1550" width="7.875" style="3061" customWidth="1"/>
    <col min="1551" max="1792" width="9" style="3061"/>
    <col min="1793" max="1793" width="27.75" style="3061" customWidth="1"/>
    <col min="1794" max="1794" width="16.125" style="3061" customWidth="1"/>
    <col min="1795" max="1795" width="11.75" style="3061" customWidth="1"/>
    <col min="1796" max="1797" width="13.875" style="3061" customWidth="1"/>
    <col min="1798" max="1798" width="8.375" style="3061" customWidth="1"/>
    <col min="1799" max="1799" width="7.875" style="3061" customWidth="1"/>
    <col min="1800" max="1800" width="9" style="3061" customWidth="1"/>
    <col min="1801" max="1802" width="10.625" style="3061" customWidth="1"/>
    <col min="1803" max="1803" width="14.375" style="3061" customWidth="1"/>
    <col min="1804" max="1804" width="6.25" style="3061" customWidth="1"/>
    <col min="1805" max="1805" width="22.75" style="3061" customWidth="1"/>
    <col min="1806" max="1806" width="7.875" style="3061" customWidth="1"/>
    <col min="1807" max="2048" width="9" style="3061"/>
    <col min="2049" max="2049" width="27.75" style="3061" customWidth="1"/>
    <col min="2050" max="2050" width="16.125" style="3061" customWidth="1"/>
    <col min="2051" max="2051" width="11.75" style="3061" customWidth="1"/>
    <col min="2052" max="2053" width="13.875" style="3061" customWidth="1"/>
    <col min="2054" max="2054" width="8.375" style="3061" customWidth="1"/>
    <col min="2055" max="2055" width="7.875" style="3061" customWidth="1"/>
    <col min="2056" max="2056" width="9" style="3061" customWidth="1"/>
    <col min="2057" max="2058" width="10.625" style="3061" customWidth="1"/>
    <col min="2059" max="2059" width="14.375" style="3061" customWidth="1"/>
    <col min="2060" max="2060" width="6.25" style="3061" customWidth="1"/>
    <col min="2061" max="2061" width="22.75" style="3061" customWidth="1"/>
    <col min="2062" max="2062" width="7.875" style="3061" customWidth="1"/>
    <col min="2063" max="2304" width="9" style="3061"/>
    <col min="2305" max="2305" width="27.75" style="3061" customWidth="1"/>
    <col min="2306" max="2306" width="16.125" style="3061" customWidth="1"/>
    <col min="2307" max="2307" width="11.75" style="3061" customWidth="1"/>
    <col min="2308" max="2309" width="13.875" style="3061" customWidth="1"/>
    <col min="2310" max="2310" width="8.375" style="3061" customWidth="1"/>
    <col min="2311" max="2311" width="7.875" style="3061" customWidth="1"/>
    <col min="2312" max="2312" width="9" style="3061" customWidth="1"/>
    <col min="2313" max="2314" width="10.625" style="3061" customWidth="1"/>
    <col min="2315" max="2315" width="14.375" style="3061" customWidth="1"/>
    <col min="2316" max="2316" width="6.25" style="3061" customWidth="1"/>
    <col min="2317" max="2317" width="22.75" style="3061" customWidth="1"/>
    <col min="2318" max="2318" width="7.875" style="3061" customWidth="1"/>
    <col min="2319" max="2560" width="9" style="3061"/>
    <col min="2561" max="2561" width="27.75" style="3061" customWidth="1"/>
    <col min="2562" max="2562" width="16.125" style="3061" customWidth="1"/>
    <col min="2563" max="2563" width="11.75" style="3061" customWidth="1"/>
    <col min="2564" max="2565" width="13.875" style="3061" customWidth="1"/>
    <col min="2566" max="2566" width="8.375" style="3061" customWidth="1"/>
    <col min="2567" max="2567" width="7.875" style="3061" customWidth="1"/>
    <col min="2568" max="2568" width="9" style="3061" customWidth="1"/>
    <col min="2569" max="2570" width="10.625" style="3061" customWidth="1"/>
    <col min="2571" max="2571" width="14.375" style="3061" customWidth="1"/>
    <col min="2572" max="2572" width="6.25" style="3061" customWidth="1"/>
    <col min="2573" max="2573" width="22.75" style="3061" customWidth="1"/>
    <col min="2574" max="2574" width="7.875" style="3061" customWidth="1"/>
    <col min="2575" max="2816" width="9" style="3061"/>
    <col min="2817" max="2817" width="27.75" style="3061" customWidth="1"/>
    <col min="2818" max="2818" width="16.125" style="3061" customWidth="1"/>
    <col min="2819" max="2819" width="11.75" style="3061" customWidth="1"/>
    <col min="2820" max="2821" width="13.875" style="3061" customWidth="1"/>
    <col min="2822" max="2822" width="8.375" style="3061" customWidth="1"/>
    <col min="2823" max="2823" width="7.875" style="3061" customWidth="1"/>
    <col min="2824" max="2824" width="9" style="3061" customWidth="1"/>
    <col min="2825" max="2826" width="10.625" style="3061" customWidth="1"/>
    <col min="2827" max="2827" width="14.375" style="3061" customWidth="1"/>
    <col min="2828" max="2828" width="6.25" style="3061" customWidth="1"/>
    <col min="2829" max="2829" width="22.75" style="3061" customWidth="1"/>
    <col min="2830" max="2830" width="7.875" style="3061" customWidth="1"/>
    <col min="2831" max="3072" width="9" style="3061"/>
    <col min="3073" max="3073" width="27.75" style="3061" customWidth="1"/>
    <col min="3074" max="3074" width="16.125" style="3061" customWidth="1"/>
    <col min="3075" max="3075" width="11.75" style="3061" customWidth="1"/>
    <col min="3076" max="3077" width="13.875" style="3061" customWidth="1"/>
    <col min="3078" max="3078" width="8.375" style="3061" customWidth="1"/>
    <col min="3079" max="3079" width="7.875" style="3061" customWidth="1"/>
    <col min="3080" max="3080" width="9" style="3061" customWidth="1"/>
    <col min="3081" max="3082" width="10.625" style="3061" customWidth="1"/>
    <col min="3083" max="3083" width="14.375" style="3061" customWidth="1"/>
    <col min="3084" max="3084" width="6.25" style="3061" customWidth="1"/>
    <col min="3085" max="3085" width="22.75" style="3061" customWidth="1"/>
    <col min="3086" max="3086" width="7.875" style="3061" customWidth="1"/>
    <col min="3087" max="3328" width="9" style="3061"/>
    <col min="3329" max="3329" width="27.75" style="3061" customWidth="1"/>
    <col min="3330" max="3330" width="16.125" style="3061" customWidth="1"/>
    <col min="3331" max="3331" width="11.75" style="3061" customWidth="1"/>
    <col min="3332" max="3333" width="13.875" style="3061" customWidth="1"/>
    <col min="3334" max="3334" width="8.375" style="3061" customWidth="1"/>
    <col min="3335" max="3335" width="7.875" style="3061" customWidth="1"/>
    <col min="3336" max="3336" width="9" style="3061" customWidth="1"/>
    <col min="3337" max="3338" width="10.625" style="3061" customWidth="1"/>
    <col min="3339" max="3339" width="14.375" style="3061" customWidth="1"/>
    <col min="3340" max="3340" width="6.25" style="3061" customWidth="1"/>
    <col min="3341" max="3341" width="22.75" style="3061" customWidth="1"/>
    <col min="3342" max="3342" width="7.875" style="3061" customWidth="1"/>
    <col min="3343" max="3584" width="9" style="3061"/>
    <col min="3585" max="3585" width="27.75" style="3061" customWidth="1"/>
    <col min="3586" max="3586" width="16.125" style="3061" customWidth="1"/>
    <col min="3587" max="3587" width="11.75" style="3061" customWidth="1"/>
    <col min="3588" max="3589" width="13.875" style="3061" customWidth="1"/>
    <col min="3590" max="3590" width="8.375" style="3061" customWidth="1"/>
    <col min="3591" max="3591" width="7.875" style="3061" customWidth="1"/>
    <col min="3592" max="3592" width="9" style="3061" customWidth="1"/>
    <col min="3593" max="3594" width="10.625" style="3061" customWidth="1"/>
    <col min="3595" max="3595" width="14.375" style="3061" customWidth="1"/>
    <col min="3596" max="3596" width="6.25" style="3061" customWidth="1"/>
    <col min="3597" max="3597" width="22.75" style="3061" customWidth="1"/>
    <col min="3598" max="3598" width="7.875" style="3061" customWidth="1"/>
    <col min="3599" max="3840" width="9" style="3061"/>
    <col min="3841" max="3841" width="27.75" style="3061" customWidth="1"/>
    <col min="3842" max="3842" width="16.125" style="3061" customWidth="1"/>
    <col min="3843" max="3843" width="11.75" style="3061" customWidth="1"/>
    <col min="3844" max="3845" width="13.875" style="3061" customWidth="1"/>
    <col min="3846" max="3846" width="8.375" style="3061" customWidth="1"/>
    <col min="3847" max="3847" width="7.875" style="3061" customWidth="1"/>
    <col min="3848" max="3848" width="9" style="3061" customWidth="1"/>
    <col min="3849" max="3850" width="10.625" style="3061" customWidth="1"/>
    <col min="3851" max="3851" width="14.375" style="3061" customWidth="1"/>
    <col min="3852" max="3852" width="6.25" style="3061" customWidth="1"/>
    <col min="3853" max="3853" width="22.75" style="3061" customWidth="1"/>
    <col min="3854" max="3854" width="7.875" style="3061" customWidth="1"/>
    <col min="3855" max="4096" width="9" style="3061"/>
    <col min="4097" max="4097" width="27.75" style="3061" customWidth="1"/>
    <col min="4098" max="4098" width="16.125" style="3061" customWidth="1"/>
    <col min="4099" max="4099" width="11.75" style="3061" customWidth="1"/>
    <col min="4100" max="4101" width="13.875" style="3061" customWidth="1"/>
    <col min="4102" max="4102" width="8.375" style="3061" customWidth="1"/>
    <col min="4103" max="4103" width="7.875" style="3061" customWidth="1"/>
    <col min="4104" max="4104" width="9" style="3061" customWidth="1"/>
    <col min="4105" max="4106" width="10.625" style="3061" customWidth="1"/>
    <col min="4107" max="4107" width="14.375" style="3061" customWidth="1"/>
    <col min="4108" max="4108" width="6.25" style="3061" customWidth="1"/>
    <col min="4109" max="4109" width="22.75" style="3061" customWidth="1"/>
    <col min="4110" max="4110" width="7.875" style="3061" customWidth="1"/>
    <col min="4111" max="4352" width="9" style="3061"/>
    <col min="4353" max="4353" width="27.75" style="3061" customWidth="1"/>
    <col min="4354" max="4354" width="16.125" style="3061" customWidth="1"/>
    <col min="4355" max="4355" width="11.75" style="3061" customWidth="1"/>
    <col min="4356" max="4357" width="13.875" style="3061" customWidth="1"/>
    <col min="4358" max="4358" width="8.375" style="3061" customWidth="1"/>
    <col min="4359" max="4359" width="7.875" style="3061" customWidth="1"/>
    <col min="4360" max="4360" width="9" style="3061" customWidth="1"/>
    <col min="4361" max="4362" width="10.625" style="3061" customWidth="1"/>
    <col min="4363" max="4363" width="14.375" style="3061" customWidth="1"/>
    <col min="4364" max="4364" width="6.25" style="3061" customWidth="1"/>
    <col min="4365" max="4365" width="22.75" style="3061" customWidth="1"/>
    <col min="4366" max="4366" width="7.875" style="3061" customWidth="1"/>
    <col min="4367" max="4608" width="9" style="3061"/>
    <col min="4609" max="4609" width="27.75" style="3061" customWidth="1"/>
    <col min="4610" max="4610" width="16.125" style="3061" customWidth="1"/>
    <col min="4611" max="4611" width="11.75" style="3061" customWidth="1"/>
    <col min="4612" max="4613" width="13.875" style="3061" customWidth="1"/>
    <col min="4614" max="4614" width="8.375" style="3061" customWidth="1"/>
    <col min="4615" max="4615" width="7.875" style="3061" customWidth="1"/>
    <col min="4616" max="4616" width="9" style="3061" customWidth="1"/>
    <col min="4617" max="4618" width="10.625" style="3061" customWidth="1"/>
    <col min="4619" max="4619" width="14.375" style="3061" customWidth="1"/>
    <col min="4620" max="4620" width="6.25" style="3061" customWidth="1"/>
    <col min="4621" max="4621" width="22.75" style="3061" customWidth="1"/>
    <col min="4622" max="4622" width="7.875" style="3061" customWidth="1"/>
    <col min="4623" max="4864" width="9" style="3061"/>
    <col min="4865" max="4865" width="27.75" style="3061" customWidth="1"/>
    <col min="4866" max="4866" width="16.125" style="3061" customWidth="1"/>
    <col min="4867" max="4867" width="11.75" style="3061" customWidth="1"/>
    <col min="4868" max="4869" width="13.875" style="3061" customWidth="1"/>
    <col min="4870" max="4870" width="8.375" style="3061" customWidth="1"/>
    <col min="4871" max="4871" width="7.875" style="3061" customWidth="1"/>
    <col min="4872" max="4872" width="9" style="3061" customWidth="1"/>
    <col min="4873" max="4874" width="10.625" style="3061" customWidth="1"/>
    <col min="4875" max="4875" width="14.375" style="3061" customWidth="1"/>
    <col min="4876" max="4876" width="6.25" style="3061" customWidth="1"/>
    <col min="4877" max="4877" width="22.75" style="3061" customWidth="1"/>
    <col min="4878" max="4878" width="7.875" style="3061" customWidth="1"/>
    <col min="4879" max="5120" width="9" style="3061"/>
    <col min="5121" max="5121" width="27.75" style="3061" customWidth="1"/>
    <col min="5122" max="5122" width="16.125" style="3061" customWidth="1"/>
    <col min="5123" max="5123" width="11.75" style="3061" customWidth="1"/>
    <col min="5124" max="5125" width="13.875" style="3061" customWidth="1"/>
    <col min="5126" max="5126" width="8.375" style="3061" customWidth="1"/>
    <col min="5127" max="5127" width="7.875" style="3061" customWidth="1"/>
    <col min="5128" max="5128" width="9" style="3061" customWidth="1"/>
    <col min="5129" max="5130" width="10.625" style="3061" customWidth="1"/>
    <col min="5131" max="5131" width="14.375" style="3061" customWidth="1"/>
    <col min="5132" max="5132" width="6.25" style="3061" customWidth="1"/>
    <col min="5133" max="5133" width="22.75" style="3061" customWidth="1"/>
    <col min="5134" max="5134" width="7.875" style="3061" customWidth="1"/>
    <col min="5135" max="5376" width="9" style="3061"/>
    <col min="5377" max="5377" width="27.75" style="3061" customWidth="1"/>
    <col min="5378" max="5378" width="16.125" style="3061" customWidth="1"/>
    <col min="5379" max="5379" width="11.75" style="3061" customWidth="1"/>
    <col min="5380" max="5381" width="13.875" style="3061" customWidth="1"/>
    <col min="5382" max="5382" width="8.375" style="3061" customWidth="1"/>
    <col min="5383" max="5383" width="7.875" style="3061" customWidth="1"/>
    <col min="5384" max="5384" width="9" style="3061" customWidth="1"/>
    <col min="5385" max="5386" width="10.625" style="3061" customWidth="1"/>
    <col min="5387" max="5387" width="14.375" style="3061" customWidth="1"/>
    <col min="5388" max="5388" width="6.25" style="3061" customWidth="1"/>
    <col min="5389" max="5389" width="22.75" style="3061" customWidth="1"/>
    <col min="5390" max="5390" width="7.875" style="3061" customWidth="1"/>
    <col min="5391" max="5632" width="9" style="3061"/>
    <col min="5633" max="5633" width="27.75" style="3061" customWidth="1"/>
    <col min="5634" max="5634" width="16.125" style="3061" customWidth="1"/>
    <col min="5635" max="5635" width="11.75" style="3061" customWidth="1"/>
    <col min="5636" max="5637" width="13.875" style="3061" customWidth="1"/>
    <col min="5638" max="5638" width="8.375" style="3061" customWidth="1"/>
    <col min="5639" max="5639" width="7.875" style="3061" customWidth="1"/>
    <col min="5640" max="5640" width="9" style="3061" customWidth="1"/>
    <col min="5641" max="5642" width="10.625" style="3061" customWidth="1"/>
    <col min="5643" max="5643" width="14.375" style="3061" customWidth="1"/>
    <col min="5644" max="5644" width="6.25" style="3061" customWidth="1"/>
    <col min="5645" max="5645" width="22.75" style="3061" customWidth="1"/>
    <col min="5646" max="5646" width="7.875" style="3061" customWidth="1"/>
    <col min="5647" max="5888" width="9" style="3061"/>
    <col min="5889" max="5889" width="27.75" style="3061" customWidth="1"/>
    <col min="5890" max="5890" width="16.125" style="3061" customWidth="1"/>
    <col min="5891" max="5891" width="11.75" style="3061" customWidth="1"/>
    <col min="5892" max="5893" width="13.875" style="3061" customWidth="1"/>
    <col min="5894" max="5894" width="8.375" style="3061" customWidth="1"/>
    <col min="5895" max="5895" width="7.875" style="3061" customWidth="1"/>
    <col min="5896" max="5896" width="9" style="3061" customWidth="1"/>
    <col min="5897" max="5898" width="10.625" style="3061" customWidth="1"/>
    <col min="5899" max="5899" width="14.375" style="3061" customWidth="1"/>
    <col min="5900" max="5900" width="6.25" style="3061" customWidth="1"/>
    <col min="5901" max="5901" width="22.75" style="3061" customWidth="1"/>
    <col min="5902" max="5902" width="7.875" style="3061" customWidth="1"/>
    <col min="5903" max="6144" width="9" style="3061"/>
    <col min="6145" max="6145" width="27.75" style="3061" customWidth="1"/>
    <col min="6146" max="6146" width="16.125" style="3061" customWidth="1"/>
    <col min="6147" max="6147" width="11.75" style="3061" customWidth="1"/>
    <col min="6148" max="6149" width="13.875" style="3061" customWidth="1"/>
    <col min="6150" max="6150" width="8.375" style="3061" customWidth="1"/>
    <col min="6151" max="6151" width="7.875" style="3061" customWidth="1"/>
    <col min="6152" max="6152" width="9" style="3061" customWidth="1"/>
    <col min="6153" max="6154" width="10.625" style="3061" customWidth="1"/>
    <col min="6155" max="6155" width="14.375" style="3061" customWidth="1"/>
    <col min="6156" max="6156" width="6.25" style="3061" customWidth="1"/>
    <col min="6157" max="6157" width="22.75" style="3061" customWidth="1"/>
    <col min="6158" max="6158" width="7.875" style="3061" customWidth="1"/>
    <col min="6159" max="6400" width="9" style="3061"/>
    <col min="6401" max="6401" width="27.75" style="3061" customWidth="1"/>
    <col min="6402" max="6402" width="16.125" style="3061" customWidth="1"/>
    <col min="6403" max="6403" width="11.75" style="3061" customWidth="1"/>
    <col min="6404" max="6405" width="13.875" style="3061" customWidth="1"/>
    <col min="6406" max="6406" width="8.375" style="3061" customWidth="1"/>
    <col min="6407" max="6407" width="7.875" style="3061" customWidth="1"/>
    <col min="6408" max="6408" width="9" style="3061" customWidth="1"/>
    <col min="6409" max="6410" width="10.625" style="3061" customWidth="1"/>
    <col min="6411" max="6411" width="14.375" style="3061" customWidth="1"/>
    <col min="6412" max="6412" width="6.25" style="3061" customWidth="1"/>
    <col min="6413" max="6413" width="22.75" style="3061" customWidth="1"/>
    <col min="6414" max="6414" width="7.875" style="3061" customWidth="1"/>
    <col min="6415" max="6656" width="9" style="3061"/>
    <col min="6657" max="6657" width="27.75" style="3061" customWidth="1"/>
    <col min="6658" max="6658" width="16.125" style="3061" customWidth="1"/>
    <col min="6659" max="6659" width="11.75" style="3061" customWidth="1"/>
    <col min="6660" max="6661" width="13.875" style="3061" customWidth="1"/>
    <col min="6662" max="6662" width="8.375" style="3061" customWidth="1"/>
    <col min="6663" max="6663" width="7.875" style="3061" customWidth="1"/>
    <col min="6664" max="6664" width="9" style="3061" customWidth="1"/>
    <col min="6665" max="6666" width="10.625" style="3061" customWidth="1"/>
    <col min="6667" max="6667" width="14.375" style="3061" customWidth="1"/>
    <col min="6668" max="6668" width="6.25" style="3061" customWidth="1"/>
    <col min="6669" max="6669" width="22.75" style="3061" customWidth="1"/>
    <col min="6670" max="6670" width="7.875" style="3061" customWidth="1"/>
    <col min="6671" max="6912" width="9" style="3061"/>
    <col min="6913" max="6913" width="27.75" style="3061" customWidth="1"/>
    <col min="6914" max="6914" width="16.125" style="3061" customWidth="1"/>
    <col min="6915" max="6915" width="11.75" style="3061" customWidth="1"/>
    <col min="6916" max="6917" width="13.875" style="3061" customWidth="1"/>
    <col min="6918" max="6918" width="8.375" style="3061" customWidth="1"/>
    <col min="6919" max="6919" width="7.875" style="3061" customWidth="1"/>
    <col min="6920" max="6920" width="9" style="3061" customWidth="1"/>
    <col min="6921" max="6922" width="10.625" style="3061" customWidth="1"/>
    <col min="6923" max="6923" width="14.375" style="3061" customWidth="1"/>
    <col min="6924" max="6924" width="6.25" style="3061" customWidth="1"/>
    <col min="6925" max="6925" width="22.75" style="3061" customWidth="1"/>
    <col min="6926" max="6926" width="7.875" style="3061" customWidth="1"/>
    <col min="6927" max="7168" width="9" style="3061"/>
    <col min="7169" max="7169" width="27.75" style="3061" customWidth="1"/>
    <col min="7170" max="7170" width="16.125" style="3061" customWidth="1"/>
    <col min="7171" max="7171" width="11.75" style="3061" customWidth="1"/>
    <col min="7172" max="7173" width="13.875" style="3061" customWidth="1"/>
    <col min="7174" max="7174" width="8.375" style="3061" customWidth="1"/>
    <col min="7175" max="7175" width="7.875" style="3061" customWidth="1"/>
    <col min="7176" max="7176" width="9" style="3061" customWidth="1"/>
    <col min="7177" max="7178" width="10.625" style="3061" customWidth="1"/>
    <col min="7179" max="7179" width="14.375" style="3061" customWidth="1"/>
    <col min="7180" max="7180" width="6.25" style="3061" customWidth="1"/>
    <col min="7181" max="7181" width="22.75" style="3061" customWidth="1"/>
    <col min="7182" max="7182" width="7.875" style="3061" customWidth="1"/>
    <col min="7183" max="7424" width="9" style="3061"/>
    <col min="7425" max="7425" width="27.75" style="3061" customWidth="1"/>
    <col min="7426" max="7426" width="16.125" style="3061" customWidth="1"/>
    <col min="7427" max="7427" width="11.75" style="3061" customWidth="1"/>
    <col min="7428" max="7429" width="13.875" style="3061" customWidth="1"/>
    <col min="7430" max="7430" width="8.375" style="3061" customWidth="1"/>
    <col min="7431" max="7431" width="7.875" style="3061" customWidth="1"/>
    <col min="7432" max="7432" width="9" style="3061" customWidth="1"/>
    <col min="7433" max="7434" width="10.625" style="3061" customWidth="1"/>
    <col min="7435" max="7435" width="14.375" style="3061" customWidth="1"/>
    <col min="7436" max="7436" width="6.25" style="3061" customWidth="1"/>
    <col min="7437" max="7437" width="22.75" style="3061" customWidth="1"/>
    <col min="7438" max="7438" width="7.875" style="3061" customWidth="1"/>
    <col min="7439" max="7680" width="9" style="3061"/>
    <col min="7681" max="7681" width="27.75" style="3061" customWidth="1"/>
    <col min="7682" max="7682" width="16.125" style="3061" customWidth="1"/>
    <col min="7683" max="7683" width="11.75" style="3061" customWidth="1"/>
    <col min="7684" max="7685" width="13.875" style="3061" customWidth="1"/>
    <col min="7686" max="7686" width="8.375" style="3061" customWidth="1"/>
    <col min="7687" max="7687" width="7.875" style="3061" customWidth="1"/>
    <col min="7688" max="7688" width="9" style="3061" customWidth="1"/>
    <col min="7689" max="7690" width="10.625" style="3061" customWidth="1"/>
    <col min="7691" max="7691" width="14.375" style="3061" customWidth="1"/>
    <col min="7692" max="7692" width="6.25" style="3061" customWidth="1"/>
    <col min="7693" max="7693" width="22.75" style="3061" customWidth="1"/>
    <col min="7694" max="7694" width="7.875" style="3061" customWidth="1"/>
    <col min="7695" max="7936" width="9" style="3061"/>
    <col min="7937" max="7937" width="27.75" style="3061" customWidth="1"/>
    <col min="7938" max="7938" width="16.125" style="3061" customWidth="1"/>
    <col min="7939" max="7939" width="11.75" style="3061" customWidth="1"/>
    <col min="7940" max="7941" width="13.875" style="3061" customWidth="1"/>
    <col min="7942" max="7942" width="8.375" style="3061" customWidth="1"/>
    <col min="7943" max="7943" width="7.875" style="3061" customWidth="1"/>
    <col min="7944" max="7944" width="9" style="3061" customWidth="1"/>
    <col min="7945" max="7946" width="10.625" style="3061" customWidth="1"/>
    <col min="7947" max="7947" width="14.375" style="3061" customWidth="1"/>
    <col min="7948" max="7948" width="6.25" style="3061" customWidth="1"/>
    <col min="7949" max="7949" width="22.75" style="3061" customWidth="1"/>
    <col min="7950" max="7950" width="7.875" style="3061" customWidth="1"/>
    <col min="7951" max="8192" width="9" style="3061"/>
    <col min="8193" max="8193" width="27.75" style="3061" customWidth="1"/>
    <col min="8194" max="8194" width="16.125" style="3061" customWidth="1"/>
    <col min="8195" max="8195" width="11.75" style="3061" customWidth="1"/>
    <col min="8196" max="8197" width="13.875" style="3061" customWidth="1"/>
    <col min="8198" max="8198" width="8.375" style="3061" customWidth="1"/>
    <col min="8199" max="8199" width="7.875" style="3061" customWidth="1"/>
    <col min="8200" max="8200" width="9" style="3061" customWidth="1"/>
    <col min="8201" max="8202" width="10.625" style="3061" customWidth="1"/>
    <col min="8203" max="8203" width="14.375" style="3061" customWidth="1"/>
    <col min="8204" max="8204" width="6.25" style="3061" customWidth="1"/>
    <col min="8205" max="8205" width="22.75" style="3061" customWidth="1"/>
    <col min="8206" max="8206" width="7.875" style="3061" customWidth="1"/>
    <col min="8207" max="8448" width="9" style="3061"/>
    <col min="8449" max="8449" width="27.75" style="3061" customWidth="1"/>
    <col min="8450" max="8450" width="16.125" style="3061" customWidth="1"/>
    <col min="8451" max="8451" width="11.75" style="3061" customWidth="1"/>
    <col min="8452" max="8453" width="13.875" style="3061" customWidth="1"/>
    <col min="8454" max="8454" width="8.375" style="3061" customWidth="1"/>
    <col min="8455" max="8455" width="7.875" style="3061" customWidth="1"/>
    <col min="8456" max="8456" width="9" style="3061" customWidth="1"/>
    <col min="8457" max="8458" width="10.625" style="3061" customWidth="1"/>
    <col min="8459" max="8459" width="14.375" style="3061" customWidth="1"/>
    <col min="8460" max="8460" width="6.25" style="3061" customWidth="1"/>
    <col min="8461" max="8461" width="22.75" style="3061" customWidth="1"/>
    <col min="8462" max="8462" width="7.875" style="3061" customWidth="1"/>
    <col min="8463" max="8704" width="9" style="3061"/>
    <col min="8705" max="8705" width="27.75" style="3061" customWidth="1"/>
    <col min="8706" max="8706" width="16.125" style="3061" customWidth="1"/>
    <col min="8707" max="8707" width="11.75" style="3061" customWidth="1"/>
    <col min="8708" max="8709" width="13.875" style="3061" customWidth="1"/>
    <col min="8710" max="8710" width="8.375" style="3061" customWidth="1"/>
    <col min="8711" max="8711" width="7.875" style="3061" customWidth="1"/>
    <col min="8712" max="8712" width="9" style="3061" customWidth="1"/>
    <col min="8713" max="8714" width="10.625" style="3061" customWidth="1"/>
    <col min="8715" max="8715" width="14.375" style="3061" customWidth="1"/>
    <col min="8716" max="8716" width="6.25" style="3061" customWidth="1"/>
    <col min="8717" max="8717" width="22.75" style="3061" customWidth="1"/>
    <col min="8718" max="8718" width="7.875" style="3061" customWidth="1"/>
    <col min="8719" max="8960" width="9" style="3061"/>
    <col min="8961" max="8961" width="27.75" style="3061" customWidth="1"/>
    <col min="8962" max="8962" width="16.125" style="3061" customWidth="1"/>
    <col min="8963" max="8963" width="11.75" style="3061" customWidth="1"/>
    <col min="8964" max="8965" width="13.875" style="3061" customWidth="1"/>
    <col min="8966" max="8966" width="8.375" style="3061" customWidth="1"/>
    <col min="8967" max="8967" width="7.875" style="3061" customWidth="1"/>
    <col min="8968" max="8968" width="9" style="3061" customWidth="1"/>
    <col min="8969" max="8970" width="10.625" style="3061" customWidth="1"/>
    <col min="8971" max="8971" width="14.375" style="3061" customWidth="1"/>
    <col min="8972" max="8972" width="6.25" style="3061" customWidth="1"/>
    <col min="8973" max="8973" width="22.75" style="3061" customWidth="1"/>
    <col min="8974" max="8974" width="7.875" style="3061" customWidth="1"/>
    <col min="8975" max="9216" width="9" style="3061"/>
    <col min="9217" max="9217" width="27.75" style="3061" customWidth="1"/>
    <col min="9218" max="9218" width="16.125" style="3061" customWidth="1"/>
    <col min="9219" max="9219" width="11.75" style="3061" customWidth="1"/>
    <col min="9220" max="9221" width="13.875" style="3061" customWidth="1"/>
    <col min="9222" max="9222" width="8.375" style="3061" customWidth="1"/>
    <col min="9223" max="9223" width="7.875" style="3061" customWidth="1"/>
    <col min="9224" max="9224" width="9" style="3061" customWidth="1"/>
    <col min="9225" max="9226" width="10.625" style="3061" customWidth="1"/>
    <col min="9227" max="9227" width="14.375" style="3061" customWidth="1"/>
    <col min="9228" max="9228" width="6.25" style="3061" customWidth="1"/>
    <col min="9229" max="9229" width="22.75" style="3061" customWidth="1"/>
    <col min="9230" max="9230" width="7.875" style="3061" customWidth="1"/>
    <col min="9231" max="9472" width="9" style="3061"/>
    <col min="9473" max="9473" width="27.75" style="3061" customWidth="1"/>
    <col min="9474" max="9474" width="16.125" style="3061" customWidth="1"/>
    <col min="9475" max="9475" width="11.75" style="3061" customWidth="1"/>
    <col min="9476" max="9477" width="13.875" style="3061" customWidth="1"/>
    <col min="9478" max="9478" width="8.375" style="3061" customWidth="1"/>
    <col min="9479" max="9479" width="7.875" style="3061" customWidth="1"/>
    <col min="9480" max="9480" width="9" style="3061" customWidth="1"/>
    <col min="9481" max="9482" width="10.625" style="3061" customWidth="1"/>
    <col min="9483" max="9483" width="14.375" style="3061" customWidth="1"/>
    <col min="9484" max="9484" width="6.25" style="3061" customWidth="1"/>
    <col min="9485" max="9485" width="22.75" style="3061" customWidth="1"/>
    <col min="9486" max="9486" width="7.875" style="3061" customWidth="1"/>
    <col min="9487" max="9728" width="9" style="3061"/>
    <col min="9729" max="9729" width="27.75" style="3061" customWidth="1"/>
    <col min="9730" max="9730" width="16.125" style="3061" customWidth="1"/>
    <col min="9731" max="9731" width="11.75" style="3061" customWidth="1"/>
    <col min="9732" max="9733" width="13.875" style="3061" customWidth="1"/>
    <col min="9734" max="9734" width="8.375" style="3061" customWidth="1"/>
    <col min="9735" max="9735" width="7.875" style="3061" customWidth="1"/>
    <col min="9736" max="9736" width="9" style="3061" customWidth="1"/>
    <col min="9737" max="9738" width="10.625" style="3061" customWidth="1"/>
    <col min="9739" max="9739" width="14.375" style="3061" customWidth="1"/>
    <col min="9740" max="9740" width="6.25" style="3061" customWidth="1"/>
    <col min="9741" max="9741" width="22.75" style="3061" customWidth="1"/>
    <col min="9742" max="9742" width="7.875" style="3061" customWidth="1"/>
    <col min="9743" max="9984" width="9" style="3061"/>
    <col min="9985" max="9985" width="27.75" style="3061" customWidth="1"/>
    <col min="9986" max="9986" width="16.125" style="3061" customWidth="1"/>
    <col min="9987" max="9987" width="11.75" style="3061" customWidth="1"/>
    <col min="9988" max="9989" width="13.875" style="3061" customWidth="1"/>
    <col min="9990" max="9990" width="8.375" style="3061" customWidth="1"/>
    <col min="9991" max="9991" width="7.875" style="3061" customWidth="1"/>
    <col min="9992" max="9992" width="9" style="3061" customWidth="1"/>
    <col min="9993" max="9994" width="10.625" style="3061" customWidth="1"/>
    <col min="9995" max="9995" width="14.375" style="3061" customWidth="1"/>
    <col min="9996" max="9996" width="6.25" style="3061" customWidth="1"/>
    <col min="9997" max="9997" width="22.75" style="3061" customWidth="1"/>
    <col min="9998" max="9998" width="7.875" style="3061" customWidth="1"/>
    <col min="9999" max="10240" width="9" style="3061"/>
    <col min="10241" max="10241" width="27.75" style="3061" customWidth="1"/>
    <col min="10242" max="10242" width="16.125" style="3061" customWidth="1"/>
    <col min="10243" max="10243" width="11.75" style="3061" customWidth="1"/>
    <col min="10244" max="10245" width="13.875" style="3061" customWidth="1"/>
    <col min="10246" max="10246" width="8.375" style="3061" customWidth="1"/>
    <col min="10247" max="10247" width="7.875" style="3061" customWidth="1"/>
    <col min="10248" max="10248" width="9" style="3061" customWidth="1"/>
    <col min="10249" max="10250" width="10.625" style="3061" customWidth="1"/>
    <col min="10251" max="10251" width="14.375" style="3061" customWidth="1"/>
    <col min="10252" max="10252" width="6.25" style="3061" customWidth="1"/>
    <col min="10253" max="10253" width="22.75" style="3061" customWidth="1"/>
    <col min="10254" max="10254" width="7.875" style="3061" customWidth="1"/>
    <col min="10255" max="10496" width="9" style="3061"/>
    <col min="10497" max="10497" width="27.75" style="3061" customWidth="1"/>
    <col min="10498" max="10498" width="16.125" style="3061" customWidth="1"/>
    <col min="10499" max="10499" width="11.75" style="3061" customWidth="1"/>
    <col min="10500" max="10501" width="13.875" style="3061" customWidth="1"/>
    <col min="10502" max="10502" width="8.375" style="3061" customWidth="1"/>
    <col min="10503" max="10503" width="7.875" style="3061" customWidth="1"/>
    <col min="10504" max="10504" width="9" style="3061" customWidth="1"/>
    <col min="10505" max="10506" width="10.625" style="3061" customWidth="1"/>
    <col min="10507" max="10507" width="14.375" style="3061" customWidth="1"/>
    <col min="10508" max="10508" width="6.25" style="3061" customWidth="1"/>
    <col min="10509" max="10509" width="22.75" style="3061" customWidth="1"/>
    <col min="10510" max="10510" width="7.875" style="3061" customWidth="1"/>
    <col min="10511" max="10752" width="9" style="3061"/>
    <col min="10753" max="10753" width="27.75" style="3061" customWidth="1"/>
    <col min="10754" max="10754" width="16.125" style="3061" customWidth="1"/>
    <col min="10755" max="10755" width="11.75" style="3061" customWidth="1"/>
    <col min="10756" max="10757" width="13.875" style="3061" customWidth="1"/>
    <col min="10758" max="10758" width="8.375" style="3061" customWidth="1"/>
    <col min="10759" max="10759" width="7.875" style="3061" customWidth="1"/>
    <col min="10760" max="10760" width="9" style="3061" customWidth="1"/>
    <col min="10761" max="10762" width="10.625" style="3061" customWidth="1"/>
    <col min="10763" max="10763" width="14.375" style="3061" customWidth="1"/>
    <col min="10764" max="10764" width="6.25" style="3061" customWidth="1"/>
    <col min="10765" max="10765" width="22.75" style="3061" customWidth="1"/>
    <col min="10766" max="10766" width="7.875" style="3061" customWidth="1"/>
    <col min="10767" max="11008" width="9" style="3061"/>
    <col min="11009" max="11009" width="27.75" style="3061" customWidth="1"/>
    <col min="11010" max="11010" width="16.125" style="3061" customWidth="1"/>
    <col min="11011" max="11011" width="11.75" style="3061" customWidth="1"/>
    <col min="11012" max="11013" width="13.875" style="3061" customWidth="1"/>
    <col min="11014" max="11014" width="8.375" style="3061" customWidth="1"/>
    <col min="11015" max="11015" width="7.875" style="3061" customWidth="1"/>
    <col min="11016" max="11016" width="9" style="3061" customWidth="1"/>
    <col min="11017" max="11018" width="10.625" style="3061" customWidth="1"/>
    <col min="11019" max="11019" width="14.375" style="3061" customWidth="1"/>
    <col min="11020" max="11020" width="6.25" style="3061" customWidth="1"/>
    <col min="11021" max="11021" width="22.75" style="3061" customWidth="1"/>
    <col min="11022" max="11022" width="7.875" style="3061" customWidth="1"/>
    <col min="11023" max="11264" width="9" style="3061"/>
    <col min="11265" max="11265" width="27.75" style="3061" customWidth="1"/>
    <col min="11266" max="11266" width="16.125" style="3061" customWidth="1"/>
    <col min="11267" max="11267" width="11.75" style="3061" customWidth="1"/>
    <col min="11268" max="11269" width="13.875" style="3061" customWidth="1"/>
    <col min="11270" max="11270" width="8.375" style="3061" customWidth="1"/>
    <col min="11271" max="11271" width="7.875" style="3061" customWidth="1"/>
    <col min="11272" max="11272" width="9" style="3061" customWidth="1"/>
    <col min="11273" max="11274" width="10.625" style="3061" customWidth="1"/>
    <col min="11275" max="11275" width="14.375" style="3061" customWidth="1"/>
    <col min="11276" max="11276" width="6.25" style="3061" customWidth="1"/>
    <col min="11277" max="11277" width="22.75" style="3061" customWidth="1"/>
    <col min="11278" max="11278" width="7.875" style="3061" customWidth="1"/>
    <col min="11279" max="11520" width="9" style="3061"/>
    <col min="11521" max="11521" width="27.75" style="3061" customWidth="1"/>
    <col min="11522" max="11522" width="16.125" style="3061" customWidth="1"/>
    <col min="11523" max="11523" width="11.75" style="3061" customWidth="1"/>
    <col min="11524" max="11525" width="13.875" style="3061" customWidth="1"/>
    <col min="11526" max="11526" width="8.375" style="3061" customWidth="1"/>
    <col min="11527" max="11527" width="7.875" style="3061" customWidth="1"/>
    <col min="11528" max="11528" width="9" style="3061" customWidth="1"/>
    <col min="11529" max="11530" width="10.625" style="3061" customWidth="1"/>
    <col min="11531" max="11531" width="14.375" style="3061" customWidth="1"/>
    <col min="11532" max="11532" width="6.25" style="3061" customWidth="1"/>
    <col min="11533" max="11533" width="22.75" style="3061" customWidth="1"/>
    <col min="11534" max="11534" width="7.875" style="3061" customWidth="1"/>
    <col min="11535" max="11776" width="9" style="3061"/>
    <col min="11777" max="11777" width="27.75" style="3061" customWidth="1"/>
    <col min="11778" max="11778" width="16.125" style="3061" customWidth="1"/>
    <col min="11779" max="11779" width="11.75" style="3061" customWidth="1"/>
    <col min="11780" max="11781" width="13.875" style="3061" customWidth="1"/>
    <col min="11782" max="11782" width="8.375" style="3061" customWidth="1"/>
    <col min="11783" max="11783" width="7.875" style="3061" customWidth="1"/>
    <col min="11784" max="11784" width="9" style="3061" customWidth="1"/>
    <col min="11785" max="11786" width="10.625" style="3061" customWidth="1"/>
    <col min="11787" max="11787" width="14.375" style="3061" customWidth="1"/>
    <col min="11788" max="11788" width="6.25" style="3061" customWidth="1"/>
    <col min="11789" max="11789" width="22.75" style="3061" customWidth="1"/>
    <col min="11790" max="11790" width="7.875" style="3061" customWidth="1"/>
    <col min="11791" max="12032" width="9" style="3061"/>
    <col min="12033" max="12033" width="27.75" style="3061" customWidth="1"/>
    <col min="12034" max="12034" width="16.125" style="3061" customWidth="1"/>
    <col min="12035" max="12035" width="11.75" style="3061" customWidth="1"/>
    <col min="12036" max="12037" width="13.875" style="3061" customWidth="1"/>
    <col min="12038" max="12038" width="8.375" style="3061" customWidth="1"/>
    <col min="12039" max="12039" width="7.875" style="3061" customWidth="1"/>
    <col min="12040" max="12040" width="9" style="3061" customWidth="1"/>
    <col min="12041" max="12042" width="10.625" style="3061" customWidth="1"/>
    <col min="12043" max="12043" width="14.375" style="3061" customWidth="1"/>
    <col min="12044" max="12044" width="6.25" style="3061" customWidth="1"/>
    <col min="12045" max="12045" width="22.75" style="3061" customWidth="1"/>
    <col min="12046" max="12046" width="7.875" style="3061" customWidth="1"/>
    <col min="12047" max="12288" width="9" style="3061"/>
    <col min="12289" max="12289" width="27.75" style="3061" customWidth="1"/>
    <col min="12290" max="12290" width="16.125" style="3061" customWidth="1"/>
    <col min="12291" max="12291" width="11.75" style="3061" customWidth="1"/>
    <col min="12292" max="12293" width="13.875" style="3061" customWidth="1"/>
    <col min="12294" max="12294" width="8.375" style="3061" customWidth="1"/>
    <col min="12295" max="12295" width="7.875" style="3061" customWidth="1"/>
    <col min="12296" max="12296" width="9" style="3061" customWidth="1"/>
    <col min="12297" max="12298" width="10.625" style="3061" customWidth="1"/>
    <col min="12299" max="12299" width="14.375" style="3061" customWidth="1"/>
    <col min="12300" max="12300" width="6.25" style="3061" customWidth="1"/>
    <col min="12301" max="12301" width="22.75" style="3061" customWidth="1"/>
    <col min="12302" max="12302" width="7.875" style="3061" customWidth="1"/>
    <col min="12303" max="12544" width="9" style="3061"/>
    <col min="12545" max="12545" width="27.75" style="3061" customWidth="1"/>
    <col min="12546" max="12546" width="16.125" style="3061" customWidth="1"/>
    <col min="12547" max="12547" width="11.75" style="3061" customWidth="1"/>
    <col min="12548" max="12549" width="13.875" style="3061" customWidth="1"/>
    <col min="12550" max="12550" width="8.375" style="3061" customWidth="1"/>
    <col min="12551" max="12551" width="7.875" style="3061" customWidth="1"/>
    <col min="12552" max="12552" width="9" style="3061" customWidth="1"/>
    <col min="12553" max="12554" width="10.625" style="3061" customWidth="1"/>
    <col min="12555" max="12555" width="14.375" style="3061" customWidth="1"/>
    <col min="12556" max="12556" width="6.25" style="3061" customWidth="1"/>
    <col min="12557" max="12557" width="22.75" style="3061" customWidth="1"/>
    <col min="12558" max="12558" width="7.875" style="3061" customWidth="1"/>
    <col min="12559" max="12800" width="9" style="3061"/>
    <col min="12801" max="12801" width="27.75" style="3061" customWidth="1"/>
    <col min="12802" max="12802" width="16.125" style="3061" customWidth="1"/>
    <col min="12803" max="12803" width="11.75" style="3061" customWidth="1"/>
    <col min="12804" max="12805" width="13.875" style="3061" customWidth="1"/>
    <col min="12806" max="12806" width="8.375" style="3061" customWidth="1"/>
    <col min="12807" max="12807" width="7.875" style="3061" customWidth="1"/>
    <col min="12808" max="12808" width="9" style="3061" customWidth="1"/>
    <col min="12809" max="12810" width="10.625" style="3061" customWidth="1"/>
    <col min="12811" max="12811" width="14.375" style="3061" customWidth="1"/>
    <col min="12812" max="12812" width="6.25" style="3061" customWidth="1"/>
    <col min="12813" max="12813" width="22.75" style="3061" customWidth="1"/>
    <col min="12814" max="12814" width="7.875" style="3061" customWidth="1"/>
    <col min="12815" max="13056" width="9" style="3061"/>
    <col min="13057" max="13057" width="27.75" style="3061" customWidth="1"/>
    <col min="13058" max="13058" width="16.125" style="3061" customWidth="1"/>
    <col min="13059" max="13059" width="11.75" style="3061" customWidth="1"/>
    <col min="13060" max="13061" width="13.875" style="3061" customWidth="1"/>
    <col min="13062" max="13062" width="8.375" style="3061" customWidth="1"/>
    <col min="13063" max="13063" width="7.875" style="3061" customWidth="1"/>
    <col min="13064" max="13064" width="9" style="3061" customWidth="1"/>
    <col min="13065" max="13066" width="10.625" style="3061" customWidth="1"/>
    <col min="13067" max="13067" width="14.375" style="3061" customWidth="1"/>
    <col min="13068" max="13068" width="6.25" style="3061" customWidth="1"/>
    <col min="13069" max="13069" width="22.75" style="3061" customWidth="1"/>
    <col min="13070" max="13070" width="7.875" style="3061" customWidth="1"/>
    <col min="13071" max="13312" width="9" style="3061"/>
    <col min="13313" max="13313" width="27.75" style="3061" customWidth="1"/>
    <col min="13314" max="13314" width="16.125" style="3061" customWidth="1"/>
    <col min="13315" max="13315" width="11.75" style="3061" customWidth="1"/>
    <col min="13316" max="13317" width="13.875" style="3061" customWidth="1"/>
    <col min="13318" max="13318" width="8.375" style="3061" customWidth="1"/>
    <col min="13319" max="13319" width="7.875" style="3061" customWidth="1"/>
    <col min="13320" max="13320" width="9" style="3061" customWidth="1"/>
    <col min="13321" max="13322" width="10.625" style="3061" customWidth="1"/>
    <col min="13323" max="13323" width="14.375" style="3061" customWidth="1"/>
    <col min="13324" max="13324" width="6.25" style="3061" customWidth="1"/>
    <col min="13325" max="13325" width="22.75" style="3061" customWidth="1"/>
    <col min="13326" max="13326" width="7.875" style="3061" customWidth="1"/>
    <col min="13327" max="13568" width="9" style="3061"/>
    <col min="13569" max="13569" width="27.75" style="3061" customWidth="1"/>
    <col min="13570" max="13570" width="16.125" style="3061" customWidth="1"/>
    <col min="13571" max="13571" width="11.75" style="3061" customWidth="1"/>
    <col min="13572" max="13573" width="13.875" style="3061" customWidth="1"/>
    <col min="13574" max="13574" width="8.375" style="3061" customWidth="1"/>
    <col min="13575" max="13575" width="7.875" style="3061" customWidth="1"/>
    <col min="13576" max="13576" width="9" style="3061" customWidth="1"/>
    <col min="13577" max="13578" width="10.625" style="3061" customWidth="1"/>
    <col min="13579" max="13579" width="14.375" style="3061" customWidth="1"/>
    <col min="13580" max="13580" width="6.25" style="3061" customWidth="1"/>
    <col min="13581" max="13581" width="22.75" style="3061" customWidth="1"/>
    <col min="13582" max="13582" width="7.875" style="3061" customWidth="1"/>
    <col min="13583" max="13824" width="9" style="3061"/>
    <col min="13825" max="13825" width="27.75" style="3061" customWidth="1"/>
    <col min="13826" max="13826" width="16.125" style="3061" customWidth="1"/>
    <col min="13827" max="13827" width="11.75" style="3061" customWidth="1"/>
    <col min="13828" max="13829" width="13.875" style="3061" customWidth="1"/>
    <col min="13830" max="13830" width="8.375" style="3061" customWidth="1"/>
    <col min="13831" max="13831" width="7.875" style="3061" customWidth="1"/>
    <col min="13832" max="13832" width="9" style="3061" customWidth="1"/>
    <col min="13833" max="13834" width="10.625" style="3061" customWidth="1"/>
    <col min="13835" max="13835" width="14.375" style="3061" customWidth="1"/>
    <col min="13836" max="13836" width="6.25" style="3061" customWidth="1"/>
    <col min="13837" max="13837" width="22.75" style="3061" customWidth="1"/>
    <col min="13838" max="13838" width="7.875" style="3061" customWidth="1"/>
    <col min="13839" max="14080" width="9" style="3061"/>
    <col min="14081" max="14081" width="27.75" style="3061" customWidth="1"/>
    <col min="14082" max="14082" width="16.125" style="3061" customWidth="1"/>
    <col min="14083" max="14083" width="11.75" style="3061" customWidth="1"/>
    <col min="14084" max="14085" width="13.875" style="3061" customWidth="1"/>
    <col min="14086" max="14086" width="8.375" style="3061" customWidth="1"/>
    <col min="14087" max="14087" width="7.875" style="3061" customWidth="1"/>
    <col min="14088" max="14088" width="9" style="3061" customWidth="1"/>
    <col min="14089" max="14090" width="10.625" style="3061" customWidth="1"/>
    <col min="14091" max="14091" width="14.375" style="3061" customWidth="1"/>
    <col min="14092" max="14092" width="6.25" style="3061" customWidth="1"/>
    <col min="14093" max="14093" width="22.75" style="3061" customWidth="1"/>
    <col min="14094" max="14094" width="7.875" style="3061" customWidth="1"/>
    <col min="14095" max="14336" width="9" style="3061"/>
    <col min="14337" max="14337" width="27.75" style="3061" customWidth="1"/>
    <col min="14338" max="14338" width="16.125" style="3061" customWidth="1"/>
    <col min="14339" max="14339" width="11.75" style="3061" customWidth="1"/>
    <col min="14340" max="14341" width="13.875" style="3061" customWidth="1"/>
    <col min="14342" max="14342" width="8.375" style="3061" customWidth="1"/>
    <col min="14343" max="14343" width="7.875" style="3061" customWidth="1"/>
    <col min="14344" max="14344" width="9" style="3061" customWidth="1"/>
    <col min="14345" max="14346" width="10.625" style="3061" customWidth="1"/>
    <col min="14347" max="14347" width="14.375" style="3061" customWidth="1"/>
    <col min="14348" max="14348" width="6.25" style="3061" customWidth="1"/>
    <col min="14349" max="14349" width="22.75" style="3061" customWidth="1"/>
    <col min="14350" max="14350" width="7.875" style="3061" customWidth="1"/>
    <col min="14351" max="14592" width="9" style="3061"/>
    <col min="14593" max="14593" width="27.75" style="3061" customWidth="1"/>
    <col min="14594" max="14594" width="16.125" style="3061" customWidth="1"/>
    <col min="14595" max="14595" width="11.75" style="3061" customWidth="1"/>
    <col min="14596" max="14597" width="13.875" style="3061" customWidth="1"/>
    <col min="14598" max="14598" width="8.375" style="3061" customWidth="1"/>
    <col min="14599" max="14599" width="7.875" style="3061" customWidth="1"/>
    <col min="14600" max="14600" width="9" style="3061" customWidth="1"/>
    <col min="14601" max="14602" width="10.625" style="3061" customWidth="1"/>
    <col min="14603" max="14603" width="14.375" style="3061" customWidth="1"/>
    <col min="14604" max="14604" width="6.25" style="3061" customWidth="1"/>
    <col min="14605" max="14605" width="22.75" style="3061" customWidth="1"/>
    <col min="14606" max="14606" width="7.875" style="3061" customWidth="1"/>
    <col min="14607" max="14848" width="9" style="3061"/>
    <col min="14849" max="14849" width="27.75" style="3061" customWidth="1"/>
    <col min="14850" max="14850" width="16.125" style="3061" customWidth="1"/>
    <col min="14851" max="14851" width="11.75" style="3061" customWidth="1"/>
    <col min="14852" max="14853" width="13.875" style="3061" customWidth="1"/>
    <col min="14854" max="14854" width="8.375" style="3061" customWidth="1"/>
    <col min="14855" max="14855" width="7.875" style="3061" customWidth="1"/>
    <col min="14856" max="14856" width="9" style="3061" customWidth="1"/>
    <col min="14857" max="14858" width="10.625" style="3061" customWidth="1"/>
    <col min="14859" max="14859" width="14.375" style="3061" customWidth="1"/>
    <col min="14860" max="14860" width="6.25" style="3061" customWidth="1"/>
    <col min="14861" max="14861" width="22.75" style="3061" customWidth="1"/>
    <col min="14862" max="14862" width="7.875" style="3061" customWidth="1"/>
    <col min="14863" max="15104" width="9" style="3061"/>
    <col min="15105" max="15105" width="27.75" style="3061" customWidth="1"/>
    <col min="15106" max="15106" width="16.125" style="3061" customWidth="1"/>
    <col min="15107" max="15107" width="11.75" style="3061" customWidth="1"/>
    <col min="15108" max="15109" width="13.875" style="3061" customWidth="1"/>
    <col min="15110" max="15110" width="8.375" style="3061" customWidth="1"/>
    <col min="15111" max="15111" width="7.875" style="3061" customWidth="1"/>
    <col min="15112" max="15112" width="9" style="3061" customWidth="1"/>
    <col min="15113" max="15114" width="10.625" style="3061" customWidth="1"/>
    <col min="15115" max="15115" width="14.375" style="3061" customWidth="1"/>
    <col min="15116" max="15116" width="6.25" style="3061" customWidth="1"/>
    <col min="15117" max="15117" width="22.75" style="3061" customWidth="1"/>
    <col min="15118" max="15118" width="7.875" style="3061" customWidth="1"/>
    <col min="15119" max="15360" width="9" style="3061"/>
    <col min="15361" max="15361" width="27.75" style="3061" customWidth="1"/>
    <col min="15362" max="15362" width="16.125" style="3061" customWidth="1"/>
    <col min="15363" max="15363" width="11.75" style="3061" customWidth="1"/>
    <col min="15364" max="15365" width="13.875" style="3061" customWidth="1"/>
    <col min="15366" max="15366" width="8.375" style="3061" customWidth="1"/>
    <col min="15367" max="15367" width="7.875" style="3061" customWidth="1"/>
    <col min="15368" max="15368" width="9" style="3061" customWidth="1"/>
    <col min="15369" max="15370" width="10.625" style="3061" customWidth="1"/>
    <col min="15371" max="15371" width="14.375" style="3061" customWidth="1"/>
    <col min="15372" max="15372" width="6.25" style="3061" customWidth="1"/>
    <col min="15373" max="15373" width="22.75" style="3061" customWidth="1"/>
    <col min="15374" max="15374" width="7.875" style="3061" customWidth="1"/>
    <col min="15375" max="15616" width="9" style="3061"/>
    <col min="15617" max="15617" width="27.75" style="3061" customWidth="1"/>
    <col min="15618" max="15618" width="16.125" style="3061" customWidth="1"/>
    <col min="15619" max="15619" width="11.75" style="3061" customWidth="1"/>
    <col min="15620" max="15621" width="13.875" style="3061" customWidth="1"/>
    <col min="15622" max="15622" width="8.375" style="3061" customWidth="1"/>
    <col min="15623" max="15623" width="7.875" style="3061" customWidth="1"/>
    <col min="15624" max="15624" width="9" style="3061" customWidth="1"/>
    <col min="15625" max="15626" width="10.625" style="3061" customWidth="1"/>
    <col min="15627" max="15627" width="14.375" style="3061" customWidth="1"/>
    <col min="15628" max="15628" width="6.25" style="3061" customWidth="1"/>
    <col min="15629" max="15629" width="22.75" style="3061" customWidth="1"/>
    <col min="15630" max="15630" width="7.875" style="3061" customWidth="1"/>
    <col min="15631" max="15872" width="9" style="3061"/>
    <col min="15873" max="15873" width="27.75" style="3061" customWidth="1"/>
    <col min="15874" max="15874" width="16.125" style="3061" customWidth="1"/>
    <col min="15875" max="15875" width="11.75" style="3061" customWidth="1"/>
    <col min="15876" max="15877" width="13.875" style="3061" customWidth="1"/>
    <col min="15878" max="15878" width="8.375" style="3061" customWidth="1"/>
    <col min="15879" max="15879" width="7.875" style="3061" customWidth="1"/>
    <col min="15880" max="15880" width="9" style="3061" customWidth="1"/>
    <col min="15881" max="15882" width="10.625" style="3061" customWidth="1"/>
    <col min="15883" max="15883" width="14.375" style="3061" customWidth="1"/>
    <col min="15884" max="15884" width="6.25" style="3061" customWidth="1"/>
    <col min="15885" max="15885" width="22.75" style="3061" customWidth="1"/>
    <col min="15886" max="15886" width="7.875" style="3061" customWidth="1"/>
    <col min="15887" max="16128" width="9" style="3061"/>
    <col min="16129" max="16129" width="27.75" style="3061" customWidth="1"/>
    <col min="16130" max="16130" width="16.125" style="3061" customWidth="1"/>
    <col min="16131" max="16131" width="11.75" style="3061" customWidth="1"/>
    <col min="16132" max="16133" width="13.875" style="3061" customWidth="1"/>
    <col min="16134" max="16134" width="8.375" style="3061" customWidth="1"/>
    <col min="16135" max="16135" width="7.875" style="3061" customWidth="1"/>
    <col min="16136" max="16136" width="9" style="3061" customWidth="1"/>
    <col min="16137" max="16138" width="10.625" style="3061" customWidth="1"/>
    <col min="16139" max="16139" width="14.375" style="3061" customWidth="1"/>
    <col min="16140" max="16140" width="6.25" style="3061" customWidth="1"/>
    <col min="16141" max="16141" width="22.75" style="3061" customWidth="1"/>
    <col min="16142" max="16142" width="7.875" style="3061" customWidth="1"/>
    <col min="16143" max="16384" width="9" style="3061"/>
  </cols>
  <sheetData>
    <row r="1" spans="1:14" s="3062" customFormat="1">
      <c r="A1" s="3062" t="s">
        <v>3154</v>
      </c>
      <c r="B1" s="3062" t="s">
        <v>3155</v>
      </c>
      <c r="C1" s="3062" t="s">
        <v>3156</v>
      </c>
      <c r="D1" s="3062" t="s">
        <v>3157</v>
      </c>
      <c r="E1" s="3062" t="s">
        <v>3158</v>
      </c>
      <c r="F1" s="3062" t="s">
        <v>3159</v>
      </c>
      <c r="G1" s="3062" t="s">
        <v>3160</v>
      </c>
      <c r="H1" s="3062" t="s">
        <v>3161</v>
      </c>
      <c r="I1" s="3062" t="s">
        <v>3162</v>
      </c>
      <c r="J1" s="3062" t="s">
        <v>3163</v>
      </c>
      <c r="K1" s="3062" t="s">
        <v>3164</v>
      </c>
      <c r="L1" s="3062" t="s">
        <v>3165</v>
      </c>
      <c r="M1" s="3062" t="s">
        <v>3166</v>
      </c>
      <c r="N1" s="3062" t="s">
        <v>3167</v>
      </c>
    </row>
    <row r="2" spans="1:14" s="3062" customFormat="1">
      <c r="A2" s="3062" t="s">
        <v>3795</v>
      </c>
      <c r="B2" s="3062" t="s">
        <v>3796</v>
      </c>
      <c r="C2" s="3062" t="s">
        <v>3168</v>
      </c>
      <c r="D2" s="3062">
        <v>3159.86</v>
      </c>
      <c r="E2" s="3062">
        <v>2527.89</v>
      </c>
      <c r="F2" s="3062" t="s">
        <v>3797</v>
      </c>
      <c r="G2" s="3062" t="s">
        <v>3169</v>
      </c>
      <c r="H2" s="3062" t="s">
        <v>3798</v>
      </c>
      <c r="I2" s="3062">
        <v>168</v>
      </c>
      <c r="J2" s="3062">
        <v>1268</v>
      </c>
      <c r="K2" s="3062">
        <v>5016.03</v>
      </c>
      <c r="L2" s="3062">
        <v>654.76</v>
      </c>
      <c r="M2" s="3062" t="s">
        <v>3799</v>
      </c>
      <c r="N2" s="3062" t="s">
        <v>3171</v>
      </c>
    </row>
    <row r="3" spans="1:14" s="3062" customFormat="1">
      <c r="A3" s="3062" t="s">
        <v>3800</v>
      </c>
      <c r="B3" s="3062" t="s">
        <v>3796</v>
      </c>
      <c r="C3" s="3062" t="s">
        <v>3168</v>
      </c>
      <c r="D3" s="3062">
        <v>2548.9899999999998</v>
      </c>
      <c r="E3" s="3062">
        <v>1274.49</v>
      </c>
      <c r="F3" s="3062" t="s">
        <v>3801</v>
      </c>
      <c r="G3" s="3062" t="s">
        <v>3169</v>
      </c>
      <c r="H3" s="3062" t="s">
        <v>3802</v>
      </c>
      <c r="I3" s="3062">
        <v>108</v>
      </c>
      <c r="J3" s="3062">
        <v>118</v>
      </c>
      <c r="K3" s="3062">
        <v>925.86</v>
      </c>
      <c r="L3" s="3062">
        <v>9.26</v>
      </c>
      <c r="M3" s="3062" t="s">
        <v>3803</v>
      </c>
      <c r="N3" s="3062" t="s">
        <v>3171</v>
      </c>
    </row>
    <row r="4" spans="1:14" s="3062" customFormat="1">
      <c r="A4" s="3062" t="s">
        <v>3804</v>
      </c>
      <c r="B4" s="3062" t="s">
        <v>3796</v>
      </c>
      <c r="C4" s="3062" t="s">
        <v>3168</v>
      </c>
      <c r="D4" s="3062">
        <v>6343.46</v>
      </c>
      <c r="E4" s="3062">
        <v>10783.88</v>
      </c>
      <c r="F4" s="3062" t="s">
        <v>3805</v>
      </c>
      <c r="G4" s="3062" t="s">
        <v>3169</v>
      </c>
      <c r="H4" s="3062" t="s">
        <v>3806</v>
      </c>
      <c r="I4" s="3062">
        <v>203</v>
      </c>
      <c r="J4" s="3062">
        <v>208</v>
      </c>
      <c r="K4" s="3062">
        <v>192.87</v>
      </c>
      <c r="L4" s="3062">
        <v>2.46</v>
      </c>
      <c r="M4" s="3062" t="s">
        <v>3807</v>
      </c>
      <c r="N4" s="3062" t="s">
        <v>3171</v>
      </c>
    </row>
    <row r="5" spans="1:14" s="3062" customFormat="1">
      <c r="A5" s="3062" t="s">
        <v>3808</v>
      </c>
      <c r="B5" s="3062" t="s">
        <v>3796</v>
      </c>
      <c r="C5" s="3062" t="s">
        <v>3168</v>
      </c>
      <c r="D5" s="3062">
        <v>38092.370000000003</v>
      </c>
      <c r="E5" s="3062">
        <v>114277.1</v>
      </c>
      <c r="F5" s="3062" t="s">
        <v>3809</v>
      </c>
      <c r="G5" s="3062" t="s">
        <v>3169</v>
      </c>
      <c r="H5" s="3062" t="s">
        <v>3810</v>
      </c>
      <c r="I5" s="3062">
        <v>7350</v>
      </c>
      <c r="J5" s="3062">
        <v>7400</v>
      </c>
      <c r="K5" s="3062">
        <v>647.54</v>
      </c>
      <c r="L5" s="3062">
        <v>0.68</v>
      </c>
      <c r="M5" s="3062" t="s">
        <v>3811</v>
      </c>
      <c r="N5" s="3062" t="s">
        <v>3171</v>
      </c>
    </row>
    <row r="6" spans="1:14" s="3062" customFormat="1">
      <c r="A6" s="3062" t="s">
        <v>3812</v>
      </c>
      <c r="B6" s="3062" t="s">
        <v>3796</v>
      </c>
      <c r="C6" s="3062" t="s">
        <v>3168</v>
      </c>
      <c r="D6" s="3062">
        <v>51497.72</v>
      </c>
      <c r="E6" s="3062">
        <v>61797.26</v>
      </c>
      <c r="F6" s="3062" t="s">
        <v>3813</v>
      </c>
      <c r="G6" s="3062" t="s">
        <v>3169</v>
      </c>
      <c r="H6" s="3062" t="s">
        <v>3814</v>
      </c>
      <c r="I6" s="3062">
        <v>4690</v>
      </c>
      <c r="J6" s="3062">
        <v>9640</v>
      </c>
      <c r="K6" s="3062">
        <v>1559.94</v>
      </c>
      <c r="L6" s="3062">
        <v>105.54</v>
      </c>
      <c r="M6" s="3062" t="s">
        <v>3815</v>
      </c>
      <c r="N6" s="3062" t="s">
        <v>3171</v>
      </c>
    </row>
    <row r="7" spans="1:14" s="3062" customFormat="1">
      <c r="A7" s="3062" t="s">
        <v>3816</v>
      </c>
      <c r="B7" s="3062" t="s">
        <v>3796</v>
      </c>
      <c r="C7" s="3062" t="s">
        <v>3168</v>
      </c>
      <c r="D7" s="3062">
        <v>642.52</v>
      </c>
      <c r="E7" s="3062">
        <v>771.02</v>
      </c>
      <c r="F7" s="3062" t="s">
        <v>3813</v>
      </c>
      <c r="G7" s="3062" t="s">
        <v>3169</v>
      </c>
      <c r="H7" s="3062" t="s">
        <v>3817</v>
      </c>
      <c r="I7" s="3062">
        <v>17</v>
      </c>
      <c r="J7" s="3062">
        <v>22</v>
      </c>
      <c r="K7" s="3062">
        <v>285.33</v>
      </c>
      <c r="L7" s="3062">
        <v>29.41</v>
      </c>
      <c r="M7" s="3062" t="s">
        <v>3818</v>
      </c>
      <c r="N7" s="3062" t="s">
        <v>3171</v>
      </c>
    </row>
    <row r="8" spans="1:14" s="3062" customFormat="1">
      <c r="A8" s="3062" t="s">
        <v>3819</v>
      </c>
      <c r="B8" s="3062" t="s">
        <v>3796</v>
      </c>
      <c r="C8" s="3062" t="s">
        <v>3168</v>
      </c>
      <c r="D8" s="3062">
        <v>2987.18</v>
      </c>
      <c r="E8" s="3062">
        <v>2987.18</v>
      </c>
      <c r="F8" s="3062" t="s">
        <v>3820</v>
      </c>
      <c r="G8" s="3062" t="s">
        <v>3169</v>
      </c>
      <c r="H8" s="3062" t="s">
        <v>3817</v>
      </c>
      <c r="I8" s="3062">
        <v>113</v>
      </c>
      <c r="J8" s="3062">
        <v>118</v>
      </c>
      <c r="K8" s="3062">
        <v>395.01</v>
      </c>
      <c r="L8" s="3062">
        <v>4.42</v>
      </c>
      <c r="M8" s="3062" t="s">
        <v>3821</v>
      </c>
      <c r="N8" s="3062" t="s">
        <v>3171</v>
      </c>
    </row>
    <row r="9" spans="1:14" s="3064" customFormat="1">
      <c r="A9" s="3063" t="s">
        <v>3822</v>
      </c>
      <c r="B9" s="3063" t="s">
        <v>3796</v>
      </c>
      <c r="C9" s="3063" t="s">
        <v>3168</v>
      </c>
      <c r="D9" s="3063">
        <v>329589.59999999998</v>
      </c>
      <c r="E9" s="3063">
        <v>659179.30000000005</v>
      </c>
      <c r="F9" s="3063" t="s">
        <v>3823</v>
      </c>
      <c r="G9" s="3063" t="s">
        <v>3169</v>
      </c>
      <c r="H9" s="3063" t="s">
        <v>3824</v>
      </c>
      <c r="I9" s="3063">
        <v>15162</v>
      </c>
      <c r="J9" s="3063">
        <v>15212</v>
      </c>
      <c r="K9" s="3063">
        <v>230.77</v>
      </c>
      <c r="L9" s="3063">
        <v>0.33</v>
      </c>
      <c r="M9" s="3063" t="s">
        <v>3811</v>
      </c>
      <c r="N9" s="3064" t="s">
        <v>3171</v>
      </c>
    </row>
    <row r="10" spans="1:14" s="3062" customFormat="1">
      <c r="A10" s="3062" t="s">
        <v>3825</v>
      </c>
      <c r="B10" s="3062" t="s">
        <v>3796</v>
      </c>
      <c r="C10" s="3062" t="s">
        <v>3168</v>
      </c>
      <c r="D10" s="3062">
        <v>8000</v>
      </c>
      <c r="E10" s="3062">
        <v>6400</v>
      </c>
      <c r="F10" s="3062" t="s">
        <v>3797</v>
      </c>
      <c r="G10" s="3062" t="s">
        <v>3169</v>
      </c>
      <c r="H10" s="3062" t="s">
        <v>3826</v>
      </c>
      <c r="I10" s="3062">
        <v>315</v>
      </c>
      <c r="J10" s="3062">
        <v>325</v>
      </c>
      <c r="K10" s="3062">
        <v>507.81</v>
      </c>
      <c r="L10" s="3062">
        <v>3.17</v>
      </c>
      <c r="M10" s="3062" t="s">
        <v>3827</v>
      </c>
      <c r="N10" s="3062" t="s">
        <v>3171</v>
      </c>
    </row>
    <row r="11" spans="1:14" s="3064" customFormat="1">
      <c r="A11" s="3063" t="s">
        <v>3828</v>
      </c>
      <c r="B11" s="3063" t="s">
        <v>3796</v>
      </c>
      <c r="C11" s="3063" t="s">
        <v>3168</v>
      </c>
      <c r="D11" s="3063">
        <v>4167.76</v>
      </c>
      <c r="E11" s="3063">
        <v>8543.91</v>
      </c>
      <c r="F11" s="3063" t="s">
        <v>3829</v>
      </c>
      <c r="G11" s="3063" t="s">
        <v>3169</v>
      </c>
      <c r="H11" s="3063" t="s">
        <v>3826</v>
      </c>
      <c r="I11" s="3063">
        <v>184</v>
      </c>
      <c r="J11" s="3063">
        <v>194</v>
      </c>
      <c r="K11" s="3063">
        <v>227.06</v>
      </c>
      <c r="L11" s="3063">
        <v>5.43</v>
      </c>
      <c r="M11" s="3063" t="s">
        <v>3830</v>
      </c>
      <c r="N11" s="3064" t="s">
        <v>3171</v>
      </c>
    </row>
    <row r="12" spans="1:14" s="3062" customFormat="1">
      <c r="A12" s="3062" t="s">
        <v>3831</v>
      </c>
      <c r="B12" s="3062" t="s">
        <v>3796</v>
      </c>
      <c r="C12" s="3062" t="s">
        <v>3168</v>
      </c>
      <c r="D12" s="3062">
        <v>32917.97</v>
      </c>
      <c r="E12" s="3062">
        <v>39501.56</v>
      </c>
      <c r="F12" s="3062" t="s">
        <v>3832</v>
      </c>
      <c r="G12" s="3062" t="s">
        <v>3169</v>
      </c>
      <c r="H12" s="3062" t="s">
        <v>3833</v>
      </c>
      <c r="I12" s="3062">
        <v>1254</v>
      </c>
      <c r="J12" s="3062">
        <v>1274</v>
      </c>
      <c r="K12" s="3062">
        <v>322.51</v>
      </c>
      <c r="L12" s="3062">
        <v>1.59</v>
      </c>
      <c r="M12" s="3062" t="s">
        <v>3834</v>
      </c>
      <c r="N12" s="3062" t="s">
        <v>3171</v>
      </c>
    </row>
    <row r="13" spans="1:14" s="3062" customFormat="1">
      <c r="A13" s="3062" t="s">
        <v>3835</v>
      </c>
      <c r="B13" s="3062" t="s">
        <v>3796</v>
      </c>
      <c r="C13" s="3062" t="s">
        <v>3168</v>
      </c>
      <c r="D13" s="3062">
        <v>4550.26</v>
      </c>
      <c r="E13" s="3062">
        <v>2275.13</v>
      </c>
      <c r="F13" s="3062" t="s">
        <v>3801</v>
      </c>
      <c r="G13" s="3062" t="s">
        <v>3170</v>
      </c>
      <c r="H13" s="3062" t="s">
        <v>3836</v>
      </c>
      <c r="I13" s="3062">
        <v>120</v>
      </c>
      <c r="J13" s="3062">
        <v>130</v>
      </c>
      <c r="K13" s="3062">
        <v>571.39</v>
      </c>
      <c r="L13" s="3062">
        <v>8.33</v>
      </c>
      <c r="M13" s="3062" t="s">
        <v>3837</v>
      </c>
      <c r="N13" s="3062" t="s">
        <v>3171</v>
      </c>
    </row>
    <row r="14" spans="1:14" s="3062" customFormat="1">
      <c r="A14" s="3062" t="s">
        <v>3838</v>
      </c>
      <c r="B14" s="3062" t="s">
        <v>3796</v>
      </c>
      <c r="C14" s="3062" t="s">
        <v>3168</v>
      </c>
      <c r="D14" s="3062">
        <v>2994.22</v>
      </c>
      <c r="E14" s="3062">
        <v>3593.06</v>
      </c>
      <c r="F14" s="3062" t="s">
        <v>3839</v>
      </c>
      <c r="G14" s="3062" t="s">
        <v>3169</v>
      </c>
      <c r="H14" s="3062" t="s">
        <v>3840</v>
      </c>
      <c r="I14" s="3062">
        <v>138</v>
      </c>
      <c r="J14" s="3062">
        <v>143</v>
      </c>
      <c r="K14" s="3062">
        <v>397.99</v>
      </c>
      <c r="L14" s="3062">
        <v>3.62</v>
      </c>
      <c r="M14" s="3062" t="s">
        <v>3841</v>
      </c>
      <c r="N14" s="3062" t="s">
        <v>3171</v>
      </c>
    </row>
    <row r="15" spans="1:14" s="3064" customFormat="1">
      <c r="A15" s="3063" t="s">
        <v>3842</v>
      </c>
      <c r="B15" s="3063" t="s">
        <v>3796</v>
      </c>
      <c r="C15" s="3063" t="s">
        <v>3168</v>
      </c>
      <c r="D15" s="3063">
        <v>19717.59</v>
      </c>
      <c r="E15" s="3063">
        <v>39632.36</v>
      </c>
      <c r="F15" s="3063" t="s">
        <v>3843</v>
      </c>
      <c r="G15" s="3063" t="s">
        <v>3169</v>
      </c>
      <c r="H15" s="3063" t="s">
        <v>3840</v>
      </c>
      <c r="I15" s="3063">
        <v>923</v>
      </c>
      <c r="J15" s="3063">
        <v>938</v>
      </c>
      <c r="K15" s="3063">
        <v>236.68</v>
      </c>
      <c r="L15" s="3063">
        <v>1.63</v>
      </c>
      <c r="M15" s="3063" t="s">
        <v>3844</v>
      </c>
      <c r="N15" s="3064" t="s">
        <v>3171</v>
      </c>
    </row>
    <row r="16" spans="1:14" s="3062" customFormat="1">
      <c r="A16" s="3062" t="s">
        <v>3845</v>
      </c>
      <c r="B16" s="3062" t="s">
        <v>3796</v>
      </c>
      <c r="C16" s="3062" t="s">
        <v>3168</v>
      </c>
      <c r="D16" s="3062">
        <v>2654.45</v>
      </c>
      <c r="E16" s="3062">
        <v>796.33</v>
      </c>
      <c r="F16" s="3062" t="s">
        <v>3846</v>
      </c>
      <c r="G16" s="3062" t="s">
        <v>3169</v>
      </c>
      <c r="H16" s="3062" t="s">
        <v>3847</v>
      </c>
      <c r="I16" s="3062">
        <v>103</v>
      </c>
      <c r="J16" s="3062">
        <v>108</v>
      </c>
      <c r="K16" s="3062">
        <v>1356.22</v>
      </c>
      <c r="L16" s="3062">
        <v>4.8499999999999996</v>
      </c>
      <c r="M16" s="3062" t="s">
        <v>3848</v>
      </c>
      <c r="N16" s="3062" t="s">
        <v>3171</v>
      </c>
    </row>
    <row r="17" spans="1:14" s="3062" customFormat="1">
      <c r="A17" s="3062" t="s">
        <v>3849</v>
      </c>
      <c r="B17" s="3062" t="s">
        <v>3796</v>
      </c>
      <c r="C17" s="3062" t="s">
        <v>3168</v>
      </c>
      <c r="D17" s="3062">
        <v>2604</v>
      </c>
      <c r="E17" s="3062">
        <v>156.24</v>
      </c>
      <c r="F17" s="3062" t="s">
        <v>3850</v>
      </c>
      <c r="G17" s="3062" t="s">
        <v>3169</v>
      </c>
      <c r="H17" s="3062" t="s">
        <v>3851</v>
      </c>
      <c r="I17" s="3062">
        <v>69</v>
      </c>
      <c r="J17" s="3062">
        <v>74</v>
      </c>
      <c r="K17" s="3062">
        <v>4736.3</v>
      </c>
      <c r="L17" s="3062">
        <v>7.25</v>
      </c>
      <c r="M17" s="3062" t="s">
        <v>3852</v>
      </c>
      <c r="N17" s="3062" t="s">
        <v>3171</v>
      </c>
    </row>
    <row r="18" spans="1:14" s="3062" customFormat="1">
      <c r="A18" s="3062" t="s">
        <v>3853</v>
      </c>
      <c r="B18" s="3062" t="s">
        <v>3796</v>
      </c>
      <c r="C18" s="3062" t="s">
        <v>3168</v>
      </c>
      <c r="D18" s="3062">
        <v>29864.48</v>
      </c>
      <c r="E18" s="3062">
        <v>43602.14</v>
      </c>
      <c r="F18" s="3062" t="s">
        <v>3854</v>
      </c>
      <c r="G18" s="3062" t="s">
        <v>3169</v>
      </c>
      <c r="H18" s="3062" t="s">
        <v>3855</v>
      </c>
      <c r="I18" s="3062">
        <v>914</v>
      </c>
      <c r="J18" s="3062">
        <v>929</v>
      </c>
      <c r="K18" s="3062">
        <v>213.06</v>
      </c>
      <c r="L18" s="3062">
        <v>1.64</v>
      </c>
      <c r="M18" s="3062" t="s">
        <v>3856</v>
      </c>
      <c r="N18" s="3062" t="s">
        <v>3171</v>
      </c>
    </row>
    <row r="19" spans="1:14" s="3062" customFormat="1">
      <c r="A19" s="3062" t="s">
        <v>3857</v>
      </c>
      <c r="B19" s="3062" t="s">
        <v>3796</v>
      </c>
      <c r="C19" s="3062" t="s">
        <v>3168</v>
      </c>
      <c r="D19" s="3062">
        <v>2445.19</v>
      </c>
      <c r="E19" s="3062">
        <v>611.29999999999995</v>
      </c>
      <c r="F19" s="3062">
        <v>0.25</v>
      </c>
      <c r="G19" s="3062" t="s">
        <v>3169</v>
      </c>
      <c r="H19" s="3062" t="s">
        <v>3858</v>
      </c>
      <c r="I19" s="3062">
        <v>93</v>
      </c>
      <c r="J19" s="3062">
        <v>103</v>
      </c>
      <c r="K19" s="3062">
        <v>1684.93</v>
      </c>
      <c r="L19" s="3062">
        <v>10.75</v>
      </c>
      <c r="M19" s="3062" t="s">
        <v>3859</v>
      </c>
      <c r="N19" s="3062" t="s">
        <v>3171</v>
      </c>
    </row>
    <row r="20" spans="1:14" s="3062" customFormat="1">
      <c r="A20" s="3062" t="s">
        <v>3860</v>
      </c>
      <c r="B20" s="3062" t="s">
        <v>3796</v>
      </c>
      <c r="C20" s="3062" t="s">
        <v>3168</v>
      </c>
      <c r="D20" s="3062">
        <v>2099.96</v>
      </c>
      <c r="E20" s="3062">
        <v>629.99</v>
      </c>
      <c r="F20" s="3062" t="s">
        <v>3861</v>
      </c>
      <c r="G20" s="3062" t="s">
        <v>3169</v>
      </c>
      <c r="H20" s="3062" t="s">
        <v>3862</v>
      </c>
      <c r="I20" s="3062">
        <v>69</v>
      </c>
      <c r="J20" s="3062">
        <v>79</v>
      </c>
      <c r="K20" s="3062">
        <v>1253.99</v>
      </c>
      <c r="L20" s="3062">
        <v>14.49</v>
      </c>
      <c r="M20" s="3062" t="s">
        <v>3863</v>
      </c>
      <c r="N20" s="3062" t="s">
        <v>3171</v>
      </c>
    </row>
  </sheetData>
  <phoneticPr fontId="143" type="noConversion"/>
  <pageMargins left="0.75" right="0.75" top="1" bottom="1" header="0.5" footer="0.5"/>
  <pageSetup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H51" sqref="H51"/>
    </sheetView>
  </sheetViews>
  <sheetFormatPr defaultRowHeight="14.25"/>
  <cols>
    <col min="1" max="1" width="14.375" style="394" customWidth="1"/>
    <col min="2" max="2" width="15.75" style="394" customWidth="1"/>
    <col min="3" max="3" width="18.25" style="394" customWidth="1"/>
    <col min="4" max="4" width="14.1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394"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30" s="389" customFormat="1" ht="28.5" customHeight="1">
      <c r="A1" s="385" t="s">
        <v>2734</v>
      </c>
      <c r="B1" s="386"/>
      <c r="C1" s="387" t="s">
        <v>2735</v>
      </c>
      <c r="D1" s="746"/>
      <c r="E1" s="746"/>
      <c r="F1" s="745" t="s">
        <v>2633</v>
      </c>
      <c r="G1" s="746"/>
      <c r="H1" s="746"/>
      <c r="I1" s="746"/>
      <c r="J1" s="746"/>
      <c r="K1" s="747"/>
      <c r="L1" s="748"/>
      <c r="M1" s="749"/>
      <c r="N1" s="749"/>
      <c r="O1" s="749"/>
      <c r="P1" s="759"/>
      <c r="Q1" s="759"/>
      <c r="R1" s="759"/>
      <c r="S1" s="759"/>
      <c r="T1" s="759"/>
      <c r="U1" s="759"/>
      <c r="V1" s="759"/>
      <c r="W1" s="759"/>
      <c r="X1" s="759"/>
      <c r="Y1" s="759"/>
      <c r="Z1" s="759"/>
      <c r="AA1" s="759"/>
      <c r="AB1" s="759"/>
      <c r="AC1" s="760"/>
      <c r="AD1" s="388"/>
    </row>
    <row r="2" spans="1:30" s="389" customFormat="1" ht="28.5" customHeight="1">
      <c r="A2" s="236" t="s">
        <v>2320</v>
      </c>
      <c r="B2" s="662">
        <f>F66</f>
        <v>494</v>
      </c>
      <c r="C2" s="1112"/>
      <c r="D2" s="1112"/>
      <c r="E2" s="1113"/>
      <c r="F2" s="1114"/>
      <c r="G2" s="1113"/>
      <c r="H2" s="1113"/>
      <c r="I2" s="1113"/>
      <c r="J2" s="1113"/>
      <c r="K2" s="1115"/>
      <c r="L2" s="1116"/>
      <c r="M2" s="1117"/>
      <c r="N2" s="1117"/>
      <c r="O2" s="1117"/>
      <c r="P2" s="759"/>
      <c r="Q2" s="759"/>
      <c r="R2" s="759"/>
      <c r="S2" s="759"/>
      <c r="T2" s="759"/>
      <c r="U2" s="759"/>
      <c r="V2" s="759"/>
      <c r="W2" s="759"/>
      <c r="X2" s="759"/>
      <c r="Y2" s="759"/>
      <c r="Z2" s="759"/>
      <c r="AA2" s="759"/>
      <c r="AB2" s="759"/>
      <c r="AC2" s="760"/>
      <c r="AD2" s="388"/>
    </row>
    <row r="3" spans="1:30" s="389" customFormat="1" ht="28.5" customHeight="1" thickBot="1">
      <c r="A3" s="238" t="s">
        <v>2322</v>
      </c>
      <c r="B3" s="600">
        <f>ROUND(IF(D3="",B2*10000/'数据-汇总表'!E3,B2*10000/D3),0)</f>
        <v>242</v>
      </c>
      <c r="C3" s="238" t="s">
        <v>2736</v>
      </c>
      <c r="D3" s="1570"/>
      <c r="E3" s="1113"/>
      <c r="F3" s="1114"/>
      <c r="G3" s="1113"/>
      <c r="H3" s="1113"/>
      <c r="I3" s="1113"/>
      <c r="J3" s="1113"/>
      <c r="K3" s="1115"/>
      <c r="L3" s="1116"/>
      <c r="M3" s="1117"/>
      <c r="N3" s="1117"/>
      <c r="O3" s="1117"/>
      <c r="P3" s="759"/>
      <c r="Q3" s="759"/>
      <c r="R3" s="759"/>
      <c r="S3" s="759"/>
      <c r="T3" s="759"/>
      <c r="U3" s="759"/>
      <c r="V3" s="759"/>
      <c r="W3" s="759"/>
      <c r="X3" s="759"/>
      <c r="Y3" s="759"/>
      <c r="Z3" s="759"/>
      <c r="AA3" s="759"/>
      <c r="AB3" s="777"/>
      <c r="AC3" s="773"/>
    </row>
    <row r="4" spans="1:30" ht="15">
      <c r="A4" s="392" t="s">
        <v>2635</v>
      </c>
      <c r="B4" s="393"/>
      <c r="C4" s="3286" t="s">
        <v>2636</v>
      </c>
      <c r="D4" s="3287"/>
      <c r="E4" s="3288" t="s">
        <v>2637</v>
      </c>
      <c r="F4" s="3289"/>
      <c r="G4" s="3286" t="s">
        <v>2638</v>
      </c>
      <c r="H4" s="3287"/>
      <c r="I4" s="3286" t="s">
        <v>2639</v>
      </c>
      <c r="J4" s="3287"/>
      <c r="K4" s="601" t="s">
        <v>2640</v>
      </c>
      <c r="L4" s="1118"/>
      <c r="M4" s="1119"/>
      <c r="N4" s="1119"/>
      <c r="O4" s="1119"/>
      <c r="P4" s="3290" t="s">
        <v>2641</v>
      </c>
      <c r="Q4" s="3291"/>
      <c r="R4" s="3273" t="s">
        <v>2637</v>
      </c>
      <c r="S4" s="3274"/>
      <c r="T4" s="3273" t="s">
        <v>2638</v>
      </c>
      <c r="U4" s="3274"/>
      <c r="V4" s="3298" t="s">
        <v>2639</v>
      </c>
      <c r="W4" s="3298"/>
      <c r="X4" s="1800"/>
      <c r="Y4" s="3273" t="s">
        <v>2641</v>
      </c>
      <c r="Z4" s="3274"/>
      <c r="AA4" s="3268" t="s">
        <v>2637</v>
      </c>
      <c r="AB4" s="3269" t="s">
        <v>2638</v>
      </c>
      <c r="AC4" s="3268" t="s">
        <v>2639</v>
      </c>
    </row>
    <row r="5" spans="1:30" ht="15">
      <c r="A5" s="395"/>
      <c r="B5" s="396"/>
      <c r="C5" s="3279" t="s">
        <v>3080</v>
      </c>
      <c r="D5" s="3280"/>
      <c r="E5" s="3277" t="str">
        <f>土地案例!A11</f>
        <v>岳口镇粮仓巷村</v>
      </c>
      <c r="F5" s="3278"/>
      <c r="G5" s="3279" t="str">
        <f>土地案例!A15</f>
        <v>天门城区东环路东侧</v>
      </c>
      <c r="H5" s="3280"/>
      <c r="I5" s="3279" t="str">
        <f>土地案例!A9</f>
        <v>九真镇利涉村</v>
      </c>
      <c r="J5" s="3280"/>
      <c r="K5" s="601"/>
      <c r="L5" s="1118"/>
      <c r="M5" s="1119"/>
      <c r="N5" s="1119"/>
      <c r="O5" s="1119"/>
      <c r="P5" s="3292"/>
      <c r="Q5" s="3293"/>
      <c r="R5" s="3275"/>
      <c r="S5" s="3276"/>
      <c r="T5" s="3275"/>
      <c r="U5" s="3276"/>
      <c r="V5" s="3298"/>
      <c r="W5" s="3298"/>
      <c r="X5" s="1800"/>
      <c r="Y5" s="3275"/>
      <c r="Z5" s="3276"/>
      <c r="AA5" s="3269"/>
      <c r="AB5" s="3269"/>
      <c r="AC5" s="3269"/>
    </row>
    <row r="6" spans="1:30" ht="15.75" thickBot="1">
      <c r="A6" s="397"/>
      <c r="B6" s="398"/>
      <c r="C6" s="3281" t="s">
        <v>2536</v>
      </c>
      <c r="D6" s="3282"/>
      <c r="E6" s="3283" t="s">
        <v>2536</v>
      </c>
      <c r="F6" s="3284"/>
      <c r="G6" s="3281" t="s">
        <v>2536</v>
      </c>
      <c r="H6" s="3282"/>
      <c r="I6" s="3281" t="s">
        <v>2536</v>
      </c>
      <c r="J6" s="3282"/>
      <c r="K6" s="601" t="s">
        <v>2537</v>
      </c>
      <c r="L6" s="1118"/>
      <c r="M6" s="1119"/>
      <c r="N6" s="1119"/>
      <c r="O6" s="1119"/>
      <c r="P6" s="3294"/>
      <c r="Q6" s="3295"/>
      <c r="R6" s="3275"/>
      <c r="S6" s="3276"/>
      <c r="T6" s="3296"/>
      <c r="U6" s="3297"/>
      <c r="V6" s="3298"/>
      <c r="W6" s="3298"/>
      <c r="X6" s="1800"/>
      <c r="Y6" s="3296"/>
      <c r="Z6" s="3297"/>
      <c r="AA6" s="3270"/>
      <c r="AB6" s="3270"/>
      <c r="AC6" s="3270"/>
    </row>
    <row r="7" spans="1:30" s="110" customFormat="1" ht="15.75" thickBot="1">
      <c r="A7" s="399" t="s">
        <v>2538</v>
      </c>
      <c r="B7" s="400"/>
      <c r="C7" s="401">
        <f>'数据-取费表'!B2</f>
        <v>43515</v>
      </c>
      <c r="D7" s="402">
        <v>100</v>
      </c>
      <c r="E7" s="403" t="str">
        <f>土地案例!H11</f>
        <v>2018-03-07</v>
      </c>
      <c r="F7" s="404">
        <f>SUMIF(70:70,YEAR(E7)&amp;"-"&amp;INT((MONTH(E7)+2)/3),71:71)</f>
        <v>96</v>
      </c>
      <c r="G7" s="2684" t="str">
        <f>土地案例!H15</f>
        <v>2017-05-23</v>
      </c>
      <c r="H7" s="402">
        <f>SUMIF(70:70,YEAR(G7)&amp;"-"&amp;INT((MONTH(G7)+2)/3),71:71)</f>
        <v>93</v>
      </c>
      <c r="I7" s="2684" t="str">
        <f>土地案例!H9</f>
        <v>2018-03-15</v>
      </c>
      <c r="J7" s="402">
        <f>SUMIF(70:70,YEAR(I7)&amp;"-"&amp;INT((MONTH(I7)+2)/3),71:71)</f>
        <v>96</v>
      </c>
      <c r="K7" s="602"/>
      <c r="L7" s="1120"/>
      <c r="M7" s="1121"/>
      <c r="N7" s="1121"/>
      <c r="O7" s="1121"/>
      <c r="P7" s="3271" t="s">
        <v>2539</v>
      </c>
      <c r="Q7" s="3299"/>
      <c r="R7" s="761" t="s">
        <v>17</v>
      </c>
      <c r="S7" s="762">
        <f t="shared" ref="S7:S15" si="0">F7</f>
        <v>96</v>
      </c>
      <c r="T7" s="761" t="s">
        <v>17</v>
      </c>
      <c r="U7" s="762">
        <f t="shared" ref="U7:U15" si="1">H7</f>
        <v>93</v>
      </c>
      <c r="V7" s="761" t="s">
        <v>17</v>
      </c>
      <c r="W7" s="762">
        <f t="shared" ref="W7:W15" si="2">J7</f>
        <v>96</v>
      </c>
      <c r="X7" s="763"/>
      <c r="Y7" s="3271" t="s">
        <v>2539</v>
      </c>
      <c r="Z7" s="3272"/>
      <c r="AA7" s="764">
        <f>D7/F7</f>
        <v>1.0416666666666667</v>
      </c>
      <c r="AB7" s="764">
        <f>D7/H7</f>
        <v>1.075268817204301</v>
      </c>
      <c r="AC7" s="764">
        <f>D7/J7</f>
        <v>1.0416666666666667</v>
      </c>
    </row>
    <row r="8" spans="1:30" s="110" customFormat="1" ht="15.75" thickBot="1">
      <c r="A8" s="399" t="s">
        <v>2540</v>
      </c>
      <c r="B8" s="400"/>
      <c r="C8" s="405" t="s">
        <v>2541</v>
      </c>
      <c r="D8" s="402">
        <v>100</v>
      </c>
      <c r="E8" s="405" t="s">
        <v>2541</v>
      </c>
      <c r="F8" s="404">
        <f>SUMIF(73:73,E8,74:74)-SUMIF(73:73,C8,74:74)+100</f>
        <v>100</v>
      </c>
      <c r="G8" s="405" t="s">
        <v>2541</v>
      </c>
      <c r="H8" s="402">
        <f>SUMIF(73:73,G8,74:74)-SUMIF(73:73,C8,74:74)+100</f>
        <v>100</v>
      </c>
      <c r="I8" s="405" t="s">
        <v>2541</v>
      </c>
      <c r="J8" s="402">
        <f>SUMIF(73:73,I8,74:74)-SUMIF(73:73,C8,74:74)+100</f>
        <v>100</v>
      </c>
      <c r="K8" s="602"/>
      <c r="L8" s="1120"/>
      <c r="M8" s="1121"/>
      <c r="N8" s="1121"/>
      <c r="O8" s="1121"/>
      <c r="P8" s="3271" t="s">
        <v>2542</v>
      </c>
      <c r="Q8" s="3272"/>
      <c r="R8" s="761" t="s">
        <v>17</v>
      </c>
      <c r="S8" s="762">
        <f t="shared" si="0"/>
        <v>100</v>
      </c>
      <c r="T8" s="761" t="s">
        <v>17</v>
      </c>
      <c r="U8" s="762">
        <f t="shared" si="1"/>
        <v>100</v>
      </c>
      <c r="V8" s="761" t="s">
        <v>17</v>
      </c>
      <c r="W8" s="762">
        <f t="shared" si="2"/>
        <v>100</v>
      </c>
      <c r="X8" s="763"/>
      <c r="Y8" s="3271" t="s">
        <v>2542</v>
      </c>
      <c r="Z8" s="3272"/>
      <c r="AA8" s="764">
        <f t="shared" ref="AA8:AA45" si="3">D8/F8</f>
        <v>1</v>
      </c>
      <c r="AB8" s="764">
        <f t="shared" ref="AB8:AB45" si="4">D8/H8</f>
        <v>1</v>
      </c>
      <c r="AC8" s="764">
        <f t="shared" ref="AC8:AC45" si="5">D8/J8</f>
        <v>1</v>
      </c>
    </row>
    <row r="9" spans="1:30" s="110" customFormat="1">
      <c r="A9" s="406" t="s">
        <v>2543</v>
      </c>
      <c r="B9" s="70" t="s">
        <v>2544</v>
      </c>
      <c r="C9" s="2687" t="s">
        <v>1377</v>
      </c>
      <c r="D9" s="126">
        <v>100</v>
      </c>
      <c r="E9" s="2687" t="s">
        <v>1377</v>
      </c>
      <c r="F9" s="126">
        <f>SUMIF(75:75,E9,76:76)-SUMIF(75:75,C9,76:76)+100</f>
        <v>100</v>
      </c>
      <c r="G9" s="2687" t="s">
        <v>1377</v>
      </c>
      <c r="H9" s="126">
        <f>SUMIF(75:75,G9,76:76)-SUMIF(75:75,C9,76:76)+100</f>
        <v>100</v>
      </c>
      <c r="I9" s="2687" t="s">
        <v>1377</v>
      </c>
      <c r="J9" s="126">
        <f>SUMIF(75:75,I9,76:76)-SUMIF(75:75,C9,76:76)+100</f>
        <v>100</v>
      </c>
      <c r="K9" s="602"/>
      <c r="L9" s="1120"/>
      <c r="M9" s="1121"/>
      <c r="N9" s="1121"/>
      <c r="O9" s="1122"/>
      <c r="P9" s="3285" t="s">
        <v>2545</v>
      </c>
      <c r="Q9" s="1782" t="str">
        <f t="shared" ref="Q9:Q15" si="6">B9</f>
        <v>用途</v>
      </c>
      <c r="R9" s="761" t="s">
        <v>17</v>
      </c>
      <c r="S9" s="762">
        <f t="shared" si="0"/>
        <v>100</v>
      </c>
      <c r="T9" s="761" t="s">
        <v>17</v>
      </c>
      <c r="U9" s="762">
        <f t="shared" si="1"/>
        <v>100</v>
      </c>
      <c r="V9" s="761" t="s">
        <v>17</v>
      </c>
      <c r="W9" s="762">
        <f t="shared" si="2"/>
        <v>100</v>
      </c>
      <c r="X9" s="763"/>
      <c r="Y9" s="3145" t="s">
        <v>2546</v>
      </c>
      <c r="Z9" s="54" t="str">
        <f t="shared" ref="Z9:Z15" si="7">Q9</f>
        <v>用途</v>
      </c>
      <c r="AA9" s="764">
        <f t="shared" si="3"/>
        <v>1</v>
      </c>
      <c r="AB9" s="764">
        <f t="shared" si="4"/>
        <v>1</v>
      </c>
      <c r="AC9" s="764">
        <f t="shared" si="5"/>
        <v>1</v>
      </c>
    </row>
    <row r="10" spans="1:30" s="418" customFormat="1" ht="40.5">
      <c r="A10" s="412"/>
      <c r="B10" s="413" t="s">
        <v>2547</v>
      </c>
      <c r="C10" s="2936" t="str">
        <f>项目基本情况!F16</f>
        <v>住宅63.7年、商业33.7年、地下车库43.7年</v>
      </c>
      <c r="D10" s="127">
        <v>100</v>
      </c>
      <c r="E10" s="456" t="s">
        <v>3172</v>
      </c>
      <c r="F10" s="127">
        <f>ROUND(100/'数据-取费表'!G16,0)</f>
        <v>106</v>
      </c>
      <c r="G10" s="454" t="s">
        <v>3172</v>
      </c>
      <c r="H10" s="127">
        <f>ROUND(100/'数据-取费表'!G16,0)</f>
        <v>106</v>
      </c>
      <c r="I10" s="454" t="s">
        <v>3172</v>
      </c>
      <c r="J10" s="127">
        <f>ROUND(100/'数据-取费表'!G16,0)</f>
        <v>106</v>
      </c>
      <c r="K10" s="663"/>
      <c r="L10" s="1123"/>
      <c r="M10" s="1124"/>
      <c r="N10" s="1124"/>
      <c r="O10" s="1125"/>
      <c r="P10" s="3285"/>
      <c r="Q10" s="1782" t="str">
        <f t="shared" si="6"/>
        <v>土地使用年限（年）</v>
      </c>
      <c r="R10" s="761" t="s">
        <v>17</v>
      </c>
      <c r="S10" s="762">
        <f t="shared" si="0"/>
        <v>106</v>
      </c>
      <c r="T10" s="761" t="s">
        <v>17</v>
      </c>
      <c r="U10" s="762">
        <f t="shared" si="1"/>
        <v>106</v>
      </c>
      <c r="V10" s="761" t="s">
        <v>17</v>
      </c>
      <c r="W10" s="762">
        <f t="shared" si="2"/>
        <v>106</v>
      </c>
      <c r="X10" s="763"/>
      <c r="Y10" s="3145"/>
      <c r="Z10" s="54" t="str">
        <f t="shared" si="7"/>
        <v>土地使用年限（年）</v>
      </c>
      <c r="AA10" s="764">
        <f t="shared" si="3"/>
        <v>0.94339622641509435</v>
      </c>
      <c r="AB10" s="764">
        <f t="shared" si="4"/>
        <v>0.94339622641509435</v>
      </c>
      <c r="AC10" s="764">
        <f t="shared" si="5"/>
        <v>0.94339622641509435</v>
      </c>
    </row>
    <row r="11" spans="1:30" ht="15">
      <c r="A11" s="419"/>
      <c r="B11" s="413" t="s">
        <v>2548</v>
      </c>
      <c r="C11" s="2997">
        <f>'数据-汇总表'!I7</f>
        <v>2.2000000000000002</v>
      </c>
      <c r="D11" s="127">
        <v>100</v>
      </c>
      <c r="E11" s="420">
        <v>2.0499999999999998</v>
      </c>
      <c r="F11" s="127">
        <f>LOOKUP(E11,80:80,81:81)-LOOKUP(C11,80:80,81:81)+100</f>
        <v>100</v>
      </c>
      <c r="G11" s="421">
        <v>2.0099999999999998</v>
      </c>
      <c r="H11" s="127">
        <f>LOOKUP(G11,80:80,81:81)-LOOKUP(C11,80:80,81:81)+100</f>
        <v>100</v>
      </c>
      <c r="I11" s="420">
        <v>2</v>
      </c>
      <c r="J11" s="127">
        <f>LOOKUP(I11,80:80,81:81)-LOOKUP(C11,80:80,81:81)+100</f>
        <v>100</v>
      </c>
      <c r="K11" s="2998">
        <v>3</v>
      </c>
      <c r="L11" s="1126"/>
      <c r="M11" s="1119"/>
      <c r="N11" s="1119"/>
      <c r="O11" s="1127"/>
      <c r="P11" s="3285"/>
      <c r="Q11" s="1782" t="str">
        <f t="shared" si="6"/>
        <v>容积率</v>
      </c>
      <c r="R11" s="761" t="s">
        <v>17</v>
      </c>
      <c r="S11" s="762">
        <f t="shared" si="0"/>
        <v>100</v>
      </c>
      <c r="T11" s="761" t="s">
        <v>17</v>
      </c>
      <c r="U11" s="762">
        <f t="shared" si="1"/>
        <v>100</v>
      </c>
      <c r="V11" s="761" t="s">
        <v>17</v>
      </c>
      <c r="W11" s="762">
        <f t="shared" si="2"/>
        <v>100</v>
      </c>
      <c r="X11" s="763"/>
      <c r="Y11" s="3145"/>
      <c r="Z11" s="54" t="str">
        <f t="shared" si="7"/>
        <v>容积率</v>
      </c>
      <c r="AA11" s="764">
        <f t="shared" si="3"/>
        <v>1</v>
      </c>
      <c r="AB11" s="764">
        <f t="shared" si="4"/>
        <v>1</v>
      </c>
      <c r="AC11" s="764">
        <f t="shared" si="5"/>
        <v>1</v>
      </c>
    </row>
    <row r="12" spans="1:30" s="110" customFormat="1" ht="15" hidden="1">
      <c r="A12" s="422"/>
      <c r="B12" s="2590"/>
      <c r="C12" s="423"/>
      <c r="D12" s="424">
        <v>100</v>
      </c>
      <c r="E12" s="456"/>
      <c r="F12" s="127">
        <f>SUMIF(82:82,E12,83:83)-SUMIF(82:82,C12,83:83)+100</f>
        <v>100</v>
      </c>
      <c r="G12" s="454"/>
      <c r="H12" s="127">
        <f>SUMIF(82:82,G12,83:83)-SUMIF(82:82,C12,83:83)+100</f>
        <v>100</v>
      </c>
      <c r="I12" s="456"/>
      <c r="J12" s="127">
        <f>SUMIF(82:82,I12,83:83)-SUMIF(82:82,C12,83:83)+100</f>
        <v>100</v>
      </c>
      <c r="K12" s="663"/>
      <c r="L12" s="1120"/>
      <c r="M12" s="1121"/>
      <c r="N12" s="1121"/>
      <c r="O12" s="1122"/>
      <c r="P12" s="3285"/>
      <c r="Q12" s="1782">
        <f t="shared" si="6"/>
        <v>0</v>
      </c>
      <c r="R12" s="761" t="s">
        <v>17</v>
      </c>
      <c r="S12" s="762">
        <f t="shared" si="0"/>
        <v>100</v>
      </c>
      <c r="T12" s="761" t="s">
        <v>17</v>
      </c>
      <c r="U12" s="762">
        <f t="shared" si="1"/>
        <v>100</v>
      </c>
      <c r="V12" s="761" t="s">
        <v>17</v>
      </c>
      <c r="W12" s="762">
        <f t="shared" si="2"/>
        <v>100</v>
      </c>
      <c r="X12" s="763"/>
      <c r="Y12" s="3145"/>
      <c r="Z12" s="54">
        <f t="shared" si="7"/>
        <v>0</v>
      </c>
      <c r="AA12" s="764">
        <f>D12/F12</f>
        <v>1</v>
      </c>
      <c r="AB12" s="764">
        <f>D12/H12</f>
        <v>1</v>
      </c>
      <c r="AC12" s="764">
        <f>D12/J12</f>
        <v>1</v>
      </c>
    </row>
    <row r="13" spans="1:30" ht="15" hidden="1">
      <c r="A13" s="419"/>
      <c r="B13" s="2590"/>
      <c r="C13" s="425"/>
      <c r="D13" s="426">
        <v>100</v>
      </c>
      <c r="E13" s="540"/>
      <c r="F13" s="127">
        <f>SUMIF(84:84,E13,85:85)-SUMIF(84:84,C13,85:85)+100</f>
        <v>100</v>
      </c>
      <c r="G13" s="665"/>
      <c r="H13" s="426">
        <f>SUMIF(84:84,G13,85:85)-SUMIF(84:84,C13,85:85)+100</f>
        <v>100</v>
      </c>
      <c r="I13" s="665"/>
      <c r="J13" s="426">
        <f>SUMIF(84:84,I13,85:85)-SUMIF(84:84,C13,85:85)+100</f>
        <v>100</v>
      </c>
      <c r="K13" s="663"/>
      <c r="L13" s="1128"/>
      <c r="M13" s="1119"/>
      <c r="N13" s="1119"/>
      <c r="O13" s="1127"/>
      <c r="P13" s="3285"/>
      <c r="Q13" s="1782">
        <f t="shared" si="6"/>
        <v>0</v>
      </c>
      <c r="R13" s="761" t="s">
        <v>17</v>
      </c>
      <c r="S13" s="762">
        <f t="shared" si="0"/>
        <v>100</v>
      </c>
      <c r="T13" s="761" t="s">
        <v>17</v>
      </c>
      <c r="U13" s="762">
        <f t="shared" si="1"/>
        <v>100</v>
      </c>
      <c r="V13" s="761" t="s">
        <v>17</v>
      </c>
      <c r="W13" s="762">
        <f t="shared" si="2"/>
        <v>100</v>
      </c>
      <c r="X13" s="763"/>
      <c r="Y13" s="3145"/>
      <c r="Z13" s="54">
        <f t="shared" si="7"/>
        <v>0</v>
      </c>
      <c r="AA13" s="764">
        <f>D13/F13</f>
        <v>1</v>
      </c>
      <c r="AB13" s="764">
        <f>D13/H13</f>
        <v>1</v>
      </c>
      <c r="AC13" s="764">
        <f>D13/J13</f>
        <v>1</v>
      </c>
    </row>
    <row r="14" spans="1:30" ht="15.75" hidden="1" thickBot="1">
      <c r="A14" s="427"/>
      <c r="B14" s="2592"/>
      <c r="C14" s="428"/>
      <c r="D14" s="429">
        <v>100</v>
      </c>
      <c r="E14" s="540"/>
      <c r="F14" s="429">
        <f>SUMIF(86:86,E14,87:87)-SUMIF(86:86,C14,87:87)+100</f>
        <v>100</v>
      </c>
      <c r="G14" s="665"/>
      <c r="H14" s="429">
        <f>SUMIF(86:86,G14,87:87)-SUMIF(86:86,C14,87:87)+100</f>
        <v>100</v>
      </c>
      <c r="I14" s="665"/>
      <c r="J14" s="429">
        <f>SUMIF(86:86,I14,87:87)-SUMIF(86:86,C14,87:87)+100</f>
        <v>100</v>
      </c>
      <c r="K14" s="663"/>
      <c r="L14" s="1128"/>
      <c r="M14" s="1119"/>
      <c r="N14" s="1119"/>
      <c r="O14" s="1127"/>
      <c r="P14" s="3285"/>
      <c r="Q14" s="1782">
        <f t="shared" si="6"/>
        <v>0</v>
      </c>
      <c r="R14" s="761" t="s">
        <v>17</v>
      </c>
      <c r="S14" s="762">
        <f t="shared" si="0"/>
        <v>100</v>
      </c>
      <c r="T14" s="761" t="s">
        <v>17</v>
      </c>
      <c r="U14" s="762">
        <f t="shared" si="1"/>
        <v>100</v>
      </c>
      <c r="V14" s="761" t="s">
        <v>17</v>
      </c>
      <c r="W14" s="762">
        <f t="shared" si="2"/>
        <v>100</v>
      </c>
      <c r="X14" s="763"/>
      <c r="Y14" s="3145"/>
      <c r="Z14" s="54">
        <f t="shared" si="7"/>
        <v>0</v>
      </c>
      <c r="AA14" s="764">
        <f>D14/F14</f>
        <v>1</v>
      </c>
      <c r="AB14" s="764">
        <f>D14/H14</f>
        <v>1</v>
      </c>
      <c r="AC14" s="764">
        <f>D14/J14</f>
        <v>1</v>
      </c>
    </row>
    <row r="15" spans="1:30" ht="15" hidden="1">
      <c r="A15" s="431" t="s">
        <v>2549</v>
      </c>
      <c r="B15" s="68" t="s">
        <v>2088</v>
      </c>
      <c r="C15" s="2593">
        <f>估价对象房地状况!C15</f>
        <v>0</v>
      </c>
      <c r="D15" s="432">
        <v>100</v>
      </c>
      <c r="E15" s="433"/>
      <c r="F15" s="432">
        <f>SUMIF(88:88,E16,89:89)-SUMIF(88:88,C16,89:89)+100</f>
        <v>100</v>
      </c>
      <c r="G15" s="433"/>
      <c r="H15" s="432">
        <f>SUMIF(88:88,G16,89:89)-SUMIF(88:88,C16,89:89)+100</f>
        <v>100</v>
      </c>
      <c r="I15" s="435"/>
      <c r="J15" s="432">
        <f>SUMIF(88:88,I16,89:89)-SUMIF(88:88,C16,89:89)+100</f>
        <v>100</v>
      </c>
      <c r="K15" s="664">
        <v>5</v>
      </c>
      <c r="L15" s="1128"/>
      <c r="M15" s="1119"/>
      <c r="N15" s="1119"/>
      <c r="O15" s="1127"/>
      <c r="P15" s="3300" t="s">
        <v>2550</v>
      </c>
      <c r="Q15" s="1797" t="str">
        <f t="shared" si="6"/>
        <v>居住社区成熟度</v>
      </c>
      <c r="R15" s="765" t="s">
        <v>17</v>
      </c>
      <c r="S15" s="766">
        <f t="shared" si="0"/>
        <v>100</v>
      </c>
      <c r="T15" s="765" t="s">
        <v>17</v>
      </c>
      <c r="U15" s="766">
        <f t="shared" si="1"/>
        <v>100</v>
      </c>
      <c r="V15" s="765" t="s">
        <v>17</v>
      </c>
      <c r="W15" s="766">
        <f t="shared" si="2"/>
        <v>100</v>
      </c>
      <c r="X15" s="1800"/>
      <c r="Y15" s="3300" t="s">
        <v>2550</v>
      </c>
      <c r="Z15" s="1801" t="str">
        <f t="shared" si="7"/>
        <v>居住社区成熟度</v>
      </c>
      <c r="AA15" s="1798">
        <f t="shared" si="3"/>
        <v>1</v>
      </c>
      <c r="AB15" s="1798">
        <f t="shared" si="4"/>
        <v>1</v>
      </c>
      <c r="AC15" s="1798">
        <f t="shared" si="5"/>
        <v>1</v>
      </c>
    </row>
    <row r="16" spans="1:30" ht="15" hidden="1">
      <c r="A16" s="419"/>
      <c r="B16" s="437"/>
      <c r="C16" s="438"/>
      <c r="D16" s="439"/>
      <c r="E16" s="2595"/>
      <c r="F16" s="439"/>
      <c r="G16" s="2595"/>
      <c r="H16" s="441"/>
      <c r="I16" s="438"/>
      <c r="J16" s="439"/>
      <c r="K16" s="663"/>
      <c r="L16" s="1128"/>
      <c r="M16" s="1119"/>
      <c r="N16" s="1119"/>
      <c r="O16" s="1127"/>
      <c r="P16" s="3301"/>
      <c r="Q16" s="1797"/>
      <c r="R16" s="765"/>
      <c r="S16" s="766"/>
      <c r="T16" s="765"/>
      <c r="U16" s="766"/>
      <c r="V16" s="765"/>
      <c r="W16" s="766"/>
      <c r="X16" s="1800"/>
      <c r="Y16" s="3301"/>
      <c r="Z16" s="1801"/>
      <c r="AA16" s="1798">
        <v>1</v>
      </c>
      <c r="AB16" s="1798">
        <v>1</v>
      </c>
      <c r="AC16" s="1798">
        <v>1</v>
      </c>
    </row>
    <row r="17" spans="1:29" ht="15">
      <c r="A17" s="419"/>
      <c r="B17" s="442" t="s">
        <v>2643</v>
      </c>
      <c r="C17" s="2652">
        <f>估价对象房地状况!C16</f>
        <v>0</v>
      </c>
      <c r="D17" s="441">
        <v>100</v>
      </c>
      <c r="E17" s="443"/>
      <c r="F17" s="441">
        <f>SUMIF(90:90,E18,91:91)-SUMIF(90:90,C18,91:91)+100</f>
        <v>98</v>
      </c>
      <c r="G17" s="443"/>
      <c r="H17" s="446">
        <f>SUMIF(90:90,G18,91:91)-SUMIF(90:90,C18,91:91)+100</f>
        <v>100</v>
      </c>
      <c r="I17" s="445"/>
      <c r="J17" s="446">
        <f>SUMIF(90:90,I18,91:91)-SUMIF(90:90,C18,91:91)+100</f>
        <v>98</v>
      </c>
      <c r="K17" s="664">
        <v>2</v>
      </c>
      <c r="L17" s="1128"/>
      <c r="M17" s="1119"/>
      <c r="N17" s="1119"/>
      <c r="O17" s="1127"/>
      <c r="P17" s="3301"/>
      <c r="Q17" s="1797" t="str">
        <f>B17</f>
        <v>商业繁华度</v>
      </c>
      <c r="R17" s="765" t="s">
        <v>17</v>
      </c>
      <c r="S17" s="766">
        <f>F17</f>
        <v>98</v>
      </c>
      <c r="T17" s="765" t="s">
        <v>17</v>
      </c>
      <c r="U17" s="766">
        <f>H17</f>
        <v>100</v>
      </c>
      <c r="V17" s="765" t="s">
        <v>17</v>
      </c>
      <c r="W17" s="766">
        <f>J17</f>
        <v>98</v>
      </c>
      <c r="X17" s="1800"/>
      <c r="Y17" s="3301"/>
      <c r="Z17" s="1801" t="str">
        <f>Q17</f>
        <v>商业繁华度</v>
      </c>
      <c r="AA17" s="1798">
        <f t="shared" si="3"/>
        <v>1.0204081632653061</v>
      </c>
      <c r="AB17" s="1798">
        <f t="shared" si="4"/>
        <v>1</v>
      </c>
      <c r="AC17" s="1798">
        <f t="shared" si="5"/>
        <v>1.0204081632653061</v>
      </c>
    </row>
    <row r="18" spans="1:29" ht="15">
      <c r="A18" s="419"/>
      <c r="B18" s="447"/>
      <c r="C18" s="438" t="s">
        <v>3076</v>
      </c>
      <c r="D18" s="441"/>
      <c r="E18" s="3074" t="s">
        <v>3864</v>
      </c>
      <c r="F18" s="441"/>
      <c r="G18" s="438" t="s">
        <v>3076</v>
      </c>
      <c r="H18" s="439"/>
      <c r="I18" s="438" t="s">
        <v>3864</v>
      </c>
      <c r="J18" s="439"/>
      <c r="K18" s="663"/>
      <c r="L18" s="1128"/>
      <c r="M18" s="1119"/>
      <c r="N18" s="1119"/>
      <c r="O18" s="1127"/>
      <c r="P18" s="3301"/>
      <c r="Q18" s="1797"/>
      <c r="R18" s="765"/>
      <c r="S18" s="766"/>
      <c r="T18" s="765"/>
      <c r="U18" s="766"/>
      <c r="V18" s="765"/>
      <c r="W18" s="766"/>
      <c r="X18" s="1800"/>
      <c r="Y18" s="3301"/>
      <c r="Z18" s="1801"/>
      <c r="AA18" s="1798">
        <v>1</v>
      </c>
      <c r="AB18" s="1798">
        <v>1</v>
      </c>
      <c r="AC18" s="1798">
        <v>1</v>
      </c>
    </row>
    <row r="19" spans="1:29" ht="15" hidden="1">
      <c r="A19" s="419"/>
      <c r="B19" s="442" t="s">
        <v>2677</v>
      </c>
      <c r="C19" s="2652">
        <f>估价对象房地状况!C17</f>
        <v>0</v>
      </c>
      <c r="D19" s="446">
        <v>100</v>
      </c>
      <c r="E19" s="448"/>
      <c r="F19" s="446">
        <f>SUMIF(92:92,E20,93:93)-SUMIF(92:92,C20,93:93)+100</f>
        <v>100</v>
      </c>
      <c r="G19" s="448"/>
      <c r="H19" s="441">
        <f>SUMIF(92:92,G20,93:93)-SUMIF(92:92,C20,93:93)+100</f>
        <v>100</v>
      </c>
      <c r="I19" s="450"/>
      <c r="J19" s="441">
        <f>SUMIF(92:92,I20,93:93)-SUMIF(92:92,C20,93:93)+100</f>
        <v>100</v>
      </c>
      <c r="K19" s="664"/>
      <c r="L19" s="1128"/>
      <c r="M19" s="1119"/>
      <c r="N19" s="1119"/>
      <c r="O19" s="1127"/>
      <c r="P19" s="3301"/>
      <c r="Q19" s="1797" t="str">
        <f>B19</f>
        <v>办公集聚程度</v>
      </c>
      <c r="R19" s="765" t="s">
        <v>17</v>
      </c>
      <c r="S19" s="766">
        <f>F19</f>
        <v>100</v>
      </c>
      <c r="T19" s="765" t="s">
        <v>17</v>
      </c>
      <c r="U19" s="766">
        <f>H19</f>
        <v>100</v>
      </c>
      <c r="V19" s="765" t="s">
        <v>17</v>
      </c>
      <c r="W19" s="766">
        <f>J19</f>
        <v>100</v>
      </c>
      <c r="X19" s="1800"/>
      <c r="Y19" s="3301"/>
      <c r="Z19" s="1801" t="str">
        <f>Q19</f>
        <v>办公集聚程度</v>
      </c>
      <c r="AA19" s="1798">
        <f t="shared" si="3"/>
        <v>1</v>
      </c>
      <c r="AB19" s="1798">
        <f t="shared" si="4"/>
        <v>1</v>
      </c>
      <c r="AC19" s="1798">
        <f t="shared" si="5"/>
        <v>1</v>
      </c>
    </row>
    <row r="20" spans="1:29" ht="15" hidden="1">
      <c r="A20" s="419"/>
      <c r="B20" s="447"/>
      <c r="C20" s="438"/>
      <c r="D20" s="439"/>
      <c r="E20" s="2595"/>
      <c r="F20" s="439"/>
      <c r="G20" s="2595"/>
      <c r="H20" s="439"/>
      <c r="I20" s="2594"/>
      <c r="J20" s="439"/>
      <c r="K20" s="663"/>
      <c r="L20" s="1128"/>
      <c r="M20" s="1119"/>
      <c r="N20" s="1119"/>
      <c r="O20" s="1127"/>
      <c r="P20" s="3301"/>
      <c r="Q20" s="1797"/>
      <c r="R20" s="765"/>
      <c r="S20" s="766"/>
      <c r="T20" s="765"/>
      <c r="U20" s="766"/>
      <c r="V20" s="765"/>
      <c r="W20" s="766"/>
      <c r="X20" s="1800"/>
      <c r="Y20" s="3301"/>
      <c r="Z20" s="1801"/>
      <c r="AA20" s="1798">
        <v>1</v>
      </c>
      <c r="AB20" s="1798">
        <v>1</v>
      </c>
      <c r="AC20" s="1798">
        <v>1</v>
      </c>
    </row>
    <row r="21" spans="1:29" ht="15">
      <c r="A21" s="419"/>
      <c r="B21" s="442" t="s">
        <v>2699</v>
      </c>
      <c r="C21" s="2597">
        <f>估价对象房地状况!C18</f>
        <v>0</v>
      </c>
      <c r="D21" s="441">
        <v>100</v>
      </c>
      <c r="E21" s="443"/>
      <c r="F21" s="446">
        <f>SUMIF(94:94,E22,95:95)-SUMIF(94:94,C22,95:95)+100</f>
        <v>98</v>
      </c>
      <c r="G21" s="443"/>
      <c r="H21" s="441">
        <f>SUMIF(94:94,G22,95:95)-SUMIF(94:94,C22,95:95)+100</f>
        <v>100</v>
      </c>
      <c r="I21" s="445"/>
      <c r="J21" s="441">
        <f>SUMIF(94:94,I22,95:95)-SUMIF(94:94,C22,95:95)+100</f>
        <v>98</v>
      </c>
      <c r="K21" s="664">
        <v>2</v>
      </c>
      <c r="L21" s="1128"/>
      <c r="M21" s="1119"/>
      <c r="N21" s="1119"/>
      <c r="O21" s="1127"/>
      <c r="P21" s="3301"/>
      <c r="Q21" s="1797" t="str">
        <f>B21</f>
        <v>交通便捷度</v>
      </c>
      <c r="R21" s="765" t="s">
        <v>17</v>
      </c>
      <c r="S21" s="766">
        <f>F21</f>
        <v>98</v>
      </c>
      <c r="T21" s="765" t="s">
        <v>17</v>
      </c>
      <c r="U21" s="766">
        <f>H21</f>
        <v>100</v>
      </c>
      <c r="V21" s="765" t="s">
        <v>17</v>
      </c>
      <c r="W21" s="766">
        <f>J21</f>
        <v>98</v>
      </c>
      <c r="X21" s="1800"/>
      <c r="Y21" s="3301"/>
      <c r="Z21" s="1801" t="str">
        <f>Q21</f>
        <v>交通便捷度</v>
      </c>
      <c r="AA21" s="1798">
        <f t="shared" si="3"/>
        <v>1.0204081632653061</v>
      </c>
      <c r="AB21" s="1798">
        <f t="shared" si="4"/>
        <v>1</v>
      </c>
      <c r="AC21" s="1798">
        <f t="shared" si="5"/>
        <v>1.0204081632653061</v>
      </c>
    </row>
    <row r="22" spans="1:29" ht="15">
      <c r="A22" s="419"/>
      <c r="B22" s="1372"/>
      <c r="C22" s="438" t="s">
        <v>3075</v>
      </c>
      <c r="D22" s="441"/>
      <c r="E22" s="438" t="s">
        <v>3076</v>
      </c>
      <c r="F22" s="439"/>
      <c r="G22" s="438" t="s">
        <v>3075</v>
      </c>
      <c r="H22" s="439"/>
      <c r="I22" s="438" t="s">
        <v>3076</v>
      </c>
      <c r="J22" s="439"/>
      <c r="K22" s="663"/>
      <c r="L22" s="1128"/>
      <c r="M22" s="1119"/>
      <c r="N22" s="1119"/>
      <c r="O22" s="1127"/>
      <c r="P22" s="3301"/>
      <c r="Q22" s="1797"/>
      <c r="R22" s="765"/>
      <c r="S22" s="766"/>
      <c r="T22" s="765"/>
      <c r="U22" s="766"/>
      <c r="V22" s="765"/>
      <c r="W22" s="766"/>
      <c r="X22" s="1800"/>
      <c r="Y22" s="3301"/>
      <c r="Z22" s="1801"/>
      <c r="AA22" s="1798">
        <v>1</v>
      </c>
      <c r="AB22" s="1798">
        <v>1</v>
      </c>
      <c r="AC22" s="1798">
        <v>1</v>
      </c>
    </row>
    <row r="23" spans="1:29" ht="15">
      <c r="A23" s="395"/>
      <c r="B23" s="442" t="s">
        <v>2737</v>
      </c>
      <c r="C23" s="1377">
        <f>估价对象房地状况!C19</f>
        <v>0</v>
      </c>
      <c r="D23" s="446">
        <v>100</v>
      </c>
      <c r="E23" s="443"/>
      <c r="F23" s="446">
        <f>SUMIF(96:96,E24,97:97)-SUMIF(96:96,C24,97:97)+100</f>
        <v>100</v>
      </c>
      <c r="G23" s="445"/>
      <c r="H23" s="446">
        <f>SUMIF(96:96,G24,97:97)-SUMIF(96:96,C24,97:97)+100</f>
        <v>100</v>
      </c>
      <c r="I23" s="445"/>
      <c r="J23" s="446">
        <f>SUMIF(96:96,I24,97:97)-SUMIF(96:96,C24,97:97)+100</f>
        <v>100</v>
      </c>
      <c r="K23" s="664">
        <v>3</v>
      </c>
      <c r="L23" s="1128"/>
      <c r="M23" s="1119"/>
      <c r="N23" s="1119"/>
      <c r="O23" s="1127"/>
      <c r="P23" s="3301"/>
      <c r="Q23" s="1797" t="str">
        <f t="shared" ref="Q23:Q37" si="8">B23</f>
        <v>区域土地利用方向</v>
      </c>
      <c r="R23" s="765" t="s">
        <v>17</v>
      </c>
      <c r="S23" s="766">
        <f>F23</f>
        <v>100</v>
      </c>
      <c r="T23" s="765" t="s">
        <v>17</v>
      </c>
      <c r="U23" s="766">
        <f>H23</f>
        <v>100</v>
      </c>
      <c r="V23" s="765" t="s">
        <v>17</v>
      </c>
      <c r="W23" s="766">
        <f>J23</f>
        <v>100</v>
      </c>
      <c r="X23" s="1800"/>
      <c r="Y23" s="3301"/>
      <c r="Z23" s="1801" t="str">
        <f>Q23</f>
        <v>区域土地利用方向</v>
      </c>
      <c r="AA23" s="1798">
        <f t="shared" si="3"/>
        <v>1</v>
      </c>
      <c r="AB23" s="1798">
        <f t="shared" si="4"/>
        <v>1</v>
      </c>
      <c r="AC23" s="1798">
        <f t="shared" si="5"/>
        <v>1</v>
      </c>
    </row>
    <row r="24" spans="1:29" ht="15">
      <c r="A24" s="395"/>
      <c r="B24" s="447"/>
      <c r="C24" s="438" t="s">
        <v>3075</v>
      </c>
      <c r="D24" s="439"/>
      <c r="E24" s="438" t="s">
        <v>3075</v>
      </c>
      <c r="F24" s="439"/>
      <c r="G24" s="438" t="s">
        <v>3075</v>
      </c>
      <c r="H24" s="439"/>
      <c r="I24" s="438" t="s">
        <v>3075</v>
      </c>
      <c r="J24" s="439"/>
      <c r="K24" s="798"/>
      <c r="L24" s="1128"/>
      <c r="M24" s="1119"/>
      <c r="N24" s="1119"/>
      <c r="O24" s="1127"/>
      <c r="P24" s="3301"/>
      <c r="Q24" s="1797"/>
      <c r="R24" s="765"/>
      <c r="S24" s="766"/>
      <c r="T24" s="765"/>
      <c r="U24" s="766"/>
      <c r="V24" s="765"/>
      <c r="W24" s="766"/>
      <c r="X24" s="1800"/>
      <c r="Y24" s="3301"/>
      <c r="Z24" s="1801"/>
      <c r="AA24" s="1798"/>
      <c r="AB24" s="1798"/>
      <c r="AC24" s="1798"/>
    </row>
    <row r="25" spans="1:29" ht="27">
      <c r="A25" s="395"/>
      <c r="B25" s="1372" t="s">
        <v>2738</v>
      </c>
      <c r="C25" s="2652">
        <f>估价对象房地状况!C20</f>
        <v>0</v>
      </c>
      <c r="D25" s="441">
        <v>100</v>
      </c>
      <c r="E25" s="443"/>
      <c r="F25" s="441">
        <f>SUMIF(98:98,E26,99:99)-SUMIF(98:98,C26,99:99)+100</f>
        <v>98</v>
      </c>
      <c r="G25" s="443"/>
      <c r="H25" s="441">
        <f>SUMIF(98:98,G26,99:99)-SUMIF(98:98,C26,99:99)+100</f>
        <v>100</v>
      </c>
      <c r="I25" s="445"/>
      <c r="J25" s="441">
        <f>SUMIF(98:98,I26,99:99)-SUMIF(98:98,C26,99:99)+100</f>
        <v>98</v>
      </c>
      <c r="K25" s="664">
        <v>2</v>
      </c>
      <c r="L25" s="1128"/>
      <c r="M25" s="1119"/>
      <c r="N25" s="1119"/>
      <c r="O25" s="1127"/>
      <c r="P25" s="3301"/>
      <c r="Q25" s="1797" t="str">
        <f t="shared" si="8"/>
        <v>自然及人文环境状况</v>
      </c>
      <c r="R25" s="765" t="s">
        <v>17</v>
      </c>
      <c r="S25" s="766">
        <f>F25</f>
        <v>98</v>
      </c>
      <c r="T25" s="765" t="s">
        <v>17</v>
      </c>
      <c r="U25" s="766">
        <f>H25</f>
        <v>100</v>
      </c>
      <c r="V25" s="765" t="s">
        <v>17</v>
      </c>
      <c r="W25" s="766">
        <f>J25</f>
        <v>98</v>
      </c>
      <c r="X25" s="1800"/>
      <c r="Y25" s="3301"/>
      <c r="Z25" s="1801" t="str">
        <f>Q25</f>
        <v>自然及人文环境状况</v>
      </c>
      <c r="AA25" s="1798">
        <f t="shared" si="3"/>
        <v>1.0204081632653061</v>
      </c>
      <c r="AB25" s="1798">
        <f t="shared" si="4"/>
        <v>1</v>
      </c>
      <c r="AC25" s="1798">
        <f t="shared" si="5"/>
        <v>1.0204081632653061</v>
      </c>
    </row>
    <row r="26" spans="1:29" ht="15">
      <c r="A26" s="395"/>
      <c r="B26" s="447"/>
      <c r="C26" s="438" t="s">
        <v>3075</v>
      </c>
      <c r="D26" s="439"/>
      <c r="E26" s="438" t="s">
        <v>3076</v>
      </c>
      <c r="F26" s="439"/>
      <c r="G26" s="438" t="s">
        <v>3075</v>
      </c>
      <c r="H26" s="439"/>
      <c r="I26" s="438" t="s">
        <v>3076</v>
      </c>
      <c r="J26" s="439"/>
      <c r="K26" s="663"/>
      <c r="L26" s="1128"/>
      <c r="M26" s="1119"/>
      <c r="N26" s="1119"/>
      <c r="O26" s="1127"/>
      <c r="P26" s="3301"/>
      <c r="Q26" s="1797"/>
      <c r="R26" s="765"/>
      <c r="S26" s="766"/>
      <c r="T26" s="765"/>
      <c r="U26" s="766"/>
      <c r="V26" s="765"/>
      <c r="W26" s="766"/>
      <c r="X26" s="1800"/>
      <c r="Y26" s="3301"/>
      <c r="Z26" s="1801"/>
      <c r="AA26" s="1798">
        <v>1</v>
      </c>
      <c r="AB26" s="1798">
        <v>1</v>
      </c>
      <c r="AC26" s="1798">
        <v>1</v>
      </c>
    </row>
    <row r="27" spans="1:29" s="110" customFormat="1" ht="15">
      <c r="A27" s="640"/>
      <c r="B27" s="1372" t="s">
        <v>2644</v>
      </c>
      <c r="C27" s="2597">
        <f>估价对象房地状况!C21</f>
        <v>0</v>
      </c>
      <c r="D27" s="441">
        <v>100</v>
      </c>
      <c r="E27" s="443"/>
      <c r="F27" s="441">
        <f>SUMIF(100:100,E28,101:101)-SUMIF(100:100,C28,101:101)+100</f>
        <v>100</v>
      </c>
      <c r="G27" s="443"/>
      <c r="H27" s="441">
        <f>SUMIF(100:100,G28,101:101)-SUMIF(100:100,C28,101:101)+100</f>
        <v>100</v>
      </c>
      <c r="I27" s="445"/>
      <c r="J27" s="441">
        <f>SUMIF(100:100,I28,101:101)-SUMIF(100:100,C28,101:101)+100</f>
        <v>100</v>
      </c>
      <c r="K27" s="664">
        <v>2</v>
      </c>
      <c r="L27" s="1120"/>
      <c r="M27" s="1121"/>
      <c r="N27" s="1121"/>
      <c r="O27" s="1122"/>
      <c r="P27" s="3301"/>
      <c r="Q27" s="1782" t="str">
        <f t="shared" si="8"/>
        <v>公共配套设施</v>
      </c>
      <c r="R27" s="761" t="s">
        <v>17</v>
      </c>
      <c r="S27" s="762">
        <f>F27</f>
        <v>100</v>
      </c>
      <c r="T27" s="761" t="s">
        <v>17</v>
      </c>
      <c r="U27" s="762">
        <f>H27</f>
        <v>100</v>
      </c>
      <c r="V27" s="761" t="s">
        <v>17</v>
      </c>
      <c r="W27" s="762">
        <f>J27</f>
        <v>100</v>
      </c>
      <c r="X27" s="763"/>
      <c r="Y27" s="3301"/>
      <c r="Z27" s="54" t="str">
        <f>Q27</f>
        <v>公共配套设施</v>
      </c>
      <c r="AA27" s="1798">
        <f>D27/F27</f>
        <v>1</v>
      </c>
      <c r="AB27" s="1798">
        <f>D27/H27</f>
        <v>1</v>
      </c>
      <c r="AC27" s="1798">
        <f>D27/J27</f>
        <v>1</v>
      </c>
    </row>
    <row r="28" spans="1:29" s="110" customFormat="1" ht="15">
      <c r="A28" s="640"/>
      <c r="B28" s="447"/>
      <c r="C28" s="438" t="s">
        <v>3076</v>
      </c>
      <c r="D28" s="439"/>
      <c r="E28" s="438" t="s">
        <v>3076</v>
      </c>
      <c r="F28" s="439"/>
      <c r="G28" s="438" t="s">
        <v>3076</v>
      </c>
      <c r="H28" s="439"/>
      <c r="I28" s="438" t="s">
        <v>3076</v>
      </c>
      <c r="J28" s="439"/>
      <c r="K28" s="663"/>
      <c r="L28" s="1120"/>
      <c r="M28" s="1121"/>
      <c r="N28" s="1121"/>
      <c r="O28" s="1122"/>
      <c r="P28" s="3301"/>
      <c r="Q28" s="1782"/>
      <c r="R28" s="761"/>
      <c r="S28" s="762"/>
      <c r="T28" s="761"/>
      <c r="U28" s="762"/>
      <c r="V28" s="761"/>
      <c r="W28" s="762"/>
      <c r="X28" s="763"/>
      <c r="Y28" s="3301"/>
      <c r="Z28" s="54"/>
      <c r="AA28" s="1798">
        <v>1</v>
      </c>
      <c r="AB28" s="1798">
        <v>1</v>
      </c>
      <c r="AC28" s="1798">
        <v>1</v>
      </c>
    </row>
    <row r="29" spans="1:29" s="110" customFormat="1" ht="15">
      <c r="A29" s="640"/>
      <c r="B29" s="1372" t="s">
        <v>2645</v>
      </c>
      <c r="C29" s="2597">
        <f>估价对象房地状况!C22</f>
        <v>0</v>
      </c>
      <c r="D29" s="441">
        <v>100</v>
      </c>
      <c r="E29" s="443"/>
      <c r="F29" s="441">
        <f>SUMIF(102:102,E30,103:103)-SUMIF(102:102,C30,103:103)+100</f>
        <v>100</v>
      </c>
      <c r="G29" s="443"/>
      <c r="H29" s="441">
        <f>SUMIF(102:102,G30,103:103)-SUMIF(102:102,C30,103:103)+100</f>
        <v>100</v>
      </c>
      <c r="I29" s="445"/>
      <c r="J29" s="441">
        <f>SUMIF(102:102,I30,103:103)-SUMIF(102:102,C30,103:103)+100</f>
        <v>100</v>
      </c>
      <c r="K29" s="664">
        <v>2</v>
      </c>
      <c r="L29" s="1120"/>
      <c r="M29" s="1121"/>
      <c r="N29" s="1121"/>
      <c r="O29" s="1122"/>
      <c r="P29" s="3301"/>
      <c r="Q29" s="1782" t="str">
        <f t="shared" ref="Q29" si="9">B29</f>
        <v>基础设施水平</v>
      </c>
      <c r="R29" s="761" t="s">
        <v>17</v>
      </c>
      <c r="S29" s="762">
        <f>F29</f>
        <v>100</v>
      </c>
      <c r="T29" s="761" t="s">
        <v>17</v>
      </c>
      <c r="U29" s="762">
        <f>H29</f>
        <v>100</v>
      </c>
      <c r="V29" s="761" t="s">
        <v>17</v>
      </c>
      <c r="W29" s="762">
        <f>J29</f>
        <v>100</v>
      </c>
      <c r="X29" s="763"/>
      <c r="Y29" s="3301"/>
      <c r="Z29" s="54" t="str">
        <f>Q29</f>
        <v>基础设施水平</v>
      </c>
      <c r="AA29" s="1798">
        <f>D29/F29</f>
        <v>1</v>
      </c>
      <c r="AB29" s="1798">
        <f>D29/H29</f>
        <v>1</v>
      </c>
      <c r="AC29" s="1798">
        <f>D29/J29</f>
        <v>1</v>
      </c>
    </row>
    <row r="30" spans="1:29" s="110" customFormat="1" ht="15.75" thickBot="1">
      <c r="A30" s="640"/>
      <c r="B30" s="447"/>
      <c r="C30" s="2688" t="s">
        <v>3173</v>
      </c>
      <c r="D30" s="439"/>
      <c r="E30" s="2688" t="s">
        <v>3173</v>
      </c>
      <c r="F30" s="439"/>
      <c r="G30" s="2688" t="s">
        <v>3173</v>
      </c>
      <c r="H30" s="439"/>
      <c r="I30" s="2688" t="s">
        <v>3173</v>
      </c>
      <c r="J30" s="439"/>
      <c r="K30" s="663"/>
      <c r="L30" s="1120"/>
      <c r="M30" s="1121"/>
      <c r="N30" s="1121"/>
      <c r="O30" s="1122"/>
      <c r="P30" s="3301"/>
      <c r="Q30" s="1782"/>
      <c r="R30" s="761"/>
      <c r="S30" s="762"/>
      <c r="T30" s="761"/>
      <c r="U30" s="762"/>
      <c r="V30" s="761"/>
      <c r="W30" s="762"/>
      <c r="X30" s="763"/>
      <c r="Y30" s="3301"/>
      <c r="Z30" s="54"/>
      <c r="AA30" s="1798">
        <v>1</v>
      </c>
      <c r="AB30" s="1798">
        <v>1</v>
      </c>
      <c r="AC30" s="1798">
        <v>1</v>
      </c>
    </row>
    <row r="31" spans="1:29" ht="15.75" hidden="1" thickBot="1">
      <c r="A31" s="419"/>
      <c r="B31" s="447" t="s">
        <v>2646</v>
      </c>
      <c r="C31" s="607"/>
      <c r="D31" s="426">
        <v>100</v>
      </c>
      <c r="E31" s="607"/>
      <c r="F31" s="426">
        <f>SUMIF(104:104,E31,105:105)-SUMIF(104:104,C31,105:105)+100</f>
        <v>100</v>
      </c>
      <c r="G31" s="607"/>
      <c r="H31" s="426">
        <f>SUMIF(104:104,G31,105:105)-SUMIF(104:104,C31,105:105)+100</f>
        <v>100</v>
      </c>
      <c r="I31" s="607"/>
      <c r="J31" s="426">
        <f>SUMIF(104:104,I31,105:105)-SUMIF(104:104,C31,105:105)+100</f>
        <v>100</v>
      </c>
      <c r="K31" s="664">
        <v>2</v>
      </c>
      <c r="L31" s="1128"/>
      <c r="M31" s="1119"/>
      <c r="N31" s="1119"/>
      <c r="O31" s="1127"/>
      <c r="P31" s="3301"/>
      <c r="Q31" s="1797" t="str">
        <f t="shared" si="8"/>
        <v>临街状况</v>
      </c>
      <c r="R31" s="765" t="s">
        <v>17</v>
      </c>
      <c r="S31" s="766">
        <f t="shared" ref="S31:S45" si="10">F31</f>
        <v>100</v>
      </c>
      <c r="T31" s="765" t="s">
        <v>17</v>
      </c>
      <c r="U31" s="766">
        <f t="shared" ref="U31:U45" si="11">H31</f>
        <v>100</v>
      </c>
      <c r="V31" s="765" t="s">
        <v>17</v>
      </c>
      <c r="W31" s="766">
        <f t="shared" ref="W31:W45" si="12">J31</f>
        <v>100</v>
      </c>
      <c r="X31" s="1800"/>
      <c r="Y31" s="3301"/>
      <c r="Z31" s="1801" t="str">
        <f t="shared" ref="Z31:Z45" si="13">Q31</f>
        <v>临街状况</v>
      </c>
      <c r="AA31" s="1798">
        <f t="shared" si="3"/>
        <v>1</v>
      </c>
      <c r="AB31" s="1798">
        <f t="shared" si="4"/>
        <v>1</v>
      </c>
      <c r="AC31" s="1798">
        <f t="shared" si="5"/>
        <v>1</v>
      </c>
    </row>
    <row r="32" spans="1:29" ht="27" hidden="1">
      <c r="A32" s="419"/>
      <c r="B32" s="1372" t="s">
        <v>2681</v>
      </c>
      <c r="C32" s="2937"/>
      <c r="D32" s="441">
        <v>100</v>
      </c>
      <c r="E32" s="2938"/>
      <c r="F32" s="441">
        <f>SUMIF(106:106,E33,107:107)-SUMIF(106:106,C33,107:107)+100</f>
        <v>100</v>
      </c>
      <c r="G32" s="2938"/>
      <c r="H32" s="441">
        <f>SUMIF(106:106,G33,107:107)-SUMIF(106:106,C33,107:107)+100</f>
        <v>100</v>
      </c>
      <c r="I32" s="2937"/>
      <c r="J32" s="441">
        <f>SUMIF(106:106,I33,107:107)-SUMIF(106:106,C33,107:107)+100</f>
        <v>100</v>
      </c>
      <c r="K32" s="664">
        <v>2</v>
      </c>
      <c r="L32" s="1128"/>
      <c r="M32" s="1119"/>
      <c r="N32" s="1119"/>
      <c r="O32" s="1127"/>
      <c r="P32" s="3301"/>
      <c r="Q32" s="1797" t="str">
        <f t="shared" si="8"/>
        <v>毗邻道路的类型与等级</v>
      </c>
      <c r="R32" s="765" t="s">
        <v>17</v>
      </c>
      <c r="S32" s="766">
        <f t="shared" si="10"/>
        <v>100</v>
      </c>
      <c r="T32" s="765" t="s">
        <v>17</v>
      </c>
      <c r="U32" s="766">
        <f t="shared" si="11"/>
        <v>100</v>
      </c>
      <c r="V32" s="765" t="s">
        <v>17</v>
      </c>
      <c r="W32" s="766">
        <f t="shared" si="12"/>
        <v>100</v>
      </c>
      <c r="X32" s="1800"/>
      <c r="Y32" s="3301"/>
      <c r="Z32" s="1801" t="str">
        <f t="shared" si="13"/>
        <v>毗邻道路的类型与等级</v>
      </c>
      <c r="AA32" s="1798">
        <f t="shared" si="3"/>
        <v>1</v>
      </c>
      <c r="AB32" s="1798">
        <f t="shared" si="4"/>
        <v>1</v>
      </c>
      <c r="AC32" s="1798">
        <f t="shared" si="5"/>
        <v>1</v>
      </c>
    </row>
    <row r="33" spans="1:29" ht="15.75" hidden="1" thickBot="1">
      <c r="A33" s="419"/>
      <c r="B33" s="447"/>
      <c r="C33" s="438"/>
      <c r="D33" s="439"/>
      <c r="E33" s="438"/>
      <c r="F33" s="439"/>
      <c r="G33" s="438"/>
      <c r="H33" s="439"/>
      <c r="I33" s="438"/>
      <c r="J33" s="439"/>
      <c r="K33" s="604"/>
      <c r="L33" s="1128"/>
      <c r="M33" s="1119"/>
      <c r="N33" s="1119"/>
      <c r="O33" s="1127"/>
      <c r="P33" s="3301"/>
      <c r="Q33" s="1797"/>
      <c r="R33" s="765"/>
      <c r="S33" s="766"/>
      <c r="T33" s="765"/>
      <c r="U33" s="766"/>
      <c r="V33" s="765"/>
      <c r="W33" s="766"/>
      <c r="X33" s="1800"/>
      <c r="Y33" s="3301"/>
      <c r="Z33" s="1801"/>
      <c r="AA33" s="1798">
        <v>1</v>
      </c>
      <c r="AB33" s="1798">
        <v>1</v>
      </c>
      <c r="AC33" s="1798">
        <v>1</v>
      </c>
    </row>
    <row r="34" spans="1:29" ht="15.75" hidden="1" thickBot="1">
      <c r="A34" s="419"/>
      <c r="B34" s="413" t="s">
        <v>2739</v>
      </c>
      <c r="C34" s="607"/>
      <c r="D34" s="426">
        <v>100</v>
      </c>
      <c r="E34" s="625"/>
      <c r="F34" s="426">
        <f>SUMIF(108:108,E34,109:109)-SUMIF(108:108,C34,109:109)+100</f>
        <v>100</v>
      </c>
      <c r="G34" s="625"/>
      <c r="H34" s="426">
        <f>SUMIF(108:108,G34,109:109)-SUMIF(108:108,C34,109:109)+100</f>
        <v>100</v>
      </c>
      <c r="I34" s="607"/>
      <c r="J34" s="426">
        <f>SUMIF(108:108,I34,109:109)-SUMIF(108:108,C34,109:109)+100</f>
        <v>100</v>
      </c>
      <c r="K34" s="603"/>
      <c r="L34" s="1128"/>
      <c r="M34" s="1119"/>
      <c r="N34" s="1119"/>
      <c r="O34" s="1127"/>
      <c r="P34" s="3301"/>
      <c r="Q34" s="1797" t="str">
        <f t="shared" si="8"/>
        <v>土地级别</v>
      </c>
      <c r="R34" s="765" t="s">
        <v>17</v>
      </c>
      <c r="S34" s="766">
        <f t="shared" si="10"/>
        <v>100</v>
      </c>
      <c r="T34" s="765" t="s">
        <v>17</v>
      </c>
      <c r="U34" s="766">
        <f t="shared" si="11"/>
        <v>100</v>
      </c>
      <c r="V34" s="765" t="s">
        <v>17</v>
      </c>
      <c r="W34" s="766">
        <f t="shared" si="12"/>
        <v>100</v>
      </c>
      <c r="X34" s="1800"/>
      <c r="Y34" s="3301"/>
      <c r="Z34" s="1801" t="str">
        <f t="shared" si="13"/>
        <v>土地级别</v>
      </c>
      <c r="AA34" s="1798">
        <f t="shared" si="3"/>
        <v>1</v>
      </c>
      <c r="AB34" s="1798">
        <f t="shared" si="4"/>
        <v>1</v>
      </c>
      <c r="AC34" s="1798">
        <f t="shared" si="5"/>
        <v>1</v>
      </c>
    </row>
    <row r="35" spans="1:29" ht="15" hidden="1">
      <c r="A35" s="395"/>
      <c r="B35" s="1374"/>
      <c r="C35" s="665"/>
      <c r="D35" s="426">
        <v>100</v>
      </c>
      <c r="E35" s="468"/>
      <c r="F35" s="426">
        <f>SUMIF(110:110,E35,111:111)-SUMIF(110:110,C35,111:111)+100</f>
        <v>100</v>
      </c>
      <c r="G35" s="468"/>
      <c r="H35" s="426">
        <f>SUMIF(110:110,G35,111:111)-SUMIF(110:110,C35,111:111)+100</f>
        <v>100</v>
      </c>
      <c r="I35" s="665"/>
      <c r="J35" s="426">
        <f>SUMIF(110:110,I35,111:111)-SUMIF(110:110,C35,111:111)+100</f>
        <v>100</v>
      </c>
      <c r="K35" s="604"/>
      <c r="L35" s="1128"/>
      <c r="M35" s="1119"/>
      <c r="N35" s="1119"/>
      <c r="O35" s="1127"/>
      <c r="P35" s="3301"/>
      <c r="Q35" s="1797">
        <f t="shared" si="8"/>
        <v>0</v>
      </c>
      <c r="R35" s="765" t="s">
        <v>17</v>
      </c>
      <c r="S35" s="766">
        <f t="shared" si="10"/>
        <v>100</v>
      </c>
      <c r="T35" s="765" t="s">
        <v>17</v>
      </c>
      <c r="U35" s="766">
        <f t="shared" si="11"/>
        <v>100</v>
      </c>
      <c r="V35" s="765" t="s">
        <v>17</v>
      </c>
      <c r="W35" s="766">
        <f t="shared" si="12"/>
        <v>100</v>
      </c>
      <c r="X35" s="1800"/>
      <c r="Y35" s="3301"/>
      <c r="Z35" s="1801">
        <f t="shared" si="13"/>
        <v>0</v>
      </c>
      <c r="AA35" s="1798">
        <f t="shared" si="3"/>
        <v>1</v>
      </c>
      <c r="AB35" s="1798">
        <f t="shared" si="4"/>
        <v>1</v>
      </c>
      <c r="AC35" s="1798">
        <f t="shared" si="5"/>
        <v>1</v>
      </c>
    </row>
    <row r="36" spans="1:29" ht="15" hidden="1">
      <c r="A36" s="666"/>
      <c r="B36" s="1375"/>
      <c r="C36" s="665"/>
      <c r="D36" s="426">
        <v>100</v>
      </c>
      <c r="E36" s="468"/>
      <c r="F36" s="426">
        <f>SUMIF(112:112,E37,113:113)-SUMIF(112:112,C37,113:113)+100</f>
        <v>100</v>
      </c>
      <c r="G36" s="468"/>
      <c r="H36" s="426">
        <f>SUMIF(112:112,G36,113:113)-SUMIF(112:112,C36,113:113)+100</f>
        <v>100</v>
      </c>
      <c r="I36" s="665"/>
      <c r="J36" s="426">
        <f>SUMIF(112:112,I36,113:113)-SUMIF(112:112,C36,113:113)+100</f>
        <v>100</v>
      </c>
      <c r="K36" s="604"/>
      <c r="L36" s="1128"/>
      <c r="M36" s="1119"/>
      <c r="N36" s="1119"/>
      <c r="O36" s="1127"/>
      <c r="P36" s="3302" t="s">
        <v>2555</v>
      </c>
      <c r="Q36" s="1797">
        <f t="shared" si="8"/>
        <v>0</v>
      </c>
      <c r="R36" s="765" t="s">
        <v>17</v>
      </c>
      <c r="S36" s="766">
        <f t="shared" si="10"/>
        <v>100</v>
      </c>
      <c r="T36" s="765" t="s">
        <v>17</v>
      </c>
      <c r="U36" s="766">
        <f t="shared" si="11"/>
        <v>100</v>
      </c>
      <c r="V36" s="765" t="s">
        <v>17</v>
      </c>
      <c r="W36" s="766">
        <f t="shared" si="12"/>
        <v>100</v>
      </c>
      <c r="X36" s="1800"/>
      <c r="Y36" s="3303" t="s">
        <v>2555</v>
      </c>
      <c r="Z36" s="1801">
        <f t="shared" si="13"/>
        <v>0</v>
      </c>
      <c r="AA36" s="1798">
        <f t="shared" si="3"/>
        <v>1</v>
      </c>
      <c r="AB36" s="1798">
        <f t="shared" si="4"/>
        <v>1</v>
      </c>
      <c r="AC36" s="1798">
        <f t="shared" si="5"/>
        <v>1</v>
      </c>
    </row>
    <row r="37" spans="1:29" s="462" customFormat="1" ht="15.75" hidden="1" thickBot="1">
      <c r="A37" s="667"/>
      <c r="B37" s="1376"/>
      <c r="C37" s="669"/>
      <c r="D37" s="128">
        <v>100</v>
      </c>
      <c r="E37" s="692"/>
      <c r="F37" s="429">
        <f>SUMIF(114:114,E37,115:115)-SUMIF(114:114,C37,115:115)+100</f>
        <v>100</v>
      </c>
      <c r="G37" s="692"/>
      <c r="H37" s="429">
        <f>SUMIF(114:114,G37,115:115)-SUMIF(114:114,C37,115:115)+100</f>
        <v>100</v>
      </c>
      <c r="I37" s="669"/>
      <c r="J37" s="429">
        <f>SUMIF(114:114,I37,115:115)-SUMIF(114:114,C37,115:115)+100</f>
        <v>100</v>
      </c>
      <c r="K37" s="604"/>
      <c r="L37" s="1126"/>
      <c r="M37" s="1129"/>
      <c r="N37" s="1129"/>
      <c r="O37" s="1130"/>
      <c r="P37" s="3303"/>
      <c r="Q37" s="1797">
        <f t="shared" si="8"/>
        <v>0</v>
      </c>
      <c r="R37" s="768" t="s">
        <v>17</v>
      </c>
      <c r="S37" s="769">
        <f t="shared" si="10"/>
        <v>100</v>
      </c>
      <c r="T37" s="768" t="s">
        <v>17</v>
      </c>
      <c r="U37" s="769">
        <f t="shared" si="11"/>
        <v>100</v>
      </c>
      <c r="V37" s="768" t="s">
        <v>17</v>
      </c>
      <c r="W37" s="769">
        <f t="shared" si="12"/>
        <v>100</v>
      </c>
      <c r="X37" s="770"/>
      <c r="Y37" s="3303"/>
      <c r="Z37" s="771">
        <f t="shared" si="13"/>
        <v>0</v>
      </c>
      <c r="AA37" s="1798">
        <f t="shared" si="3"/>
        <v>1</v>
      </c>
      <c r="AB37" s="1798">
        <f t="shared" si="4"/>
        <v>1</v>
      </c>
      <c r="AC37" s="1798">
        <f t="shared" si="5"/>
        <v>1</v>
      </c>
    </row>
    <row r="38" spans="1:29" ht="15">
      <c r="A38" s="463" t="s">
        <v>2553</v>
      </c>
      <c r="B38" s="447" t="s">
        <v>2740</v>
      </c>
      <c r="C38" s="670">
        <f>'数据-基础表'!A3</f>
        <v>182783.03999999998</v>
      </c>
      <c r="D38" s="458">
        <v>100</v>
      </c>
      <c r="E38" s="670">
        <f>土地案例!D11</f>
        <v>4167.76</v>
      </c>
      <c r="F38" s="3075">
        <f>LOOKUP(E38,117:117,118:118)-LOOKUP(C38,117:117,118:118)+100</f>
        <v>98</v>
      </c>
      <c r="G38" s="670">
        <f>土地案例!D20</f>
        <v>2099.96</v>
      </c>
      <c r="H38" s="3075">
        <f>LOOKUP(G38,117:117,118:118)-LOOKUP(C38,117:117,118:118)+100</f>
        <v>98</v>
      </c>
      <c r="I38" s="670">
        <f>土地案例!D9</f>
        <v>329589.59999999998</v>
      </c>
      <c r="J38" s="3075">
        <f>LOOKUP(I38,117:117,118:118)-LOOKUP(C38,117:117,118:118)+100</f>
        <v>101</v>
      </c>
      <c r="K38" s="604"/>
      <c r="L38" s="1128"/>
      <c r="M38" s="1119"/>
      <c r="N38" s="1119"/>
      <c r="O38" s="1127"/>
      <c r="P38" s="3303"/>
      <c r="Q38" s="1797" t="str">
        <f>B38</f>
        <v>宗地面积</v>
      </c>
      <c r="R38" s="765" t="s">
        <v>17</v>
      </c>
      <c r="S38" s="766">
        <f t="shared" si="10"/>
        <v>98</v>
      </c>
      <c r="T38" s="765" t="s">
        <v>17</v>
      </c>
      <c r="U38" s="766">
        <f t="shared" si="11"/>
        <v>98</v>
      </c>
      <c r="V38" s="765" t="s">
        <v>17</v>
      </c>
      <c r="W38" s="766">
        <f t="shared" si="12"/>
        <v>101</v>
      </c>
      <c r="X38" s="1800"/>
      <c r="Y38" s="3303"/>
      <c r="Z38" s="1801" t="str">
        <f t="shared" si="13"/>
        <v>宗地面积</v>
      </c>
      <c r="AA38" s="1798">
        <f t="shared" si="3"/>
        <v>1.0204081632653061</v>
      </c>
      <c r="AB38" s="1798">
        <f t="shared" si="4"/>
        <v>1.0204081632653061</v>
      </c>
      <c r="AC38" s="1798">
        <f t="shared" si="5"/>
        <v>0.99009900990099009</v>
      </c>
    </row>
    <row r="39" spans="1:29" ht="15">
      <c r="A39" s="463"/>
      <c r="B39" s="413" t="s">
        <v>2741</v>
      </c>
      <c r="C39" s="2939" t="s">
        <v>3078</v>
      </c>
      <c r="D39" s="426">
        <v>100</v>
      </c>
      <c r="E39" s="2939" t="s">
        <v>3078</v>
      </c>
      <c r="F39" s="426">
        <f>SUMIF(119:119,E39,120:120)-SUMIF(119:119,C39,120:120)+100</f>
        <v>100</v>
      </c>
      <c r="G39" s="2939" t="s">
        <v>3078</v>
      </c>
      <c r="H39" s="426">
        <f>SUMIF(119:119,G39,120:120)-SUMIF(119:119,C39,120:120)+100</f>
        <v>100</v>
      </c>
      <c r="I39" s="2939" t="s">
        <v>3078</v>
      </c>
      <c r="J39" s="426">
        <f>SUMIF(119:119,I39,120:120)-SUMIF(119:119,C39,120:120)+100</f>
        <v>100</v>
      </c>
      <c r="K39" s="603">
        <v>2</v>
      </c>
      <c r="L39" s="1128"/>
      <c r="M39" s="1119"/>
      <c r="N39" s="1119"/>
      <c r="O39" s="1127"/>
      <c r="P39" s="3303"/>
      <c r="Q39" s="1797" t="str">
        <f t="shared" ref="Q39:Q45" si="14">B39</f>
        <v>宗地形状</v>
      </c>
      <c r="R39" s="765" t="s">
        <v>17</v>
      </c>
      <c r="S39" s="766">
        <f t="shared" si="10"/>
        <v>100</v>
      </c>
      <c r="T39" s="765" t="s">
        <v>17</v>
      </c>
      <c r="U39" s="766">
        <f t="shared" si="11"/>
        <v>100</v>
      </c>
      <c r="V39" s="765" t="s">
        <v>17</v>
      </c>
      <c r="W39" s="766">
        <f t="shared" si="12"/>
        <v>100</v>
      </c>
      <c r="X39" s="1800"/>
      <c r="Y39" s="3303"/>
      <c r="Z39" s="1801" t="str">
        <f t="shared" si="13"/>
        <v>宗地形状</v>
      </c>
      <c r="AA39" s="1798">
        <f t="shared" si="3"/>
        <v>1</v>
      </c>
      <c r="AB39" s="1798">
        <f t="shared" si="4"/>
        <v>1</v>
      </c>
      <c r="AC39" s="1798">
        <f t="shared" si="5"/>
        <v>1</v>
      </c>
    </row>
    <row r="40" spans="1:29" ht="15" hidden="1">
      <c r="A40" s="463"/>
      <c r="B40" s="413" t="s">
        <v>2742</v>
      </c>
      <c r="C40" s="2939" t="s">
        <v>3079</v>
      </c>
      <c r="D40" s="426">
        <v>100</v>
      </c>
      <c r="E40" s="2939" t="s">
        <v>3079</v>
      </c>
      <c r="F40" s="426">
        <f>SUMIF(121:121,E40,122:122)-SUMIF(121:121,C40,122:122)+100</f>
        <v>100</v>
      </c>
      <c r="G40" s="2939" t="s">
        <v>3079</v>
      </c>
      <c r="H40" s="426">
        <f>SUMIF(121:121,G40,122:122)-SUMIF(121:121,C40,122:122)+100</f>
        <v>100</v>
      </c>
      <c r="I40" s="2939" t="s">
        <v>3079</v>
      </c>
      <c r="J40" s="426">
        <f>SUMIF(121:121,I40,122:122)-SUMIF(121:121,C40,122:122)+100</f>
        <v>100</v>
      </c>
      <c r="K40" s="603"/>
      <c r="L40" s="1128"/>
      <c r="M40" s="1119"/>
      <c r="N40" s="1119"/>
      <c r="O40" s="1127"/>
      <c r="P40" s="3303"/>
      <c r="Q40" s="1797" t="str">
        <f t="shared" si="14"/>
        <v>临街宽度及深度</v>
      </c>
      <c r="R40" s="765" t="s">
        <v>17</v>
      </c>
      <c r="S40" s="766">
        <f t="shared" si="10"/>
        <v>100</v>
      </c>
      <c r="T40" s="765" t="s">
        <v>17</v>
      </c>
      <c r="U40" s="766">
        <f t="shared" si="11"/>
        <v>100</v>
      </c>
      <c r="V40" s="765" t="s">
        <v>17</v>
      </c>
      <c r="W40" s="766">
        <f t="shared" si="12"/>
        <v>100</v>
      </c>
      <c r="X40" s="1800"/>
      <c r="Y40" s="3303"/>
      <c r="Z40" s="1801" t="str">
        <f t="shared" si="13"/>
        <v>临街宽度及深度</v>
      </c>
      <c r="AA40" s="1798">
        <f t="shared" si="3"/>
        <v>1</v>
      </c>
      <c r="AB40" s="1798">
        <f t="shared" si="4"/>
        <v>1</v>
      </c>
      <c r="AC40" s="1798">
        <f t="shared" si="5"/>
        <v>1</v>
      </c>
    </row>
    <row r="41" spans="1:29" s="110" customFormat="1" ht="15">
      <c r="A41" s="464"/>
      <c r="B41" s="413" t="s">
        <v>2743</v>
      </c>
      <c r="C41" s="2940" t="s">
        <v>3174</v>
      </c>
      <c r="D41" s="127">
        <v>100</v>
      </c>
      <c r="E41" s="2940" t="s">
        <v>3174</v>
      </c>
      <c r="F41" s="426">
        <f>SUMIF(123:123,E41,124:124)-SUMIF(123:123,C41,124:124)+100</f>
        <v>100</v>
      </c>
      <c r="G41" s="2940" t="s">
        <v>3174</v>
      </c>
      <c r="H41" s="426">
        <f>SUMIF(123:123,G41,124:124)-SUMIF(123:123,C41,124:124)+100</f>
        <v>100</v>
      </c>
      <c r="I41" s="2940" t="s">
        <v>3174</v>
      </c>
      <c r="J41" s="426">
        <f>SUMIF(123:123,I41,124:124)-SUMIF(123:123,C41,124:124)+100</f>
        <v>100</v>
      </c>
      <c r="K41" s="603">
        <v>1</v>
      </c>
      <c r="L41" s="1120"/>
      <c r="M41" s="1121"/>
      <c r="N41" s="1121"/>
      <c r="O41" s="1122"/>
      <c r="P41" s="3303"/>
      <c r="Q41" s="1797" t="str">
        <f t="shared" si="14"/>
        <v>宗地开发程度</v>
      </c>
      <c r="R41" s="761" t="s">
        <v>17</v>
      </c>
      <c r="S41" s="762">
        <f t="shared" si="10"/>
        <v>100</v>
      </c>
      <c r="T41" s="761" t="s">
        <v>17</v>
      </c>
      <c r="U41" s="762">
        <f t="shared" si="11"/>
        <v>100</v>
      </c>
      <c r="V41" s="761" t="s">
        <v>17</v>
      </c>
      <c r="W41" s="762">
        <f t="shared" si="12"/>
        <v>100</v>
      </c>
      <c r="X41" s="763"/>
      <c r="Y41" s="3303"/>
      <c r="Z41" s="54" t="str">
        <f t="shared" si="13"/>
        <v>宗地开发程度</v>
      </c>
      <c r="AA41" s="764">
        <f t="shared" si="3"/>
        <v>1</v>
      </c>
      <c r="AB41" s="764">
        <f t="shared" si="4"/>
        <v>1</v>
      </c>
      <c r="AC41" s="764">
        <f t="shared" si="5"/>
        <v>1</v>
      </c>
    </row>
    <row r="42" spans="1:29" ht="15.75" thickBot="1">
      <c r="A42" s="463"/>
      <c r="B42" s="413" t="s">
        <v>2744</v>
      </c>
      <c r="C42" s="2939" t="s">
        <v>3075</v>
      </c>
      <c r="D42" s="426">
        <v>100</v>
      </c>
      <c r="E42" s="2939" t="s">
        <v>3075</v>
      </c>
      <c r="F42" s="426">
        <f>SUMIF(125:125,E42,126:126)-SUMIF(125:125,C42,126:126)+100</f>
        <v>100</v>
      </c>
      <c r="G42" s="2939" t="s">
        <v>3075</v>
      </c>
      <c r="H42" s="426">
        <f>SUMIF(125:125,G42,126:126)-SUMIF(125:125,C42,126:126)+100</f>
        <v>100</v>
      </c>
      <c r="I42" s="2939" t="s">
        <v>3075</v>
      </c>
      <c r="J42" s="426">
        <f>SUMIF(125:125,I42,126:126)-SUMIF(125:125,C42,126:126)+100</f>
        <v>100</v>
      </c>
      <c r="K42" s="603">
        <v>1</v>
      </c>
      <c r="L42" s="1128"/>
      <c r="M42" s="1119"/>
      <c r="N42" s="1119"/>
      <c r="O42" s="1127"/>
      <c r="P42" s="3303" t="s">
        <v>2555</v>
      </c>
      <c r="Q42" s="1797" t="str">
        <f t="shared" si="14"/>
        <v>工程地质条件</v>
      </c>
      <c r="R42" s="765" t="s">
        <v>17</v>
      </c>
      <c r="S42" s="766">
        <f t="shared" si="10"/>
        <v>100</v>
      </c>
      <c r="T42" s="765" t="s">
        <v>17</v>
      </c>
      <c r="U42" s="766">
        <f t="shared" si="11"/>
        <v>100</v>
      </c>
      <c r="V42" s="765" t="s">
        <v>17</v>
      </c>
      <c r="W42" s="766">
        <f t="shared" si="12"/>
        <v>100</v>
      </c>
      <c r="X42" s="1800"/>
      <c r="Y42" s="3303" t="s">
        <v>2555</v>
      </c>
      <c r="Z42" s="1801" t="str">
        <f t="shared" si="13"/>
        <v>工程地质条件</v>
      </c>
      <c r="AA42" s="1798">
        <f t="shared" si="3"/>
        <v>1</v>
      </c>
      <c r="AB42" s="1798">
        <f t="shared" si="4"/>
        <v>1</v>
      </c>
      <c r="AC42" s="1798">
        <f t="shared" si="5"/>
        <v>1</v>
      </c>
    </row>
    <row r="43" spans="1:29" ht="15.75" hidden="1" thickBot="1">
      <c r="A43" s="463"/>
      <c r="B43" s="2969"/>
      <c r="C43" s="2970"/>
      <c r="D43" s="426">
        <v>100</v>
      </c>
      <c r="E43" s="2970"/>
      <c r="F43" s="426">
        <f>SUMIF(127:127,E43,128:128)-SUMIF(127:127,C43,128:128)+100</f>
        <v>100</v>
      </c>
      <c r="G43" s="2970"/>
      <c r="H43" s="426">
        <f>SUMIF(127:127,G43,128:128)-SUMIF(127:127,C43,128:128)+100</f>
        <v>100</v>
      </c>
      <c r="I43" s="2971"/>
      <c r="J43" s="426">
        <f>SUMIF(127:127,I43,128:128)-SUMIF(127:127,C43,128:128)+100</f>
        <v>100</v>
      </c>
      <c r="K43" s="604"/>
      <c r="L43" s="1128"/>
      <c r="M43" s="1119"/>
      <c r="N43" s="1119"/>
      <c r="O43" s="1127"/>
      <c r="P43" s="3303"/>
      <c r="Q43" s="1797">
        <f t="shared" si="14"/>
        <v>0</v>
      </c>
      <c r="R43" s="765" t="s">
        <v>17</v>
      </c>
      <c r="S43" s="766">
        <f t="shared" si="10"/>
        <v>100</v>
      </c>
      <c r="T43" s="765" t="s">
        <v>17</v>
      </c>
      <c r="U43" s="766">
        <f t="shared" si="11"/>
        <v>100</v>
      </c>
      <c r="V43" s="765" t="s">
        <v>17</v>
      </c>
      <c r="W43" s="766">
        <f t="shared" si="12"/>
        <v>100</v>
      </c>
      <c r="X43" s="1800"/>
      <c r="Y43" s="3303"/>
      <c r="Z43" s="1801">
        <f t="shared" si="13"/>
        <v>0</v>
      </c>
      <c r="AA43" s="1798">
        <f t="shared" si="3"/>
        <v>1</v>
      </c>
      <c r="AB43" s="1798">
        <f t="shared" si="4"/>
        <v>1</v>
      </c>
      <c r="AC43" s="1798">
        <f t="shared" si="5"/>
        <v>1</v>
      </c>
    </row>
    <row r="44" spans="1:29" ht="15" hidden="1">
      <c r="A44" s="463"/>
      <c r="B44" s="1375"/>
      <c r="C44" s="665"/>
      <c r="D44" s="426">
        <v>100</v>
      </c>
      <c r="E44" s="665"/>
      <c r="F44" s="426">
        <f>SUMIF(129:129,E44,130:130)-SUMIF(129:129,C44,130:130)+100</f>
        <v>100</v>
      </c>
      <c r="G44" s="665"/>
      <c r="H44" s="426">
        <f>SUMIF(129:129,G44,130:130)-SUMIF(129:129,C44,130:130)+100</f>
        <v>100</v>
      </c>
      <c r="I44" s="540"/>
      <c r="J44" s="426">
        <f>SUMIF(129:129,I44,130:130)-SUMIF(129:129,C44,130:130)+100</f>
        <v>100</v>
      </c>
      <c r="K44" s="604"/>
      <c r="L44" s="1128"/>
      <c r="M44" s="1119"/>
      <c r="N44" s="1119"/>
      <c r="O44" s="1127"/>
      <c r="P44" s="3303"/>
      <c r="Q44" s="1797">
        <f t="shared" si="14"/>
        <v>0</v>
      </c>
      <c r="R44" s="765" t="s">
        <v>17</v>
      </c>
      <c r="S44" s="766">
        <f t="shared" si="10"/>
        <v>100</v>
      </c>
      <c r="T44" s="765" t="s">
        <v>17</v>
      </c>
      <c r="U44" s="766">
        <f t="shared" si="11"/>
        <v>100</v>
      </c>
      <c r="V44" s="765" t="s">
        <v>17</v>
      </c>
      <c r="W44" s="766">
        <f t="shared" si="12"/>
        <v>100</v>
      </c>
      <c r="X44" s="1800"/>
      <c r="Y44" s="3303"/>
      <c r="Z44" s="1801">
        <f t="shared" si="13"/>
        <v>0</v>
      </c>
      <c r="AA44" s="1798">
        <f t="shared" si="3"/>
        <v>1</v>
      </c>
      <c r="AB44" s="1798">
        <f t="shared" si="4"/>
        <v>1</v>
      </c>
      <c r="AC44" s="1798">
        <f t="shared" si="5"/>
        <v>1</v>
      </c>
    </row>
    <row r="45" spans="1:29" s="462" customFormat="1" ht="15.75" hidden="1" thickBot="1">
      <c r="A45" s="459"/>
      <c r="B45" s="1375"/>
      <c r="C45" s="2691"/>
      <c r="D45" s="671">
        <v>100</v>
      </c>
      <c r="E45" s="665"/>
      <c r="F45" s="429">
        <f>SUMIF(131:131,E45,132:132)-SUMIF(131:131,C45,132:132)+100</f>
        <v>100</v>
      </c>
      <c r="G45" s="665"/>
      <c r="H45" s="429">
        <f>SUMIF(131:131,G45,132:132)-SUMIF(131:131,C45,132:132)+100</f>
        <v>100</v>
      </c>
      <c r="I45" s="665"/>
      <c r="J45" s="429">
        <f>SUMIF(131:131,I45,132:132)-SUMIF(131:131,C45,132:132)+100</f>
        <v>100</v>
      </c>
      <c r="K45" s="672"/>
      <c r="L45" s="1126"/>
      <c r="M45" s="1129"/>
      <c r="N45" s="1129"/>
      <c r="O45" s="1130"/>
      <c r="P45" s="3303"/>
      <c r="Q45" s="1797">
        <f t="shared" si="14"/>
        <v>0</v>
      </c>
      <c r="R45" s="768" t="s">
        <v>17</v>
      </c>
      <c r="S45" s="769">
        <f t="shared" si="10"/>
        <v>100</v>
      </c>
      <c r="T45" s="768" t="s">
        <v>17</v>
      </c>
      <c r="U45" s="769">
        <f t="shared" si="11"/>
        <v>100</v>
      </c>
      <c r="V45" s="768" t="s">
        <v>17</v>
      </c>
      <c r="W45" s="769">
        <f t="shared" si="12"/>
        <v>100</v>
      </c>
      <c r="X45" s="770"/>
      <c r="Y45" s="3303"/>
      <c r="Z45" s="771">
        <f t="shared" si="13"/>
        <v>0</v>
      </c>
      <c r="AA45" s="1798">
        <f t="shared" si="3"/>
        <v>1</v>
      </c>
      <c r="AB45" s="1798">
        <f t="shared" si="4"/>
        <v>1</v>
      </c>
      <c r="AC45" s="1798">
        <f t="shared" si="5"/>
        <v>1</v>
      </c>
    </row>
    <row r="46" spans="1:29" ht="15">
      <c r="A46" s="470" t="s">
        <v>2710</v>
      </c>
      <c r="B46" s="2692" t="s">
        <v>2745</v>
      </c>
      <c r="C46" s="673" t="s">
        <v>1</v>
      </c>
      <c r="D46" s="472"/>
      <c r="E46" s="473">
        <f>土地案例!K11</f>
        <v>227.06</v>
      </c>
      <c r="F46" s="474"/>
      <c r="G46" s="475">
        <f>土地案例!K15</f>
        <v>236.68</v>
      </c>
      <c r="H46" s="476"/>
      <c r="I46" s="473">
        <f>土地案例!K9</f>
        <v>230.77</v>
      </c>
      <c r="J46" s="476"/>
      <c r="K46" s="774"/>
      <c r="L46" s="1131"/>
      <c r="M46" s="1132"/>
      <c r="N46" s="1119"/>
      <c r="O46" s="1132"/>
      <c r="P46" s="3285" t="str">
        <f>A46</f>
        <v>成交单价</v>
      </c>
      <c r="Q46" s="3285"/>
      <c r="R46" s="3298">
        <f>E46</f>
        <v>227.06</v>
      </c>
      <c r="S46" s="3298"/>
      <c r="T46" s="3298">
        <f>G46</f>
        <v>236.68</v>
      </c>
      <c r="U46" s="3298"/>
      <c r="V46" s="3298">
        <f>I46</f>
        <v>230.77</v>
      </c>
      <c r="W46" s="3298"/>
      <c r="X46" s="750"/>
      <c r="Y46" s="772"/>
      <c r="Z46" s="750"/>
      <c r="AA46" s="750"/>
      <c r="AB46" s="750"/>
      <c r="AC46" s="750"/>
    </row>
    <row r="47" spans="1:29" ht="15.75" thickBot="1">
      <c r="A47" s="477" t="s">
        <v>2659</v>
      </c>
      <c r="B47" s="674"/>
      <c r="C47" s="481">
        <f>R48</f>
        <v>242</v>
      </c>
      <c r="D47" s="480"/>
      <c r="E47" s="481">
        <f>R47</f>
        <v>242</v>
      </c>
      <c r="F47" s="482"/>
      <c r="G47" s="479">
        <f>T47</f>
        <v>245</v>
      </c>
      <c r="H47" s="480"/>
      <c r="I47" s="481">
        <f>V47</f>
        <v>239</v>
      </c>
      <c r="J47" s="480"/>
      <c r="K47" s="775"/>
      <c r="L47" s="1131"/>
      <c r="M47" s="1132"/>
      <c r="N47" s="1132"/>
      <c r="O47" s="1132"/>
      <c r="P47" s="3285" t="str">
        <f>A47</f>
        <v>比较价值（元/平方米）</v>
      </c>
      <c r="Q47" s="3285"/>
      <c r="R47" s="3304">
        <f>ROUND(PRODUCT(R46,AA7:AA45),0)</f>
        <v>242</v>
      </c>
      <c r="S47" s="3304"/>
      <c r="T47" s="3304">
        <f>ROUND(PRODUCT(T46,AB7:AB45),0)</f>
        <v>245</v>
      </c>
      <c r="U47" s="3304"/>
      <c r="V47" s="3304">
        <f>ROUND(PRODUCT(V46,AC7:AC45),0)</f>
        <v>239</v>
      </c>
      <c r="W47" s="3304"/>
      <c r="X47" s="750"/>
      <c r="Y47" s="750"/>
      <c r="Z47" s="750"/>
      <c r="AA47" s="750"/>
      <c r="AB47" s="750"/>
      <c r="AC47" s="750"/>
    </row>
    <row r="48" spans="1:29" ht="15.75" thickBot="1">
      <c r="A48" s="483" t="s">
        <v>2746</v>
      </c>
      <c r="B48" s="484"/>
      <c r="C48" s="485">
        <f>R48</f>
        <v>242</v>
      </c>
      <c r="D48" s="485"/>
      <c r="E48" s="485"/>
      <c r="F48" s="485"/>
      <c r="G48" s="485"/>
      <c r="H48" s="485"/>
      <c r="I48" s="485"/>
      <c r="J48" s="485"/>
      <c r="K48" s="776"/>
      <c r="L48" s="1131"/>
      <c r="M48" s="1132"/>
      <c r="N48" s="1132"/>
      <c r="O48" s="1132"/>
      <c r="P48" s="3305" t="str">
        <f>A48</f>
        <v>估价对象XX用房的比较价值（楼面单价，元/平方米）</v>
      </c>
      <c r="Q48" s="3306"/>
      <c r="R48" s="3307">
        <f>ROUND(AVERAGE(R47:V47),0)</f>
        <v>242</v>
      </c>
      <c r="S48" s="3307"/>
      <c r="T48" s="3307"/>
      <c r="U48" s="3307"/>
      <c r="V48" s="3307"/>
      <c r="W48" s="3307"/>
      <c r="X48" s="750"/>
      <c r="Y48" s="750"/>
      <c r="Z48" s="750"/>
      <c r="AA48" s="750"/>
      <c r="AB48" s="750"/>
      <c r="AC48" s="750"/>
    </row>
    <row r="49" spans="1:15">
      <c r="A49" s="1132"/>
      <c r="B49" s="1132"/>
      <c r="C49" s="1132"/>
      <c r="D49" s="1132"/>
      <c r="E49" s="1132"/>
      <c r="F49" s="1132"/>
      <c r="G49" s="1135"/>
      <c r="H49" s="1132"/>
      <c r="I49" s="1132"/>
      <c r="J49" s="1132"/>
      <c r="K49" s="1093"/>
      <c r="L49" s="1094"/>
      <c r="M49" s="1132"/>
      <c r="N49" s="1132"/>
      <c r="O49" s="1132"/>
    </row>
    <row r="50" spans="1:15">
      <c r="A50" s="1132"/>
      <c r="B50" s="1132"/>
      <c r="C50" s="1132"/>
      <c r="D50" s="1132"/>
      <c r="E50" s="1132"/>
      <c r="F50" s="1132"/>
      <c r="G50" s="1132"/>
      <c r="H50" s="1132"/>
      <c r="I50" s="1132"/>
      <c r="J50" s="1132"/>
      <c r="K50" s="1093"/>
      <c r="L50" s="1094"/>
      <c r="M50" s="1132"/>
      <c r="N50" s="1132"/>
      <c r="O50" s="1132"/>
    </row>
    <row r="51" spans="1:15" ht="13.5" customHeight="1">
      <c r="A51" s="1132"/>
      <c r="B51" s="1132"/>
      <c r="C51" s="488" t="s">
        <v>2661</v>
      </c>
      <c r="D51" s="489"/>
      <c r="E51" s="490">
        <f>IF(E46&lt;E47,E47/E46-1,E46/E47-1)</f>
        <v>6.5797586541002318E-2</v>
      </c>
      <c r="F51" s="491" t="str">
        <f>IF(OR(E51&gt;=0.3,E51&lt;=-0.3),"超过30%","")</f>
        <v/>
      </c>
      <c r="G51" s="490">
        <f>IF(G46&lt;G47,G47/G46-1,G46/G47-1)</f>
        <v>3.5152949129626521E-2</v>
      </c>
      <c r="H51" s="491" t="str">
        <f>IF(OR(G51&gt;=0.3,G51&lt;=-0.3),"超过30%","")</f>
        <v/>
      </c>
      <c r="I51" s="490">
        <f>IF(I46&lt;I47,I47/I46-1,I46/I47-1)</f>
        <v>3.5663214455951664E-2</v>
      </c>
      <c r="J51" s="491" t="str">
        <f>IF(OR(I51&gt;=0.3,I51&lt;=-0.3),"超过30%","")</f>
        <v/>
      </c>
      <c r="K51" s="1093"/>
      <c r="L51" s="1094"/>
      <c r="M51" s="1132"/>
      <c r="N51" s="1132"/>
      <c r="O51" s="1132"/>
    </row>
    <row r="52" spans="1:15" ht="13.5" customHeight="1">
      <c r="A52" s="1132"/>
      <c r="B52" s="1132"/>
      <c r="C52" s="488" t="s">
        <v>2662</v>
      </c>
      <c r="D52" s="492"/>
      <c r="E52" s="490">
        <f>IF(E47&lt;G47,G47/E47-1,E47/G47-1)</f>
        <v>1.2396694214876103E-2</v>
      </c>
      <c r="F52" s="491" t="str">
        <f>IF(OR(E52&gt;=0.2,E52&lt;=-0.2),"超过20%","")</f>
        <v/>
      </c>
      <c r="G52" s="490">
        <f>IF(G47&lt;I47,I47/G47-1,G47/I47-1)</f>
        <v>2.5104602510460206E-2</v>
      </c>
      <c r="H52" s="491" t="str">
        <f>IF(OR(G52&gt;=0.2,G52&lt;=-0.2),"超过20%","")</f>
        <v/>
      </c>
      <c r="I52" s="490">
        <f>IF(I47&lt;E47,E47/I47-1,I47/E47-1)</f>
        <v>1.2552301255230214E-2</v>
      </c>
      <c r="J52" s="491" t="str">
        <f>IF(OR(I52&gt;=0.2,I52&lt;=-0.2),"超过20%","")</f>
        <v/>
      </c>
      <c r="K52" s="1093"/>
      <c r="L52" s="1094"/>
      <c r="M52" s="1132"/>
      <c r="N52" s="1132"/>
      <c r="O52" s="1132"/>
    </row>
    <row r="53" spans="1:15" s="493" customFormat="1" ht="13.5" customHeight="1">
      <c r="A53" s="1133"/>
      <c r="B53" s="1133"/>
      <c r="C53" s="488" t="s">
        <v>2663</v>
      </c>
      <c r="D53" s="492"/>
      <c r="E53" s="490">
        <f>IF(E46&lt;G46,G46/E46-1,E46/G46-1)</f>
        <v>4.2367656126134134E-2</v>
      </c>
      <c r="F53" s="491" t="str">
        <f>IF(OR(E53&gt;=0.3,E53&lt;=-0.3),"超过30%","")</f>
        <v/>
      </c>
      <c r="G53" s="490">
        <f>IF(G46&lt;I46,I46/G46-1,G46/I46-1)</f>
        <v>2.5609914633617947E-2</v>
      </c>
      <c r="H53" s="491" t="str">
        <f>IF(OR(G53&gt;=0.3,G53&lt;=-0.3),"超过30%","")</f>
        <v/>
      </c>
      <c r="I53" s="490">
        <f>IF(I46&lt;E46,E46/I46-1,I46/E46-1)</f>
        <v>1.6339293578789826E-2</v>
      </c>
      <c r="J53" s="491" t="str">
        <f>IF(OR(I53&gt;=0.3,I53&lt;=-0.3),"超过30%","")</f>
        <v/>
      </c>
      <c r="K53" s="1136"/>
      <c r="L53" s="1137"/>
      <c r="M53" s="1133"/>
      <c r="N53" s="1133"/>
      <c r="O53" s="1133"/>
    </row>
    <row r="54" spans="1:15" s="493" customFormat="1" ht="15" thickBot="1">
      <c r="A54" s="1133"/>
      <c r="B54" s="1134"/>
      <c r="C54" s="753"/>
      <c r="D54" s="751"/>
      <c r="E54" s="751"/>
      <c r="F54" s="751"/>
      <c r="G54" s="751"/>
      <c r="H54" s="751"/>
      <c r="I54" s="751"/>
      <c r="J54" s="751"/>
      <c r="K54" s="1136"/>
      <c r="L54" s="1137"/>
      <c r="M54" s="1133"/>
      <c r="N54" s="1133"/>
      <c r="O54" s="1133"/>
    </row>
    <row r="55" spans="1:15" ht="27" customHeight="1">
      <c r="A55" s="675" t="s">
        <v>2747</v>
      </c>
      <c r="B55" s="676" t="s">
        <v>2748</v>
      </c>
      <c r="C55" s="2693" t="s">
        <v>3143</v>
      </c>
      <c r="D55" s="2694" t="s">
        <v>2750</v>
      </c>
      <c r="E55" s="677" t="s">
        <v>2751</v>
      </c>
      <c r="F55" s="1095" t="s">
        <v>2752</v>
      </c>
      <c r="G55" s="3286" t="s">
        <v>2753</v>
      </c>
      <c r="H55" s="3308"/>
      <c r="I55" s="135" t="s">
        <v>2754</v>
      </c>
      <c r="J55" s="2695">
        <f>项目基本情况!F35</f>
        <v>0</v>
      </c>
      <c r="K55" s="2696" t="s">
        <v>2755</v>
      </c>
      <c r="L55" s="1094"/>
      <c r="M55" s="1132"/>
      <c r="N55" s="1132"/>
      <c r="O55" s="1132"/>
    </row>
    <row r="56" spans="1:15" s="683" customFormat="1">
      <c r="A56" s="679" t="s">
        <v>2756</v>
      </c>
      <c r="B56" s="680">
        <f>C48</f>
        <v>242</v>
      </c>
      <c r="C56" s="681">
        <v>1</v>
      </c>
      <c r="D56" s="1151">
        <v>1</v>
      </c>
      <c r="E56" s="681">
        <f>'数据-汇总表'!E8+'数据-汇总表'!E9</f>
        <v>20428.607999999997</v>
      </c>
      <c r="F56" s="1091">
        <f t="shared" ref="F56:F65" si="15">ROUND(B56*E56/10000,0)</f>
        <v>494</v>
      </c>
      <c r="G56" s="3309"/>
      <c r="H56" s="3285"/>
      <c r="I56" s="1096">
        <v>1</v>
      </c>
      <c r="J56" s="1099">
        <v>1</v>
      </c>
      <c r="K56" s="1133"/>
      <c r="L56" s="930"/>
      <c r="M56" s="930"/>
      <c r="N56" s="930"/>
      <c r="O56" s="930"/>
    </row>
    <row r="57" spans="1:15" s="683" customFormat="1">
      <c r="A57" s="684" t="s">
        <v>2757</v>
      </c>
      <c r="B57" s="253">
        <f>ROUND($C$48*C57*D57,0)</f>
        <v>0</v>
      </c>
      <c r="C57" s="191">
        <f t="shared" ref="C57:C65" si="16">IF($C$55="北京市系数",I57,J57)</f>
        <v>0</v>
      </c>
      <c r="D57" s="1152">
        <v>0.25</v>
      </c>
      <c r="E57" s="685"/>
      <c r="F57" s="1091">
        <f t="shared" si="15"/>
        <v>0</v>
      </c>
      <c r="G57" s="3310" t="s">
        <v>2758</v>
      </c>
      <c r="H57" s="1092">
        <f>项目基本情况!B37</f>
        <v>0</v>
      </c>
      <c r="I57" s="1096">
        <f>SUMIF(修正!A45:A56,H57,修正!B45:B56)</f>
        <v>0</v>
      </c>
      <c r="J57" s="1100"/>
      <c r="K57" s="1132"/>
      <c r="L57" s="930"/>
      <c r="M57" s="930"/>
      <c r="N57" s="930"/>
      <c r="O57" s="930"/>
    </row>
    <row r="58" spans="1:15" s="683" customFormat="1">
      <c r="A58" s="684" t="s">
        <v>2759</v>
      </c>
      <c r="B58" s="253">
        <f t="shared" ref="B58:B65" si="17">ROUND($C$48*C58*D58,0)</f>
        <v>0</v>
      </c>
      <c r="C58" s="191">
        <f t="shared" si="16"/>
        <v>0</v>
      </c>
      <c r="D58" s="1152">
        <v>0.25</v>
      </c>
      <c r="E58" s="685"/>
      <c r="F58" s="1091">
        <f t="shared" si="15"/>
        <v>0</v>
      </c>
      <c r="G58" s="3310"/>
      <c r="H58" s="1092">
        <f>项目基本情况!B37</f>
        <v>0</v>
      </c>
      <c r="I58" s="1096">
        <f>SUMIF(修正!A45:A56,H58,修正!C45:C56)</f>
        <v>0</v>
      </c>
      <c r="J58" s="1100"/>
      <c r="K58" s="1133"/>
      <c r="L58" s="930"/>
      <c r="M58" s="930"/>
      <c r="N58" s="930"/>
      <c r="O58" s="930"/>
    </row>
    <row r="59" spans="1:15" s="683" customFormat="1">
      <c r="A59" s="684" t="s">
        <v>2760</v>
      </c>
      <c r="B59" s="253">
        <f t="shared" si="17"/>
        <v>0</v>
      </c>
      <c r="C59" s="191">
        <f t="shared" si="16"/>
        <v>0</v>
      </c>
      <c r="D59" s="1152">
        <v>0.25</v>
      </c>
      <c r="E59" s="685"/>
      <c r="F59" s="1091">
        <f t="shared" si="15"/>
        <v>0</v>
      </c>
      <c r="G59" s="3310"/>
      <c r="H59" s="1092">
        <f>项目基本情况!B37</f>
        <v>0</v>
      </c>
      <c r="I59" s="1096">
        <f>SUMIF(修正!A45:A56,H59,修正!D45:D56)</f>
        <v>0</v>
      </c>
      <c r="J59" s="1100"/>
      <c r="K59" s="1132"/>
      <c r="L59" s="930"/>
      <c r="M59" s="930"/>
      <c r="N59" s="930"/>
      <c r="O59" s="930"/>
    </row>
    <row r="60" spans="1:15" s="683" customFormat="1">
      <c r="A60" s="684" t="s">
        <v>2761</v>
      </c>
      <c r="B60" s="253">
        <f t="shared" si="17"/>
        <v>0</v>
      </c>
      <c r="C60" s="191">
        <f t="shared" si="16"/>
        <v>0</v>
      </c>
      <c r="D60" s="1152">
        <v>0.25</v>
      </c>
      <c r="E60" s="685"/>
      <c r="F60" s="1091">
        <f t="shared" si="15"/>
        <v>0</v>
      </c>
      <c r="G60" s="3310"/>
      <c r="H60" s="1092">
        <f>项目基本情况!B37</f>
        <v>0</v>
      </c>
      <c r="I60" s="1096">
        <f>SUMIF(修正!A45:A56,H60,修正!E45:E56)</f>
        <v>0</v>
      </c>
      <c r="J60" s="1100"/>
      <c r="K60" s="1133"/>
      <c r="L60" s="930"/>
      <c r="M60" s="930"/>
      <c r="N60" s="930"/>
      <c r="O60" s="930"/>
    </row>
    <row r="61" spans="1:15" s="683" customFormat="1">
      <c r="A61" s="684" t="s">
        <v>2762</v>
      </c>
      <c r="B61" s="253">
        <f t="shared" si="17"/>
        <v>0</v>
      </c>
      <c r="C61" s="191">
        <f t="shared" si="16"/>
        <v>0</v>
      </c>
      <c r="D61" s="1152">
        <v>0.25</v>
      </c>
      <c r="E61" s="252">
        <f>'数据-汇总表'!E11</f>
        <v>0</v>
      </c>
      <c r="F61" s="1091">
        <f t="shared" si="15"/>
        <v>0</v>
      </c>
      <c r="G61" s="2697" t="s">
        <v>2763</v>
      </c>
      <c r="H61" s="1092">
        <f>项目基本情况!C37</f>
        <v>0</v>
      </c>
      <c r="I61" s="1096">
        <f>SUMIF(修正!A45:A56,H61,修正!F45:F56)</f>
        <v>0</v>
      </c>
      <c r="J61" s="1100"/>
      <c r="K61" s="1132"/>
      <c r="L61" s="930"/>
      <c r="M61" s="930"/>
      <c r="N61" s="930"/>
      <c r="O61" s="930"/>
    </row>
    <row r="62" spans="1:15" s="683" customFormat="1">
      <c r="A62" s="684" t="s">
        <v>2764</v>
      </c>
      <c r="B62" s="253">
        <f t="shared" si="17"/>
        <v>0</v>
      </c>
      <c r="C62" s="191">
        <f t="shared" si="16"/>
        <v>0</v>
      </c>
      <c r="D62" s="1152">
        <v>0.25</v>
      </c>
      <c r="E62" s="252">
        <f>'数据-汇总表'!E12</f>
        <v>0</v>
      </c>
      <c r="F62" s="1091">
        <f t="shared" si="15"/>
        <v>0</v>
      </c>
      <c r="G62" s="1097" t="s">
        <v>2765</v>
      </c>
      <c r="H62" s="1092">
        <f>IF(G62="商业",项目基本情况!B37,IF(G62="办公",项目基本情况!C37,IF(G62="住宅",项目基本情况!D37,项目基本情况!E37)))</f>
        <v>0</v>
      </c>
      <c r="I62" s="1096">
        <f>SUMIF(修正!A45:A56,H62,修正!G45:G56)</f>
        <v>0</v>
      </c>
      <c r="J62" s="1100"/>
      <c r="K62" s="1133"/>
      <c r="L62" s="930"/>
      <c r="M62" s="930"/>
      <c r="N62" s="930"/>
      <c r="O62" s="930"/>
    </row>
    <row r="63" spans="1:15" s="683" customFormat="1">
      <c r="A63" s="684" t="s">
        <v>2766</v>
      </c>
      <c r="B63" s="253">
        <f t="shared" si="17"/>
        <v>0</v>
      </c>
      <c r="C63" s="191">
        <f t="shared" si="16"/>
        <v>0</v>
      </c>
      <c r="D63" s="1152">
        <v>0.25</v>
      </c>
      <c r="E63" s="252">
        <f>'数据-汇总表'!E13</f>
        <v>0</v>
      </c>
      <c r="F63" s="1091">
        <f t="shared" si="15"/>
        <v>0</v>
      </c>
      <c r="G63" s="1097" t="s">
        <v>3038</v>
      </c>
      <c r="H63" s="1092">
        <f>IF(G63="商业",项目基本情况!B37,IF(G63="办公",项目基本情况!C37,IF(G63="住宅",项目基本情况!D37,项目基本情况!E37)))</f>
        <v>0</v>
      </c>
      <c r="I63" s="1096">
        <f>SUMIF(修正!A45:A56,H63,修正!H45:H56)</f>
        <v>0</v>
      </c>
      <c r="J63" s="1100"/>
      <c r="K63" s="1132"/>
      <c r="L63" s="930"/>
      <c r="M63" s="930"/>
      <c r="N63" s="930"/>
      <c r="O63" s="930"/>
    </row>
    <row r="64" spans="1:15" s="683" customFormat="1">
      <c r="A64" s="684" t="s">
        <v>2768</v>
      </c>
      <c r="B64" s="253">
        <f t="shared" si="17"/>
        <v>0</v>
      </c>
      <c r="C64" s="191">
        <f t="shared" si="16"/>
        <v>0</v>
      </c>
      <c r="D64" s="1152">
        <v>0.25</v>
      </c>
      <c r="E64" s="252">
        <f>'数据-汇总表'!E14</f>
        <v>0</v>
      </c>
      <c r="F64" s="1091">
        <f t="shared" si="15"/>
        <v>0</v>
      </c>
      <c r="G64" s="2697" t="s">
        <v>2758</v>
      </c>
      <c r="H64" s="1092">
        <f>项目基本情况!B37</f>
        <v>0</v>
      </c>
      <c r="I64" s="1096">
        <f>SUMIF(修正!A45:A56,H64,修正!H45:H56)</f>
        <v>0</v>
      </c>
      <c r="J64" s="1100"/>
      <c r="K64" s="1133"/>
      <c r="L64" s="930"/>
      <c r="M64" s="930"/>
      <c r="N64" s="930"/>
      <c r="O64" s="930"/>
    </row>
    <row r="65" spans="1:24" s="683" customFormat="1" ht="15" thickBot="1">
      <c r="A65" s="684" t="s">
        <v>2769</v>
      </c>
      <c r="B65" s="253">
        <f t="shared" si="17"/>
        <v>0</v>
      </c>
      <c r="C65" s="191">
        <f t="shared" si="16"/>
        <v>0</v>
      </c>
      <c r="D65" s="1152">
        <v>0.25</v>
      </c>
      <c r="E65" s="252">
        <f>'数据-汇总表'!E15</f>
        <v>0</v>
      </c>
      <c r="F65" s="1091">
        <f t="shared" si="15"/>
        <v>0</v>
      </c>
      <c r="G65" s="2698" t="s">
        <v>2763</v>
      </c>
      <c r="H65" s="1102">
        <f>项目基本情况!C37</f>
        <v>0</v>
      </c>
      <c r="I65" s="1098">
        <f>SUMIF(修正!A45:A56,H65,修正!H45:H56)</f>
        <v>0</v>
      </c>
      <c r="J65" s="1101"/>
      <c r="K65" s="1132"/>
      <c r="L65" s="930"/>
      <c r="M65" s="930"/>
      <c r="N65" s="930"/>
      <c r="O65" s="930"/>
    </row>
    <row r="66" spans="1:24" s="683" customFormat="1" ht="13.5" thickBot="1">
      <c r="A66" s="686" t="s">
        <v>2770</v>
      </c>
      <c r="B66" s="687" t="s">
        <v>28</v>
      </c>
      <c r="C66" s="687" t="s">
        <v>29</v>
      </c>
      <c r="D66" s="687" t="s">
        <v>1029</v>
      </c>
      <c r="E66" s="687">
        <f>IF(B46="楼面地价",SUM(E56:E65),'数据-汇总表'!D3)</f>
        <v>20428.607999999997</v>
      </c>
      <c r="F66" s="688">
        <f>IF(B46="楼面地价",SUM(F56:F65),ROUND(C48*E66/10000,0))</f>
        <v>494</v>
      </c>
      <c r="G66" s="778"/>
      <c r="H66" s="778"/>
      <c r="I66" s="778"/>
      <c r="J66" s="778"/>
      <c r="K66" s="1146"/>
      <c r="L66" s="930"/>
      <c r="M66" s="930"/>
      <c r="N66" s="930"/>
      <c r="O66" s="930"/>
    </row>
    <row r="67" spans="1:24">
      <c r="A67" s="750"/>
      <c r="B67" s="752"/>
      <c r="C67" s="753"/>
      <c r="D67" s="750"/>
      <c r="E67" s="750"/>
      <c r="F67" s="750"/>
      <c r="G67" s="750"/>
      <c r="H67" s="750"/>
      <c r="I67" s="750"/>
      <c r="J67" s="1132"/>
      <c r="K67" s="1093"/>
      <c r="L67" s="1094"/>
      <c r="M67" s="1132"/>
      <c r="N67" s="1132"/>
      <c r="O67" s="1132"/>
    </row>
    <row r="68" spans="1:24">
      <c r="A68" s="750"/>
      <c r="B68" s="752"/>
      <c r="C68" s="752" t="str">
        <f>YEAR(C7)&amp;"-"&amp;MONTH(C7)&amp;"-1"</f>
        <v>2019-2-1</v>
      </c>
      <c r="D68" s="752">
        <f t="shared" ref="D68:O68" si="18">EDATE(C68,-3)</f>
        <v>43405</v>
      </c>
      <c r="E68" s="752">
        <f t="shared" si="18"/>
        <v>43313</v>
      </c>
      <c r="F68" s="752">
        <f t="shared" si="18"/>
        <v>43221</v>
      </c>
      <c r="G68" s="752">
        <f t="shared" si="18"/>
        <v>43132</v>
      </c>
      <c r="H68" s="752">
        <f t="shared" si="18"/>
        <v>43040</v>
      </c>
      <c r="I68" s="752">
        <f t="shared" si="18"/>
        <v>42948</v>
      </c>
      <c r="J68" s="752">
        <f t="shared" si="18"/>
        <v>42856</v>
      </c>
      <c r="K68" s="752">
        <f t="shared" si="18"/>
        <v>42767</v>
      </c>
      <c r="L68" s="752">
        <f t="shared" si="18"/>
        <v>42675</v>
      </c>
      <c r="M68" s="752">
        <f t="shared" si="18"/>
        <v>42583</v>
      </c>
      <c r="N68" s="752">
        <f t="shared" si="18"/>
        <v>42491</v>
      </c>
      <c r="O68" s="752">
        <f t="shared" si="18"/>
        <v>42401</v>
      </c>
    </row>
    <row r="69" spans="1:24" ht="21.75" thickBot="1">
      <c r="A69" s="754" t="s">
        <v>2664</v>
      </c>
      <c r="B69" s="750"/>
      <c r="C69" s="755"/>
      <c r="D69" s="755"/>
      <c r="E69" s="755"/>
      <c r="F69" s="756"/>
      <c r="G69" s="756"/>
      <c r="H69" s="755"/>
      <c r="I69" s="755"/>
      <c r="J69" s="1147"/>
      <c r="K69" s="1148"/>
      <c r="L69" s="1149"/>
      <c r="M69" s="1147"/>
      <c r="N69" s="1147"/>
      <c r="O69" s="1147"/>
      <c r="P69" s="494"/>
      <c r="Q69" s="495"/>
    </row>
    <row r="70" spans="1:24" s="499" customFormat="1" ht="15">
      <c r="A70" s="2699" t="s">
        <v>2771</v>
      </c>
      <c r="B70" s="1347"/>
      <c r="C70" s="1559" t="str">
        <f>YEAR(C68)&amp;"-"&amp;ROUNDUP(MONTH(C68)/3,0)</f>
        <v>2019-1</v>
      </c>
      <c r="D70" s="1559" t="str">
        <f>YEAR(D68)&amp;"-"&amp;ROUNDUP(MONTH(D68)/3,0)</f>
        <v>2018-4</v>
      </c>
      <c r="E70" s="1559" t="str">
        <f t="shared" ref="E70:O70" si="19">YEAR(E68)&amp;"-"&amp;ROUNDUP(MONTH(E68)/3,0)</f>
        <v>2018-3</v>
      </c>
      <c r="F70" s="1559" t="str">
        <f t="shared" si="19"/>
        <v>2018-2</v>
      </c>
      <c r="G70" s="1559" t="str">
        <f t="shared" si="19"/>
        <v>2018-1</v>
      </c>
      <c r="H70" s="1559" t="str">
        <f t="shared" si="19"/>
        <v>2017-4</v>
      </c>
      <c r="I70" s="1559" t="str">
        <f t="shared" si="19"/>
        <v>2017-3</v>
      </c>
      <c r="J70" s="1559" t="str">
        <f t="shared" si="19"/>
        <v>2017-2</v>
      </c>
      <c r="K70" s="1559" t="str">
        <f t="shared" si="19"/>
        <v>2017-1</v>
      </c>
      <c r="L70" s="1559" t="str">
        <f t="shared" si="19"/>
        <v>2016-4</v>
      </c>
      <c r="M70" s="1559" t="str">
        <f t="shared" si="19"/>
        <v>2016-3</v>
      </c>
      <c r="N70" s="1559" t="str">
        <f t="shared" si="19"/>
        <v>2016-2</v>
      </c>
      <c r="O70" s="1559" t="str">
        <f t="shared" si="19"/>
        <v>2016-1</v>
      </c>
      <c r="P70" s="498" t="s">
        <v>3188</v>
      </c>
      <c r="Q70" s="499" t="s">
        <v>3189</v>
      </c>
      <c r="R70" s="499" t="s">
        <v>3190</v>
      </c>
      <c r="S70" s="499" t="s">
        <v>3191</v>
      </c>
      <c r="T70" s="499" t="s">
        <v>3192</v>
      </c>
      <c r="U70" s="499" t="s">
        <v>3193</v>
      </c>
      <c r="V70" s="499" t="s">
        <v>3194</v>
      </c>
      <c r="W70" s="499" t="s">
        <v>3195</v>
      </c>
    </row>
    <row r="71" spans="1:24" s="110" customFormat="1" ht="30" customHeight="1">
      <c r="A71" s="2700" t="s">
        <v>1377</v>
      </c>
      <c r="B71" s="323" t="str">
        <f>"北京市平均增长率"&amp;TEXT(SUMIF(基准地价修正!N21:N25,A71,基准地价修正!P21:P25),"0.00%")</f>
        <v>北京市平均增长率0.00%</v>
      </c>
      <c r="C71" s="594">
        <v>100</v>
      </c>
      <c r="D71" s="586">
        <f>C71-$C$72</f>
        <v>99</v>
      </c>
      <c r="E71" s="586">
        <f t="shared" ref="E71:W71" si="20">D71-$C$72</f>
        <v>98</v>
      </c>
      <c r="F71" s="586">
        <f t="shared" si="20"/>
        <v>97</v>
      </c>
      <c r="G71" s="586">
        <f t="shared" si="20"/>
        <v>96</v>
      </c>
      <c r="H71" s="586">
        <f t="shared" si="20"/>
        <v>95</v>
      </c>
      <c r="I71" s="586">
        <f t="shared" si="20"/>
        <v>94</v>
      </c>
      <c r="J71" s="586">
        <f t="shared" si="20"/>
        <v>93</v>
      </c>
      <c r="K71" s="586">
        <f t="shared" si="20"/>
        <v>92</v>
      </c>
      <c r="L71" s="586">
        <f t="shared" si="20"/>
        <v>91</v>
      </c>
      <c r="M71" s="586">
        <f t="shared" si="20"/>
        <v>90</v>
      </c>
      <c r="N71" s="586">
        <f t="shared" si="20"/>
        <v>89</v>
      </c>
      <c r="O71" s="586">
        <f t="shared" si="20"/>
        <v>88</v>
      </c>
      <c r="P71" s="586">
        <f t="shared" si="20"/>
        <v>87</v>
      </c>
      <c r="Q71" s="586">
        <f t="shared" si="20"/>
        <v>86</v>
      </c>
      <c r="R71" s="586">
        <f t="shared" si="20"/>
        <v>85</v>
      </c>
      <c r="S71" s="586">
        <f t="shared" si="20"/>
        <v>84</v>
      </c>
      <c r="T71" s="586">
        <f t="shared" si="20"/>
        <v>83</v>
      </c>
      <c r="U71" s="586">
        <f t="shared" si="20"/>
        <v>82</v>
      </c>
      <c r="V71" s="586">
        <f t="shared" si="20"/>
        <v>81</v>
      </c>
      <c r="W71" s="586">
        <f t="shared" si="20"/>
        <v>80</v>
      </c>
      <c r="X71" s="495"/>
    </row>
    <row r="72" spans="1:24" s="110" customFormat="1" ht="15.75" thickBot="1">
      <c r="A72" s="506" t="s">
        <v>2575</v>
      </c>
      <c r="B72" s="507"/>
      <c r="C72" s="508">
        <v>1</v>
      </c>
      <c r="D72" s="509"/>
      <c r="E72" s="509"/>
      <c r="F72" s="509"/>
      <c r="G72" s="509"/>
      <c r="H72" s="509"/>
      <c r="I72" s="509"/>
      <c r="J72" s="509"/>
      <c r="K72" s="509"/>
      <c r="L72" s="509"/>
      <c r="M72" s="510"/>
      <c r="N72" s="509"/>
      <c r="O72" s="1150"/>
      <c r="P72" s="495"/>
      <c r="Q72" s="495"/>
    </row>
    <row r="73" spans="1:24" s="110" customFormat="1" ht="15">
      <c r="A73" s="512" t="s">
        <v>2540</v>
      </c>
      <c r="B73" s="501"/>
      <c r="C73" s="513" t="s">
        <v>2642</v>
      </c>
      <c r="D73" s="514"/>
      <c r="E73" s="514"/>
      <c r="F73" s="514"/>
      <c r="G73" s="514"/>
      <c r="H73" s="514"/>
      <c r="I73" s="514"/>
      <c r="J73" s="514"/>
      <c r="K73" s="514"/>
      <c r="L73" s="515"/>
      <c r="M73" s="516"/>
      <c r="N73" s="1139"/>
      <c r="O73" s="1139"/>
      <c r="P73" s="517"/>
      <c r="Q73" s="495"/>
    </row>
    <row r="74" spans="1:24" s="110" customFormat="1" ht="15.75" thickBot="1">
      <c r="A74" s="512"/>
      <c r="B74" s="501"/>
      <c r="C74" s="630">
        <v>100</v>
      </c>
      <c r="D74" s="503"/>
      <c r="E74" s="503"/>
      <c r="F74" s="503"/>
      <c r="G74" s="503"/>
      <c r="H74" s="503"/>
      <c r="I74" s="503"/>
      <c r="J74" s="503"/>
      <c r="K74" s="503"/>
      <c r="L74" s="503"/>
      <c r="M74" s="505"/>
      <c r="N74" s="1139"/>
      <c r="O74" s="1139"/>
      <c r="P74" s="495"/>
      <c r="Q74" s="495"/>
    </row>
    <row r="75" spans="1:24">
      <c r="A75" s="518" t="s">
        <v>2578</v>
      </c>
      <c r="B75" s="519" t="s">
        <v>2544</v>
      </c>
      <c r="C75" s="2931" t="s">
        <v>183</v>
      </c>
      <c r="D75" s="2931"/>
      <c r="E75" s="521"/>
      <c r="F75" s="521"/>
      <c r="G75" s="521"/>
      <c r="H75" s="521"/>
      <c r="I75" s="521"/>
      <c r="J75" s="521"/>
      <c r="K75" s="522"/>
      <c r="L75" s="523"/>
      <c r="M75" s="524"/>
      <c r="N75" s="1140"/>
      <c r="O75" s="1140"/>
      <c r="P75" s="45"/>
      <c r="Q75" s="495"/>
    </row>
    <row r="76" spans="1:24" ht="15.75" thickBot="1">
      <c r="A76" s="525"/>
      <c r="B76" s="526"/>
      <c r="C76" s="527">
        <v>100</v>
      </c>
      <c r="D76" s="527"/>
      <c r="E76" s="527"/>
      <c r="F76" s="527"/>
      <c r="G76" s="527"/>
      <c r="H76" s="527"/>
      <c r="I76" s="527"/>
      <c r="J76" s="527"/>
      <c r="K76" s="527"/>
      <c r="L76" s="527"/>
      <c r="M76" s="528"/>
      <c r="N76" s="1141"/>
      <c r="O76" s="1141"/>
      <c r="P76" s="45"/>
      <c r="Q76" s="495"/>
    </row>
    <row r="77" spans="1:24" ht="27.75" thickTop="1">
      <c r="A77" s="525"/>
      <c r="B77" s="529" t="s">
        <v>2547</v>
      </c>
      <c r="C77" s="530"/>
      <c r="D77" s="530"/>
      <c r="E77" s="530"/>
      <c r="F77" s="530"/>
      <c r="G77" s="530"/>
      <c r="H77" s="530"/>
      <c r="I77" s="530"/>
      <c r="J77" s="530"/>
      <c r="K77" s="531"/>
      <c r="L77" s="532"/>
      <c r="M77" s="533"/>
      <c r="N77" s="1140"/>
      <c r="O77" s="1140"/>
      <c r="P77" s="45"/>
      <c r="Q77" s="495"/>
    </row>
    <row r="78" spans="1:24" ht="15.75" thickBot="1">
      <c r="A78" s="525"/>
      <c r="B78" s="534"/>
      <c r="C78" s="535"/>
      <c r="D78" s="535"/>
      <c r="E78" s="535"/>
      <c r="F78" s="535"/>
      <c r="G78" s="535"/>
      <c r="H78" s="535"/>
      <c r="I78" s="535"/>
      <c r="J78" s="535"/>
      <c r="K78" s="535"/>
      <c r="L78" s="535"/>
      <c r="M78" s="536"/>
      <c r="N78" s="1141"/>
      <c r="O78" s="1141"/>
      <c r="P78" s="45"/>
      <c r="Q78" s="495"/>
    </row>
    <row r="79" spans="1:24" ht="15.75" thickTop="1">
      <c r="A79" s="525"/>
      <c r="B79" s="537" t="s">
        <v>2548</v>
      </c>
      <c r="C79" s="538" t="str">
        <f>C80&amp;"（含）"&amp;"-"&amp;D80</f>
        <v>0（含）-1</v>
      </c>
      <c r="D79" s="538" t="str">
        <f t="shared" ref="D79:L79" si="21">D80&amp;"（含）"&amp;"-"&amp;E80</f>
        <v>1（含）-2</v>
      </c>
      <c r="E79" s="538" t="str">
        <f t="shared" si="21"/>
        <v>2（含）-3</v>
      </c>
      <c r="F79" s="538" t="str">
        <f t="shared" si="21"/>
        <v>3（含）-4</v>
      </c>
      <c r="G79" s="538" t="str">
        <f t="shared" si="21"/>
        <v>4（含）-5</v>
      </c>
      <c r="H79" s="538" t="str">
        <f t="shared" si="21"/>
        <v>5（含）-6</v>
      </c>
      <c r="I79" s="538" t="str">
        <f t="shared" si="21"/>
        <v>6（含）-7</v>
      </c>
      <c r="J79" s="538" t="str">
        <f t="shared" si="21"/>
        <v>7（含）-8</v>
      </c>
      <c r="K79" s="538" t="str">
        <f t="shared" si="21"/>
        <v>8（含）-9</v>
      </c>
      <c r="L79" s="538" t="str">
        <f t="shared" si="21"/>
        <v>9（含）-10</v>
      </c>
      <c r="M79" s="439" t="str">
        <f>M80&amp;"（含）"&amp;"-"&amp;P80</f>
        <v>10（含）-</v>
      </c>
      <c r="N79" s="1141"/>
      <c r="O79" s="1141"/>
      <c r="P79" s="45"/>
      <c r="Q79" s="495"/>
    </row>
    <row r="80" spans="1:24" ht="15">
      <c r="A80" s="525"/>
      <c r="B80" s="539"/>
      <c r="C80" s="540">
        <v>0</v>
      </c>
      <c r="D80" s="540">
        <v>1</v>
      </c>
      <c r="E80" s="540">
        <v>2</v>
      </c>
      <c r="F80" s="540">
        <v>3</v>
      </c>
      <c r="G80" s="540">
        <v>4</v>
      </c>
      <c r="H80" s="540">
        <v>5</v>
      </c>
      <c r="I80" s="540">
        <v>6</v>
      </c>
      <c r="J80" s="540">
        <v>7</v>
      </c>
      <c r="K80" s="541">
        <v>8</v>
      </c>
      <c r="L80" s="542">
        <v>9</v>
      </c>
      <c r="M80" s="543">
        <v>10</v>
      </c>
      <c r="N80" s="1140"/>
      <c r="O80" s="1140"/>
      <c r="P80" s="45"/>
      <c r="Q80" s="495"/>
    </row>
    <row r="81" spans="1:17" ht="15.75" thickBot="1">
      <c r="A81" s="525"/>
      <c r="B81" s="526"/>
      <c r="C81" s="535">
        <v>100</v>
      </c>
      <c r="D81" s="535">
        <f t="shared" ref="D81:M81" si="22">IF($B$46="单位面积地价",C81+$K11,C81-$K11)</f>
        <v>97</v>
      </c>
      <c r="E81" s="535">
        <f t="shared" si="22"/>
        <v>94</v>
      </c>
      <c r="F81" s="535">
        <f t="shared" si="22"/>
        <v>91</v>
      </c>
      <c r="G81" s="535">
        <f t="shared" si="22"/>
        <v>88</v>
      </c>
      <c r="H81" s="535">
        <f t="shared" si="22"/>
        <v>85</v>
      </c>
      <c r="I81" s="535">
        <f t="shared" si="22"/>
        <v>82</v>
      </c>
      <c r="J81" s="535">
        <f t="shared" si="22"/>
        <v>79</v>
      </c>
      <c r="K81" s="535">
        <f t="shared" si="22"/>
        <v>76</v>
      </c>
      <c r="L81" s="535">
        <f t="shared" si="22"/>
        <v>73</v>
      </c>
      <c r="M81" s="535">
        <f t="shared" si="22"/>
        <v>70</v>
      </c>
      <c r="N81" s="1141"/>
      <c r="O81" s="1141"/>
      <c r="P81" s="45"/>
      <c r="Q81" s="495"/>
    </row>
    <row r="82" spans="1:17" s="462" customFormat="1" ht="15.75" thickTop="1">
      <c r="A82" s="544"/>
      <c r="B82" s="529">
        <f>B12</f>
        <v>0</v>
      </c>
      <c r="C82" s="545"/>
      <c r="D82" s="545"/>
      <c r="E82" s="545"/>
      <c r="F82" s="545"/>
      <c r="G82" s="545"/>
      <c r="H82" s="546"/>
      <c r="I82" s="546"/>
      <c r="J82" s="546"/>
      <c r="K82" s="546"/>
      <c r="L82" s="547"/>
      <c r="M82" s="548"/>
      <c r="N82" s="1142"/>
      <c r="O82" s="1142"/>
      <c r="P82" s="549"/>
      <c r="Q82" s="550"/>
    </row>
    <row r="83" spans="1:17" s="462" customFormat="1" ht="15.75" thickBot="1">
      <c r="A83" s="544"/>
      <c r="B83" s="534"/>
      <c r="C83" s="551"/>
      <c r="D83" s="527"/>
      <c r="E83" s="527"/>
      <c r="F83" s="527"/>
      <c r="G83" s="527"/>
      <c r="H83" s="527"/>
      <c r="I83" s="527"/>
      <c r="J83" s="527"/>
      <c r="K83" s="527"/>
      <c r="L83" s="527"/>
      <c r="M83" s="528"/>
      <c r="N83" s="1141"/>
      <c r="O83" s="1141"/>
      <c r="P83" s="549"/>
      <c r="Q83" s="550"/>
    </row>
    <row r="84" spans="1:17" s="462" customFormat="1" ht="15.75" thickTop="1">
      <c r="A84" s="544"/>
      <c r="B84" s="529">
        <f>B13</f>
        <v>0</v>
      </c>
      <c r="C84" s="545"/>
      <c r="D84" s="545"/>
      <c r="E84" s="545"/>
      <c r="F84" s="545"/>
      <c r="G84" s="545"/>
      <c r="H84" s="546"/>
      <c r="I84" s="546"/>
      <c r="J84" s="546"/>
      <c r="K84" s="546"/>
      <c r="L84" s="547"/>
      <c r="M84" s="548"/>
      <c r="N84" s="1142"/>
      <c r="O84" s="1142"/>
      <c r="P84" s="461"/>
      <c r="Q84" s="552"/>
    </row>
    <row r="85" spans="1:17" s="462" customFormat="1" ht="15.75" thickBot="1">
      <c r="A85" s="544"/>
      <c r="B85" s="534"/>
      <c r="C85" s="551"/>
      <c r="D85" s="551"/>
      <c r="E85" s="551"/>
      <c r="F85" s="551"/>
      <c r="G85" s="551"/>
      <c r="H85" s="553"/>
      <c r="I85" s="553"/>
      <c r="J85" s="553"/>
      <c r="K85" s="553"/>
      <c r="L85" s="553"/>
      <c r="M85" s="554"/>
      <c r="N85" s="1142"/>
      <c r="O85" s="1142"/>
      <c r="P85" s="549"/>
      <c r="Q85" s="550"/>
    </row>
    <row r="86" spans="1:17" s="462" customFormat="1" ht="15.75" thickTop="1">
      <c r="A86" s="544"/>
      <c r="B86" s="537">
        <f>B14</f>
        <v>0</v>
      </c>
      <c r="C86" s="514"/>
      <c r="D86" s="514"/>
      <c r="E86" s="514"/>
      <c r="F86" s="514"/>
      <c r="G86" s="514"/>
      <c r="H86" s="555"/>
      <c r="I86" s="555"/>
      <c r="J86" s="555"/>
      <c r="K86" s="555"/>
      <c r="L86" s="556"/>
      <c r="M86" s="557"/>
      <c r="N86" s="1142"/>
      <c r="O86" s="1142"/>
      <c r="P86" s="558"/>
      <c r="Q86" s="550"/>
    </row>
    <row r="87" spans="1:17" s="462" customFormat="1" ht="15.75" thickBot="1">
      <c r="A87" s="559"/>
      <c r="B87" s="560"/>
      <c r="C87" s="561"/>
      <c r="D87" s="561"/>
      <c r="E87" s="561"/>
      <c r="F87" s="561"/>
      <c r="G87" s="561"/>
      <c r="H87" s="562"/>
      <c r="I87" s="562"/>
      <c r="J87" s="562"/>
      <c r="K87" s="562"/>
      <c r="L87" s="562"/>
      <c r="M87" s="563"/>
      <c r="N87" s="1142"/>
      <c r="O87" s="1142"/>
      <c r="P87" s="549"/>
      <c r="Q87" s="550"/>
    </row>
    <row r="88" spans="1:17">
      <c r="A88" s="518" t="s">
        <v>2549</v>
      </c>
      <c r="B88" s="519" t="s">
        <v>2586</v>
      </c>
      <c r="C88" s="564" t="s">
        <v>2587</v>
      </c>
      <c r="D88" s="564" t="s">
        <v>2588</v>
      </c>
      <c r="E88" s="564" t="s">
        <v>2589</v>
      </c>
      <c r="F88" s="564" t="s">
        <v>2590</v>
      </c>
      <c r="G88" s="564" t="s">
        <v>2591</v>
      </c>
      <c r="H88" s="520"/>
      <c r="I88" s="520"/>
      <c r="J88" s="520"/>
      <c r="K88" s="565"/>
      <c r="L88" s="566"/>
      <c r="M88" s="567"/>
      <c r="N88" s="1140"/>
      <c r="O88" s="1140"/>
      <c r="P88" s="568"/>
      <c r="Q88" s="495"/>
    </row>
    <row r="89" spans="1:17" ht="15.75" thickBot="1">
      <c r="A89" s="525"/>
      <c r="B89" s="534"/>
      <c r="C89" s="535">
        <v>100</v>
      </c>
      <c r="D89" s="535">
        <f>C89-$K15</f>
        <v>95</v>
      </c>
      <c r="E89" s="535">
        <f>D89-$K15</f>
        <v>90</v>
      </c>
      <c r="F89" s="535">
        <f>E89-$K15</f>
        <v>85</v>
      </c>
      <c r="G89" s="535">
        <f>F89-$K15</f>
        <v>80</v>
      </c>
      <c r="H89" s="535"/>
      <c r="I89" s="535"/>
      <c r="J89" s="535"/>
      <c r="K89" s="535"/>
      <c r="L89" s="535"/>
      <c r="M89" s="536"/>
      <c r="N89" s="1141"/>
      <c r="O89" s="1141"/>
      <c r="P89" s="45"/>
      <c r="Q89" s="495"/>
    </row>
    <row r="90" spans="1:17" ht="15.75" thickTop="1">
      <c r="A90" s="525"/>
      <c r="B90" s="529" t="s">
        <v>2772</v>
      </c>
      <c r="C90" s="569" t="s">
        <v>2587</v>
      </c>
      <c r="D90" s="569" t="s">
        <v>2588</v>
      </c>
      <c r="E90" s="569" t="s">
        <v>2589</v>
      </c>
      <c r="F90" s="569" t="s">
        <v>2590</v>
      </c>
      <c r="G90" s="569" t="s">
        <v>2591</v>
      </c>
      <c r="H90" s="530"/>
      <c r="I90" s="530"/>
      <c r="J90" s="530"/>
      <c r="K90" s="531"/>
      <c r="L90" s="532"/>
      <c r="M90" s="533"/>
      <c r="N90" s="1140"/>
      <c r="O90" s="1140"/>
      <c r="P90" s="45"/>
      <c r="Q90" s="495"/>
    </row>
    <row r="91" spans="1:17" ht="15.75" thickBot="1">
      <c r="A91" s="525"/>
      <c r="B91" s="534"/>
      <c r="C91" s="535">
        <v>100</v>
      </c>
      <c r="D91" s="535">
        <f>C91-$K17</f>
        <v>98</v>
      </c>
      <c r="E91" s="535">
        <f>D91-$K17</f>
        <v>96</v>
      </c>
      <c r="F91" s="535">
        <f>E91-$K17</f>
        <v>94</v>
      </c>
      <c r="G91" s="535">
        <f>F91-$K17</f>
        <v>92</v>
      </c>
      <c r="H91" s="535"/>
      <c r="I91" s="535"/>
      <c r="J91" s="535"/>
      <c r="K91" s="535"/>
      <c r="L91" s="535"/>
      <c r="M91" s="536"/>
      <c r="N91" s="1141"/>
      <c r="O91" s="1141"/>
      <c r="P91" s="45"/>
      <c r="Q91" s="495"/>
    </row>
    <row r="92" spans="1:17" ht="15.75" thickTop="1">
      <c r="A92" s="525"/>
      <c r="B92" s="529" t="s">
        <v>2687</v>
      </c>
      <c r="C92" s="569" t="s">
        <v>2587</v>
      </c>
      <c r="D92" s="569" t="s">
        <v>2588</v>
      </c>
      <c r="E92" s="569" t="s">
        <v>2589</v>
      </c>
      <c r="F92" s="569" t="s">
        <v>2590</v>
      </c>
      <c r="G92" s="569" t="s">
        <v>2591</v>
      </c>
      <c r="H92" s="530"/>
      <c r="I92" s="530"/>
      <c r="J92" s="530"/>
      <c r="K92" s="531"/>
      <c r="L92" s="532"/>
      <c r="M92" s="533"/>
      <c r="N92" s="1140"/>
      <c r="O92" s="1140"/>
      <c r="P92" s="45"/>
      <c r="Q92" s="495"/>
    </row>
    <row r="93" spans="1:17" ht="15.75" thickBot="1">
      <c r="A93" s="525"/>
      <c r="B93" s="534"/>
      <c r="C93" s="535">
        <v>100</v>
      </c>
      <c r="D93" s="535">
        <f>C93-$K19</f>
        <v>100</v>
      </c>
      <c r="E93" s="535">
        <f>D93-$K19</f>
        <v>100</v>
      </c>
      <c r="F93" s="535">
        <f>E93-$K19</f>
        <v>100</v>
      </c>
      <c r="G93" s="535">
        <f>F93-$K19</f>
        <v>100</v>
      </c>
      <c r="H93" s="535"/>
      <c r="I93" s="535"/>
      <c r="J93" s="535"/>
      <c r="K93" s="535"/>
      <c r="L93" s="535"/>
      <c r="M93" s="536"/>
      <c r="N93" s="1141"/>
      <c r="O93" s="1141"/>
      <c r="P93" s="45"/>
      <c r="Q93" s="495"/>
    </row>
    <row r="94" spans="1:17" ht="15.75" thickTop="1">
      <c r="A94" s="525"/>
      <c r="B94" s="529" t="s">
        <v>2592</v>
      </c>
      <c r="C94" s="569" t="s">
        <v>2587</v>
      </c>
      <c r="D94" s="569" t="s">
        <v>2588</v>
      </c>
      <c r="E94" s="569" t="s">
        <v>2589</v>
      </c>
      <c r="F94" s="569" t="s">
        <v>2590</v>
      </c>
      <c r="G94" s="569" t="s">
        <v>2591</v>
      </c>
      <c r="H94" s="530"/>
      <c r="I94" s="530"/>
      <c r="J94" s="530"/>
      <c r="K94" s="531"/>
      <c r="L94" s="532"/>
      <c r="M94" s="533"/>
      <c r="N94" s="1140"/>
      <c r="O94" s="1140"/>
      <c r="P94" s="45"/>
      <c r="Q94" s="495"/>
    </row>
    <row r="95" spans="1:17" ht="15.75" thickBot="1">
      <c r="A95" s="525"/>
      <c r="B95" s="534"/>
      <c r="C95" s="535">
        <v>100</v>
      </c>
      <c r="D95" s="535">
        <f>C95-$K21</f>
        <v>98</v>
      </c>
      <c r="E95" s="535">
        <f>D95-$K21</f>
        <v>96</v>
      </c>
      <c r="F95" s="535">
        <f>E95-$K21</f>
        <v>94</v>
      </c>
      <c r="G95" s="535">
        <f>F95-$K21</f>
        <v>92</v>
      </c>
      <c r="H95" s="535"/>
      <c r="I95" s="535"/>
      <c r="J95" s="535"/>
      <c r="K95" s="535"/>
      <c r="L95" s="535"/>
      <c r="M95" s="536"/>
      <c r="N95" s="1141"/>
      <c r="O95" s="1141"/>
      <c r="P95" s="45"/>
      <c r="Q95" s="495"/>
    </row>
    <row r="96" spans="1:17" s="110" customFormat="1" ht="15.75" thickTop="1">
      <c r="A96" s="570"/>
      <c r="B96" s="529" t="s">
        <v>2773</v>
      </c>
      <c r="C96" s="569" t="s">
        <v>2587</v>
      </c>
      <c r="D96" s="569" t="s">
        <v>2588</v>
      </c>
      <c r="E96" s="569" t="s">
        <v>2589</v>
      </c>
      <c r="F96" s="569" t="s">
        <v>2590</v>
      </c>
      <c r="G96" s="569" t="s">
        <v>2591</v>
      </c>
      <c r="H96" s="569"/>
      <c r="I96" s="569"/>
      <c r="J96" s="569"/>
      <c r="K96" s="569"/>
      <c r="L96" s="689"/>
      <c r="M96" s="613"/>
      <c r="N96" s="1139"/>
      <c r="O96" s="1139"/>
      <c r="P96" s="45"/>
      <c r="Q96" s="495"/>
    </row>
    <row r="97" spans="1:17" s="110" customFormat="1" ht="15.75" thickBot="1">
      <c r="A97" s="570"/>
      <c r="B97" s="534"/>
      <c r="C97" s="573">
        <v>100</v>
      </c>
      <c r="D97" s="535">
        <f>C97-$K23</f>
        <v>97</v>
      </c>
      <c r="E97" s="535">
        <f>D97-$K23</f>
        <v>94</v>
      </c>
      <c r="F97" s="535">
        <f>E97-$K23</f>
        <v>91</v>
      </c>
      <c r="G97" s="535">
        <f>F97-$K23</f>
        <v>88</v>
      </c>
      <c r="H97" s="535"/>
      <c r="I97" s="535"/>
      <c r="J97" s="535"/>
      <c r="K97" s="535"/>
      <c r="L97" s="535"/>
      <c r="M97" s="536"/>
      <c r="N97" s="1141"/>
      <c r="O97" s="1141"/>
      <c r="P97" s="45"/>
      <c r="Q97" s="495"/>
    </row>
    <row r="98" spans="1:17" s="110" customFormat="1" ht="27.75" thickTop="1">
      <c r="A98" s="570"/>
      <c r="B98" s="529" t="s">
        <v>2774</v>
      </c>
      <c r="C98" s="564" t="s">
        <v>2587</v>
      </c>
      <c r="D98" s="564" t="s">
        <v>2588</v>
      </c>
      <c r="E98" s="564" t="s">
        <v>2589</v>
      </c>
      <c r="F98" s="564" t="s">
        <v>2590</v>
      </c>
      <c r="G98" s="564" t="s">
        <v>2591</v>
      </c>
      <c r="H98" s="569"/>
      <c r="I98" s="569"/>
      <c r="J98" s="569"/>
      <c r="K98" s="569"/>
      <c r="L98" s="569"/>
      <c r="M98" s="613"/>
      <c r="N98" s="1139"/>
      <c r="O98" s="1139"/>
      <c r="P98" s="45"/>
      <c r="Q98" s="495"/>
    </row>
    <row r="99" spans="1:17" s="110" customFormat="1" ht="15.75" thickBot="1">
      <c r="A99" s="570"/>
      <c r="B99" s="534"/>
      <c r="C99" s="535">
        <v>100</v>
      </c>
      <c r="D99" s="535">
        <f>C99-$K25</f>
        <v>98</v>
      </c>
      <c r="E99" s="535">
        <f>D99-$K25</f>
        <v>96</v>
      </c>
      <c r="F99" s="535">
        <f>E99-$K25</f>
        <v>94</v>
      </c>
      <c r="G99" s="535">
        <f>F99-$K25</f>
        <v>92</v>
      </c>
      <c r="H99" s="535"/>
      <c r="I99" s="535"/>
      <c r="J99" s="535"/>
      <c r="K99" s="535"/>
      <c r="L99" s="535"/>
      <c r="M99" s="536"/>
      <c r="N99" s="1141"/>
      <c r="O99" s="1141"/>
      <c r="P99" s="45"/>
      <c r="Q99" s="495"/>
    </row>
    <row r="100" spans="1:17" s="462" customFormat="1" ht="15.75" thickTop="1">
      <c r="A100" s="544"/>
      <c r="B100" s="529" t="s">
        <v>2644</v>
      </c>
      <c r="C100" s="564" t="s">
        <v>2587</v>
      </c>
      <c r="D100" s="564" t="s">
        <v>2588</v>
      </c>
      <c r="E100" s="564" t="s">
        <v>2589</v>
      </c>
      <c r="F100" s="564" t="s">
        <v>2590</v>
      </c>
      <c r="G100" s="564" t="s">
        <v>2591</v>
      </c>
      <c r="H100" s="591"/>
      <c r="I100" s="591"/>
      <c r="J100" s="591"/>
      <c r="K100" s="591"/>
      <c r="L100" s="592"/>
      <c r="M100" s="593"/>
      <c r="N100" s="1142"/>
      <c r="O100" s="1142"/>
      <c r="P100" s="549"/>
      <c r="Q100" s="550"/>
    </row>
    <row r="101" spans="1:17" s="462" customFormat="1" ht="15.75" thickBot="1">
      <c r="A101" s="544"/>
      <c r="B101" s="534"/>
      <c r="C101" s="535">
        <v>100</v>
      </c>
      <c r="D101" s="535">
        <f>C101-$K27</f>
        <v>98</v>
      </c>
      <c r="E101" s="535">
        <f>D101-$K27</f>
        <v>96</v>
      </c>
      <c r="F101" s="535">
        <f>E101-$K27</f>
        <v>94</v>
      </c>
      <c r="G101" s="535">
        <f>F101-$K27</f>
        <v>92</v>
      </c>
      <c r="H101" s="598"/>
      <c r="I101" s="598"/>
      <c r="J101" s="598"/>
      <c r="K101" s="598"/>
      <c r="L101" s="598"/>
      <c r="M101" s="599"/>
      <c r="N101" s="1142"/>
      <c r="O101" s="1142"/>
      <c r="P101" s="549"/>
      <c r="Q101" s="550"/>
    </row>
    <row r="102" spans="1:17" s="462" customFormat="1" ht="15.75" thickTop="1">
      <c r="A102" s="544"/>
      <c r="B102" s="537" t="s">
        <v>2645</v>
      </c>
      <c r="C102" s="651" t="s">
        <v>2665</v>
      </c>
      <c r="D102" s="651" t="s">
        <v>2666</v>
      </c>
      <c r="E102" s="651" t="s">
        <v>2667</v>
      </c>
      <c r="F102" s="651" t="s">
        <v>2668</v>
      </c>
      <c r="G102" s="651" t="s">
        <v>2669</v>
      </c>
      <c r="H102" s="591"/>
      <c r="I102" s="591"/>
      <c r="J102" s="591"/>
      <c r="K102" s="591"/>
      <c r="L102" s="591"/>
      <c r="M102" s="1373"/>
      <c r="N102" s="1142"/>
      <c r="O102" s="1142"/>
      <c r="P102" s="549"/>
      <c r="Q102" s="550"/>
    </row>
    <row r="103" spans="1:17" s="462" customFormat="1" ht="15.75" thickBot="1">
      <c r="A103" s="544"/>
      <c r="B103" s="537"/>
      <c r="C103" s="535">
        <v>100</v>
      </c>
      <c r="D103" s="535">
        <f>C103-$K29</f>
        <v>98</v>
      </c>
      <c r="E103" s="535">
        <f>D103-$K29</f>
        <v>96</v>
      </c>
      <c r="F103" s="535">
        <f>E103-$K29</f>
        <v>94</v>
      </c>
      <c r="G103" s="535">
        <f>F103-$K29</f>
        <v>92</v>
      </c>
      <c r="H103" s="539"/>
      <c r="I103" s="539"/>
      <c r="J103" s="539"/>
      <c r="K103" s="539"/>
      <c r="L103" s="539"/>
      <c r="M103" s="1373"/>
      <c r="N103" s="1142"/>
      <c r="O103" s="1142"/>
      <c r="P103" s="549"/>
      <c r="Q103" s="550"/>
    </row>
    <row r="104" spans="1:17" ht="15.75" thickTop="1">
      <c r="A104" s="525"/>
      <c r="B104" s="529" t="str">
        <f>B31</f>
        <v>临街状况</v>
      </c>
      <c r="C104" s="530" t="s">
        <v>2775</v>
      </c>
      <c r="D104" s="530" t="s">
        <v>2776</v>
      </c>
      <c r="E104" s="530" t="s">
        <v>2777</v>
      </c>
      <c r="F104" s="530" t="s">
        <v>2778</v>
      </c>
      <c r="G104" s="530"/>
      <c r="H104" s="530"/>
      <c r="I104" s="530"/>
      <c r="J104" s="530"/>
      <c r="K104" s="531"/>
      <c r="L104" s="532"/>
      <c r="M104" s="533"/>
      <c r="N104" s="1140"/>
      <c r="O104" s="1140"/>
      <c r="P104" s="45"/>
      <c r="Q104" s="495"/>
    </row>
    <row r="105" spans="1:17" ht="15.75" thickBot="1">
      <c r="A105" s="525"/>
      <c r="B105" s="534"/>
      <c r="C105" s="535">
        <v>100</v>
      </c>
      <c r="D105" s="535">
        <f>C105-$K31</f>
        <v>98</v>
      </c>
      <c r="E105" s="535">
        <f t="shared" ref="E105:M105" si="23">D105-$K31</f>
        <v>96</v>
      </c>
      <c r="F105" s="535">
        <f t="shared" si="23"/>
        <v>94</v>
      </c>
      <c r="G105" s="535">
        <f t="shared" si="23"/>
        <v>92</v>
      </c>
      <c r="H105" s="535">
        <f t="shared" si="23"/>
        <v>90</v>
      </c>
      <c r="I105" s="535">
        <f t="shared" si="23"/>
        <v>88</v>
      </c>
      <c r="J105" s="535">
        <f t="shared" si="23"/>
        <v>86</v>
      </c>
      <c r="K105" s="535">
        <f t="shared" si="23"/>
        <v>84</v>
      </c>
      <c r="L105" s="535">
        <f t="shared" si="23"/>
        <v>82</v>
      </c>
      <c r="M105" s="535">
        <f t="shared" si="23"/>
        <v>80</v>
      </c>
      <c r="N105" s="1141"/>
      <c r="O105" s="1141"/>
      <c r="P105" s="45"/>
      <c r="Q105" s="495"/>
    </row>
    <row r="106" spans="1:17" ht="27.75" thickTop="1">
      <c r="A106" s="525"/>
      <c r="B106" s="529" t="s">
        <v>2681</v>
      </c>
      <c r="C106" s="2932" t="s">
        <v>3042</v>
      </c>
      <c r="D106" s="2932" t="s">
        <v>3043</v>
      </c>
      <c r="E106" s="2932" t="s">
        <v>3044</v>
      </c>
      <c r="F106" s="2932" t="s">
        <v>3045</v>
      </c>
      <c r="G106" s="2932" t="s">
        <v>3046</v>
      </c>
      <c r="H106" s="574"/>
      <c r="I106" s="574"/>
      <c r="J106" s="574"/>
      <c r="K106" s="575"/>
      <c r="L106" s="576"/>
      <c r="M106" s="577"/>
      <c r="N106" s="1140"/>
      <c r="O106" s="1140"/>
      <c r="P106" s="45"/>
      <c r="Q106" s="495"/>
    </row>
    <row r="107" spans="1:17" ht="15.75" thickBot="1">
      <c r="A107" s="525"/>
      <c r="B107" s="534"/>
      <c r="C107" s="535">
        <v>100</v>
      </c>
      <c r="D107" s="535">
        <f>C107-$K32</f>
        <v>98</v>
      </c>
      <c r="E107" s="535">
        <f t="shared" ref="E107:M107" si="24">D107-$K32</f>
        <v>96</v>
      </c>
      <c r="F107" s="535">
        <f t="shared" si="24"/>
        <v>94</v>
      </c>
      <c r="G107" s="535">
        <f t="shared" si="24"/>
        <v>92</v>
      </c>
      <c r="H107" s="535">
        <f t="shared" si="24"/>
        <v>90</v>
      </c>
      <c r="I107" s="535">
        <f t="shared" si="24"/>
        <v>88</v>
      </c>
      <c r="J107" s="535">
        <f t="shared" si="24"/>
        <v>86</v>
      </c>
      <c r="K107" s="535">
        <f t="shared" si="24"/>
        <v>84</v>
      </c>
      <c r="L107" s="535">
        <f t="shared" si="24"/>
        <v>82</v>
      </c>
      <c r="M107" s="535">
        <f t="shared" si="24"/>
        <v>80</v>
      </c>
      <c r="N107" s="1141"/>
      <c r="O107" s="1141"/>
      <c r="P107" s="45"/>
      <c r="Q107" s="495"/>
    </row>
    <row r="108" spans="1:17" ht="15.75" thickTop="1">
      <c r="A108" s="525"/>
      <c r="B108" s="529" t="s">
        <v>2739</v>
      </c>
      <c r="C108" s="2933" t="s">
        <v>3047</v>
      </c>
      <c r="D108" s="2933" t="s">
        <v>3048</v>
      </c>
      <c r="E108" s="2933" t="s">
        <v>3049</v>
      </c>
      <c r="F108" s="2933" t="s">
        <v>3050</v>
      </c>
      <c r="G108" s="2933" t="s">
        <v>3051</v>
      </c>
      <c r="H108" s="2933" t="s">
        <v>3052</v>
      </c>
      <c r="I108" s="2933" t="s">
        <v>3053</v>
      </c>
      <c r="J108" s="2933" t="s">
        <v>3054</v>
      </c>
      <c r="K108" s="2933" t="s">
        <v>3055</v>
      </c>
      <c r="L108" s="2933" t="s">
        <v>3056</v>
      </c>
      <c r="M108" s="2933" t="s">
        <v>3057</v>
      </c>
      <c r="N108" s="1140"/>
      <c r="O108" s="1140"/>
      <c r="P108" s="45"/>
      <c r="Q108" s="495"/>
    </row>
    <row r="109" spans="1:17" ht="15.75" thickBot="1">
      <c r="A109" s="525"/>
      <c r="B109" s="534"/>
      <c r="C109" s="535">
        <v>100</v>
      </c>
      <c r="D109" s="535">
        <f>C109-$K34</f>
        <v>100</v>
      </c>
      <c r="E109" s="535">
        <f t="shared" ref="E109:M109" si="25">D109-$K34</f>
        <v>100</v>
      </c>
      <c r="F109" s="535">
        <f t="shared" si="25"/>
        <v>100</v>
      </c>
      <c r="G109" s="535">
        <f t="shared" si="25"/>
        <v>100</v>
      </c>
      <c r="H109" s="535">
        <f t="shared" si="25"/>
        <v>100</v>
      </c>
      <c r="I109" s="535">
        <f t="shared" si="25"/>
        <v>100</v>
      </c>
      <c r="J109" s="535">
        <f t="shared" si="25"/>
        <v>100</v>
      </c>
      <c r="K109" s="535">
        <f t="shared" si="25"/>
        <v>100</v>
      </c>
      <c r="L109" s="535">
        <f t="shared" si="25"/>
        <v>100</v>
      </c>
      <c r="M109" s="535">
        <f t="shared" si="25"/>
        <v>100</v>
      </c>
      <c r="N109" s="1141"/>
      <c r="O109" s="1141"/>
      <c r="P109" s="45"/>
      <c r="Q109" s="495"/>
    </row>
    <row r="110" spans="1:17" ht="15.75" thickTop="1">
      <c r="A110" s="525"/>
      <c r="B110" s="537">
        <f>B35</f>
        <v>0</v>
      </c>
      <c r="C110" s="545"/>
      <c r="D110" s="545"/>
      <c r="E110" s="545"/>
      <c r="F110" s="545"/>
      <c r="G110" s="578"/>
      <c r="H110" s="578"/>
      <c r="I110" s="578"/>
      <c r="J110" s="578"/>
      <c r="K110" s="579"/>
      <c r="L110" s="580"/>
      <c r="M110" s="581"/>
      <c r="N110" s="1140"/>
      <c r="O110" s="1140"/>
      <c r="P110" s="45"/>
      <c r="Q110" s="495"/>
    </row>
    <row r="111" spans="1:17" ht="15.75" thickBot="1">
      <c r="A111" s="525"/>
      <c r="B111" s="560"/>
      <c r="C111" s="551"/>
      <c r="D111" s="551"/>
      <c r="E111" s="551"/>
      <c r="F111" s="551"/>
      <c r="G111" s="582"/>
      <c r="H111" s="582"/>
      <c r="I111" s="582"/>
      <c r="J111" s="582"/>
      <c r="K111" s="582"/>
      <c r="L111" s="582"/>
      <c r="M111" s="583"/>
      <c r="N111" s="1141"/>
      <c r="O111" s="1141"/>
      <c r="P111" s="45"/>
      <c r="Q111" s="495"/>
    </row>
    <row r="112" spans="1:17" ht="15" thickTop="1">
      <c r="A112" s="666"/>
      <c r="B112" s="529">
        <f>B36</f>
        <v>0</v>
      </c>
      <c r="C112" s="514"/>
      <c r="D112" s="514"/>
      <c r="E112" s="514"/>
      <c r="F112" s="514"/>
      <c r="G112" s="574"/>
      <c r="H112" s="574"/>
      <c r="I112" s="574"/>
      <c r="J112" s="574"/>
      <c r="K112" s="575"/>
      <c r="L112" s="576"/>
      <c r="M112" s="577"/>
      <c r="N112" s="1140"/>
      <c r="O112" s="1140"/>
      <c r="P112" s="45"/>
      <c r="Q112" s="495"/>
    </row>
    <row r="113" spans="1:17" ht="15.75" thickBot="1">
      <c r="A113" s="525"/>
      <c r="B113" s="534"/>
      <c r="C113" s="561"/>
      <c r="D113" s="561"/>
      <c r="E113" s="561"/>
      <c r="F113" s="561"/>
      <c r="G113" s="527"/>
      <c r="H113" s="527"/>
      <c r="I113" s="527"/>
      <c r="J113" s="527"/>
      <c r="K113" s="527"/>
      <c r="L113" s="527"/>
      <c r="M113" s="528"/>
      <c r="N113" s="1141"/>
      <c r="O113" s="1141"/>
      <c r="P113" s="45"/>
      <c r="Q113" s="495"/>
    </row>
    <row r="114" spans="1:17" s="462" customFormat="1" ht="15" thickTop="1">
      <c r="A114" s="584"/>
      <c r="B114" s="585">
        <f>B37</f>
        <v>0</v>
      </c>
      <c r="C114" s="586"/>
      <c r="D114" s="586"/>
      <c r="E114" s="586"/>
      <c r="F114" s="586"/>
      <c r="G114" s="586"/>
      <c r="H114" s="586"/>
      <c r="I114" s="586"/>
      <c r="J114" s="587"/>
      <c r="K114" s="587"/>
      <c r="L114" s="588"/>
      <c r="M114" s="589"/>
      <c r="N114" s="1142"/>
      <c r="O114" s="1142"/>
      <c r="P114" s="549"/>
      <c r="Q114" s="550"/>
    </row>
    <row r="115" spans="1:17" s="462" customFormat="1" ht="15.75" thickBot="1">
      <c r="A115" s="544"/>
      <c r="B115" s="537"/>
      <c r="C115" s="503"/>
      <c r="D115" s="668"/>
      <c r="E115" s="668"/>
      <c r="F115" s="668"/>
      <c r="G115" s="668"/>
      <c r="H115" s="668"/>
      <c r="I115" s="668"/>
      <c r="J115" s="668"/>
      <c r="K115" s="668"/>
      <c r="L115" s="668"/>
      <c r="M115" s="690"/>
      <c r="N115" s="1141"/>
      <c r="O115" s="1141"/>
      <c r="P115" s="549"/>
      <c r="Q115" s="550"/>
    </row>
    <row r="116" spans="1:17" ht="28.5">
      <c r="A116" s="518" t="s">
        <v>2553</v>
      </c>
      <c r="B116" s="519" t="s">
        <v>2779</v>
      </c>
      <c r="C116" s="520" t="str">
        <f>C117&amp;"(含)"&amp;"-"&amp;D117</f>
        <v>0(含)-50000</v>
      </c>
      <c r="D116" s="520" t="str">
        <f t="shared" ref="D116:M116" si="26">D117&amp;"(含)"&amp;"-"&amp;E117</f>
        <v>50000(含)-100000</v>
      </c>
      <c r="E116" s="520" t="str">
        <f t="shared" si="26"/>
        <v>100000(含)-200000</v>
      </c>
      <c r="F116" s="520" t="str">
        <f t="shared" si="26"/>
        <v>200000(含)-500000</v>
      </c>
      <c r="G116" s="520" t="str">
        <f t="shared" si="26"/>
        <v>500000(含)-</v>
      </c>
      <c r="H116" s="520" t="str">
        <f t="shared" si="26"/>
        <v>(含)-</v>
      </c>
      <c r="I116" s="520" t="str">
        <f t="shared" si="26"/>
        <v>(含)-</v>
      </c>
      <c r="J116" s="520" t="str">
        <f t="shared" si="26"/>
        <v>(含)-</v>
      </c>
      <c r="K116" s="520" t="str">
        <f t="shared" si="26"/>
        <v>(含)-</v>
      </c>
      <c r="L116" s="520" t="str">
        <f t="shared" si="26"/>
        <v>(含)-</v>
      </c>
      <c r="M116" s="520" t="str">
        <f t="shared" si="26"/>
        <v>(含)-</v>
      </c>
      <c r="N116" s="1140"/>
      <c r="O116" s="1140"/>
      <c r="P116" s="45"/>
      <c r="Q116" s="495"/>
    </row>
    <row r="117" spans="1:17" ht="15">
      <c r="A117" s="525"/>
      <c r="B117" s="537"/>
      <c r="C117" s="2985">
        <v>0</v>
      </c>
      <c r="D117" s="2985">
        <v>50000</v>
      </c>
      <c r="E117" s="586">
        <v>100000</v>
      </c>
      <c r="F117" s="586">
        <v>200000</v>
      </c>
      <c r="G117" s="586">
        <v>500000</v>
      </c>
      <c r="H117" s="586"/>
      <c r="I117" s="586"/>
      <c r="J117" s="586"/>
      <c r="K117" s="587"/>
      <c r="L117" s="588"/>
      <c r="M117" s="589"/>
      <c r="N117" s="1140"/>
      <c r="O117" s="1140"/>
      <c r="P117" s="45"/>
      <c r="Q117" s="495"/>
    </row>
    <row r="118" spans="1:17" ht="15.75" thickBot="1">
      <c r="A118" s="525"/>
      <c r="B118" s="534"/>
      <c r="C118" s="2986">
        <v>100</v>
      </c>
      <c r="D118" s="2987">
        <v>101</v>
      </c>
      <c r="E118" s="2986">
        <v>102</v>
      </c>
      <c r="F118" s="2987">
        <v>103</v>
      </c>
      <c r="G118" s="2986">
        <v>104</v>
      </c>
      <c r="H118" s="582"/>
      <c r="I118" s="582"/>
      <c r="J118" s="582"/>
      <c r="K118" s="582">
        <v>108</v>
      </c>
      <c r="L118" s="582">
        <v>109</v>
      </c>
      <c r="M118" s="583"/>
      <c r="N118" s="1141"/>
      <c r="O118" s="1141"/>
      <c r="P118" s="45"/>
      <c r="Q118" s="495"/>
    </row>
    <row r="119" spans="1:17" ht="15" thickTop="1">
      <c r="A119" s="590"/>
      <c r="B119" s="529" t="s">
        <v>2780</v>
      </c>
      <c r="C119" s="2933" t="s">
        <v>3058</v>
      </c>
      <c r="D119" s="2933" t="s">
        <v>3059</v>
      </c>
      <c r="E119" s="2933" t="s">
        <v>3060</v>
      </c>
      <c r="F119" s="2933" t="s">
        <v>3061</v>
      </c>
      <c r="G119" s="2933"/>
      <c r="H119" s="2933"/>
      <c r="I119" s="2933"/>
      <c r="J119" s="2933"/>
      <c r="K119" s="2934"/>
      <c r="L119" s="2935"/>
      <c r="M119" s="577"/>
      <c r="N119" s="1140"/>
      <c r="O119" s="1140"/>
      <c r="P119" s="45"/>
      <c r="Q119" s="495"/>
    </row>
    <row r="120" spans="1:17" ht="15.75" thickBot="1">
      <c r="A120" s="525"/>
      <c r="B120" s="534"/>
      <c r="C120" s="535">
        <v>100</v>
      </c>
      <c r="D120" s="535">
        <f t="shared" ref="D120:M120" si="27">C120-$K39</f>
        <v>98</v>
      </c>
      <c r="E120" s="535">
        <f t="shared" si="27"/>
        <v>96</v>
      </c>
      <c r="F120" s="535">
        <f t="shared" si="27"/>
        <v>94</v>
      </c>
      <c r="G120" s="535">
        <f t="shared" si="27"/>
        <v>92</v>
      </c>
      <c r="H120" s="535">
        <f t="shared" si="27"/>
        <v>90</v>
      </c>
      <c r="I120" s="535">
        <f t="shared" si="27"/>
        <v>88</v>
      </c>
      <c r="J120" s="535">
        <f t="shared" si="27"/>
        <v>86</v>
      </c>
      <c r="K120" s="535">
        <f t="shared" si="27"/>
        <v>84</v>
      </c>
      <c r="L120" s="535">
        <f t="shared" si="27"/>
        <v>82</v>
      </c>
      <c r="M120" s="536">
        <f t="shared" si="27"/>
        <v>80</v>
      </c>
      <c r="N120" s="1141"/>
      <c r="O120" s="1141"/>
      <c r="P120" s="45"/>
      <c r="Q120" s="495"/>
    </row>
    <row r="121" spans="1:17" ht="15" thickTop="1">
      <c r="A121" s="590"/>
      <c r="B121" s="529" t="s">
        <v>2781</v>
      </c>
      <c r="C121" s="2932" t="s">
        <v>3062</v>
      </c>
      <c r="D121" s="2932" t="s">
        <v>3063</v>
      </c>
      <c r="E121" s="2932" t="s">
        <v>3064</v>
      </c>
      <c r="F121" s="574"/>
      <c r="G121" s="574"/>
      <c r="H121" s="574"/>
      <c r="I121" s="574"/>
      <c r="J121" s="574"/>
      <c r="K121" s="575"/>
      <c r="L121" s="576"/>
      <c r="M121" s="577"/>
      <c r="N121" s="1140"/>
      <c r="O121" s="1140"/>
      <c r="P121" s="45"/>
      <c r="Q121" s="495"/>
    </row>
    <row r="122" spans="1:17" ht="15.75" thickBot="1">
      <c r="A122" s="525"/>
      <c r="B122" s="534"/>
      <c r="C122" s="535">
        <v>100</v>
      </c>
      <c r="D122" s="535">
        <f t="shared" ref="D122:M122" si="28">C122-$K40</f>
        <v>100</v>
      </c>
      <c r="E122" s="535">
        <f t="shared" si="28"/>
        <v>100</v>
      </c>
      <c r="F122" s="535">
        <f t="shared" si="28"/>
        <v>100</v>
      </c>
      <c r="G122" s="535">
        <f t="shared" si="28"/>
        <v>100</v>
      </c>
      <c r="H122" s="535">
        <f t="shared" si="28"/>
        <v>100</v>
      </c>
      <c r="I122" s="535">
        <f t="shared" si="28"/>
        <v>100</v>
      </c>
      <c r="J122" s="535">
        <f t="shared" si="28"/>
        <v>100</v>
      </c>
      <c r="K122" s="535">
        <f t="shared" si="28"/>
        <v>100</v>
      </c>
      <c r="L122" s="535">
        <f t="shared" si="28"/>
        <v>100</v>
      </c>
      <c r="M122" s="536">
        <f t="shared" si="28"/>
        <v>100</v>
      </c>
      <c r="N122" s="1141"/>
      <c r="O122" s="1141"/>
      <c r="P122" s="45"/>
      <c r="Q122" s="495"/>
    </row>
    <row r="123" spans="1:17" s="462" customFormat="1" ht="15" thickTop="1">
      <c r="A123" s="584"/>
      <c r="B123" s="529" t="s">
        <v>2782</v>
      </c>
      <c r="C123" s="2932" t="s">
        <v>3065</v>
      </c>
      <c r="D123" s="2932" t="s">
        <v>3066</v>
      </c>
      <c r="E123" s="2932" t="s">
        <v>3067</v>
      </c>
      <c r="F123" s="2932" t="s">
        <v>3068</v>
      </c>
      <c r="G123" s="2932" t="s">
        <v>3069</v>
      </c>
      <c r="H123" s="574"/>
      <c r="I123" s="574"/>
      <c r="J123" s="574"/>
      <c r="K123" s="575"/>
      <c r="L123" s="576"/>
      <c r="M123" s="577"/>
      <c r="N123" s="1142"/>
      <c r="O123" s="1142"/>
      <c r="P123" s="549"/>
      <c r="Q123" s="550"/>
    </row>
    <row r="124" spans="1:17" s="462" customFormat="1" ht="15.75" thickBot="1">
      <c r="A124" s="544"/>
      <c r="B124" s="534"/>
      <c r="C124" s="535">
        <v>100</v>
      </c>
      <c r="D124" s="535">
        <f>C124-$K41</f>
        <v>99</v>
      </c>
      <c r="E124" s="535">
        <f t="shared" ref="E124:M124" si="29">D124-$K41</f>
        <v>98</v>
      </c>
      <c r="F124" s="535">
        <f t="shared" si="29"/>
        <v>97</v>
      </c>
      <c r="G124" s="535">
        <f t="shared" si="29"/>
        <v>96</v>
      </c>
      <c r="H124" s="535">
        <f t="shared" si="29"/>
        <v>95</v>
      </c>
      <c r="I124" s="535">
        <f t="shared" si="29"/>
        <v>94</v>
      </c>
      <c r="J124" s="535">
        <f t="shared" si="29"/>
        <v>93</v>
      </c>
      <c r="K124" s="535">
        <f t="shared" si="29"/>
        <v>92</v>
      </c>
      <c r="L124" s="535">
        <f t="shared" si="29"/>
        <v>91</v>
      </c>
      <c r="M124" s="536">
        <f t="shared" si="29"/>
        <v>90</v>
      </c>
      <c r="N124" s="1142"/>
      <c r="O124" s="1142"/>
      <c r="P124" s="549"/>
      <c r="Q124" s="550"/>
    </row>
    <row r="125" spans="1:17" ht="15" thickTop="1">
      <c r="A125" s="590"/>
      <c r="B125" s="529" t="s">
        <v>2783</v>
      </c>
      <c r="C125" s="2932" t="s">
        <v>3070</v>
      </c>
      <c r="D125" s="2932" t="s">
        <v>3071</v>
      </c>
      <c r="E125" s="2933" t="s">
        <v>3072</v>
      </c>
      <c r="F125" s="2933" t="s">
        <v>3073</v>
      </c>
      <c r="G125" s="2933" t="s">
        <v>3074</v>
      </c>
      <c r="H125" s="574"/>
      <c r="I125" s="574"/>
      <c r="J125" s="574"/>
      <c r="K125" s="575"/>
      <c r="L125" s="576"/>
      <c r="M125" s="577"/>
      <c r="N125" s="1140"/>
      <c r="O125" s="1140"/>
      <c r="P125" s="45"/>
      <c r="Q125" s="495"/>
    </row>
    <row r="126" spans="1:17" ht="15.75" thickBot="1">
      <c r="A126" s="525"/>
      <c r="B126" s="534"/>
      <c r="C126" s="535">
        <v>100</v>
      </c>
      <c r="D126" s="535">
        <f t="shared" ref="D126:M126" si="30">C126-$K42</f>
        <v>99</v>
      </c>
      <c r="E126" s="535">
        <f t="shared" si="30"/>
        <v>98</v>
      </c>
      <c r="F126" s="535">
        <f t="shared" si="30"/>
        <v>97</v>
      </c>
      <c r="G126" s="535">
        <f t="shared" si="30"/>
        <v>96</v>
      </c>
      <c r="H126" s="535">
        <f t="shared" si="30"/>
        <v>95</v>
      </c>
      <c r="I126" s="535">
        <f t="shared" si="30"/>
        <v>94</v>
      </c>
      <c r="J126" s="535">
        <f t="shared" si="30"/>
        <v>93</v>
      </c>
      <c r="K126" s="535">
        <f t="shared" si="30"/>
        <v>92</v>
      </c>
      <c r="L126" s="535">
        <f t="shared" si="30"/>
        <v>91</v>
      </c>
      <c r="M126" s="536">
        <f t="shared" si="30"/>
        <v>90</v>
      </c>
      <c r="N126" s="1141"/>
      <c r="O126" s="1141"/>
      <c r="P126" s="45"/>
      <c r="Q126" s="495"/>
    </row>
    <row r="127" spans="1:17" ht="15" thickTop="1">
      <c r="A127" s="590"/>
      <c r="B127" s="529">
        <f>B43</f>
        <v>0</v>
      </c>
      <c r="C127" s="2944" t="s">
        <v>3147</v>
      </c>
      <c r="D127" s="2944" t="s">
        <v>3148</v>
      </c>
      <c r="E127" s="545"/>
      <c r="F127" s="545"/>
      <c r="G127" s="545"/>
      <c r="H127" s="574"/>
      <c r="I127" s="574"/>
      <c r="J127" s="574"/>
      <c r="K127" s="575"/>
      <c r="L127" s="576"/>
      <c r="M127" s="577"/>
      <c r="N127" s="1140"/>
      <c r="O127" s="1140"/>
      <c r="P127" s="45"/>
      <c r="Q127" s="495"/>
    </row>
    <row r="128" spans="1:17" ht="15.75" thickBot="1">
      <c r="A128" s="525"/>
      <c r="B128" s="534"/>
      <c r="C128" s="551">
        <v>100</v>
      </c>
      <c r="D128" s="551">
        <v>105</v>
      </c>
      <c r="E128" s="551"/>
      <c r="F128" s="551"/>
      <c r="G128" s="527"/>
      <c r="H128" s="527"/>
      <c r="I128" s="527"/>
      <c r="J128" s="527"/>
      <c r="K128" s="527"/>
      <c r="L128" s="527"/>
      <c r="M128" s="528"/>
      <c r="N128" s="1141"/>
      <c r="O128" s="1141"/>
      <c r="P128" s="45"/>
      <c r="Q128" s="495"/>
    </row>
    <row r="129" spans="1:17" ht="15" thickTop="1">
      <c r="A129" s="590"/>
      <c r="B129" s="529">
        <f>B44</f>
        <v>0</v>
      </c>
      <c r="C129" s="514"/>
      <c r="D129" s="514"/>
      <c r="E129" s="514"/>
      <c r="F129" s="514"/>
      <c r="G129" s="574"/>
      <c r="H129" s="574"/>
      <c r="I129" s="574"/>
      <c r="J129" s="574"/>
      <c r="K129" s="575"/>
      <c r="L129" s="576"/>
      <c r="M129" s="577"/>
      <c r="N129" s="1140"/>
      <c r="O129" s="1140"/>
      <c r="P129" s="45"/>
      <c r="Q129" s="495"/>
    </row>
    <row r="130" spans="1:17" ht="15.75" thickBot="1">
      <c r="A130" s="525"/>
      <c r="B130" s="534"/>
      <c r="C130" s="561"/>
      <c r="D130" s="561"/>
      <c r="E130" s="561"/>
      <c r="F130" s="561"/>
      <c r="G130" s="527"/>
      <c r="H130" s="527"/>
      <c r="I130" s="527"/>
      <c r="J130" s="527"/>
      <c r="K130" s="527"/>
      <c r="L130" s="527"/>
      <c r="M130" s="528"/>
      <c r="N130" s="1141"/>
      <c r="O130" s="1141"/>
      <c r="P130" s="45"/>
      <c r="Q130" s="495"/>
    </row>
    <row r="131" spans="1:17" s="462" customFormat="1" ht="15" thickTop="1">
      <c r="A131" s="584"/>
      <c r="B131" s="529">
        <f>B45</f>
        <v>0</v>
      </c>
      <c r="C131" s="514"/>
      <c r="D131" s="514"/>
      <c r="E131" s="514"/>
      <c r="F131" s="514"/>
      <c r="G131" s="546"/>
      <c r="H131" s="546"/>
      <c r="I131" s="546"/>
      <c r="J131" s="546"/>
      <c r="K131" s="546"/>
      <c r="L131" s="547"/>
      <c r="M131" s="548"/>
      <c r="N131" s="1142"/>
      <c r="O131" s="1142"/>
      <c r="P131" s="549"/>
      <c r="Q131" s="550"/>
    </row>
    <row r="132" spans="1:17" s="462" customFormat="1" ht="15.75" thickBot="1">
      <c r="A132" s="559"/>
      <c r="B132" s="691"/>
      <c r="C132" s="561"/>
      <c r="D132" s="561"/>
      <c r="E132" s="561"/>
      <c r="F132" s="561"/>
      <c r="G132" s="582"/>
      <c r="H132" s="582"/>
      <c r="I132" s="582"/>
      <c r="J132" s="582"/>
      <c r="K132" s="582"/>
      <c r="L132" s="582"/>
      <c r="M132" s="583"/>
      <c r="N132" s="1142"/>
      <c r="O132" s="1142"/>
      <c r="P132" s="549"/>
      <c r="Q132" s="550"/>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J39" sqref="J39"/>
    </sheetView>
  </sheetViews>
  <sheetFormatPr defaultColWidth="6.625" defaultRowHeight="12.75"/>
  <cols>
    <col min="1" max="1" width="9.75" style="789" customWidth="1"/>
    <col min="2" max="2" width="25.75" style="941" customWidth="1"/>
    <col min="3" max="3" width="10.375" style="984" customWidth="1"/>
    <col min="4" max="4" width="9.875" style="941" customWidth="1"/>
    <col min="5" max="5" width="9.5" style="789" customWidth="1"/>
    <col min="6" max="6" width="10.125" style="941" customWidth="1"/>
    <col min="7" max="7" width="10.75" style="941" customWidth="1"/>
    <col min="8" max="8" width="10" style="941" customWidth="1"/>
    <col min="9" max="11" width="9.5" style="941" customWidth="1"/>
    <col min="12" max="12" width="9" style="941" customWidth="1"/>
    <col min="13" max="13" width="10.5" style="941" bestFit="1" customWidth="1"/>
    <col min="14" max="254" width="9" style="941" customWidth="1"/>
    <col min="255" max="16384" width="6.625" style="941"/>
  </cols>
  <sheetData>
    <row r="1" spans="1:33" ht="20.25">
      <c r="A1" s="231" t="s">
        <v>2452</v>
      </c>
      <c r="B1" s="1568"/>
      <c r="C1" s="1569"/>
      <c r="D1" s="1567"/>
      <c r="E1" s="311"/>
      <c r="F1" s="311"/>
      <c r="G1" s="1568"/>
      <c r="H1" s="311"/>
      <c r="I1" s="311"/>
      <c r="J1" s="311"/>
      <c r="K1" s="311">
        <f>MATCH(C1,'数据-取费表'!A6:A16,0)+5</f>
        <v>7</v>
      </c>
    </row>
    <row r="2" spans="1:33" ht="18" customHeight="1">
      <c r="A2" s="236" t="s">
        <v>2320</v>
      </c>
      <c r="B2" s="239">
        <f ca="1">C32</f>
        <v>20180</v>
      </c>
      <c r="C2" s="311" t="s">
        <v>2453</v>
      </c>
      <c r="D2" s="311"/>
      <c r="E2" s="311"/>
      <c r="F2" s="311"/>
      <c r="G2" s="311"/>
      <c r="H2" s="311"/>
      <c r="I2" s="311"/>
      <c r="J2" s="311"/>
      <c r="K2" s="311"/>
    </row>
    <row r="3" spans="1:33" ht="18" customHeight="1" thickBot="1">
      <c r="A3" s="238" t="s">
        <v>2322</v>
      </c>
      <c r="B3" s="239">
        <f ca="1">ROUND(B2*10000/IF(C1="",'数据-汇总表'!E3,INDIRECT("'数据-取费表'!K"&amp;$K$1)),0)</f>
        <v>9878</v>
      </c>
      <c r="C3" s="311" t="s">
        <v>2454</v>
      </c>
      <c r="D3" s="311"/>
      <c r="E3" s="311"/>
      <c r="F3" s="311"/>
      <c r="G3" s="311"/>
      <c r="H3" s="311"/>
      <c r="I3" s="311"/>
      <c r="J3" s="311"/>
      <c r="K3" s="311"/>
    </row>
    <row r="4" spans="1:33" s="945" customFormat="1" ht="16.5" customHeight="1">
      <c r="A4" s="942" t="s">
        <v>2455</v>
      </c>
      <c r="B4" s="943"/>
      <c r="C4" s="985">
        <f ca="1">SUM(C8:K8)</f>
        <v>22361</v>
      </c>
      <c r="D4" s="943"/>
      <c r="E4" s="943"/>
      <c r="F4" s="943"/>
      <c r="G4" s="943"/>
      <c r="H4" s="943"/>
      <c r="I4" s="943"/>
      <c r="J4" s="943"/>
      <c r="K4" s="944"/>
    </row>
    <row r="5" spans="1:33" s="949" customFormat="1" ht="15">
      <c r="A5" s="946" t="s">
        <v>2456</v>
      </c>
      <c r="B5" s="947" t="s">
        <v>2457</v>
      </c>
      <c r="C5" s="2544" t="s">
        <v>3788</v>
      </c>
      <c r="D5" s="2544"/>
      <c r="E5" s="2544"/>
      <c r="F5" s="2544"/>
      <c r="G5" s="2544"/>
      <c r="H5" s="2544"/>
      <c r="I5" s="2544"/>
      <c r="J5" s="2544"/>
      <c r="K5" s="2544"/>
      <c r="L5" s="948"/>
      <c r="M5" s="948"/>
      <c r="N5" s="948"/>
      <c r="O5" s="948"/>
      <c r="P5" s="948"/>
      <c r="Q5" s="948"/>
      <c r="R5" s="948"/>
      <c r="S5" s="948"/>
      <c r="T5" s="948"/>
      <c r="U5" s="948"/>
      <c r="V5" s="948"/>
      <c r="W5" s="948"/>
      <c r="X5" s="948"/>
      <c r="Y5" s="948"/>
      <c r="Z5" s="948"/>
      <c r="AA5" s="948"/>
      <c r="AB5" s="948"/>
      <c r="AC5" s="948"/>
      <c r="AD5" s="948"/>
      <c r="AE5" s="948"/>
      <c r="AF5" s="948"/>
      <c r="AG5" s="948"/>
    </row>
    <row r="6" spans="1:33" s="954" customFormat="1" ht="13.5" customHeight="1">
      <c r="A6" s="950" t="s">
        <v>802</v>
      </c>
      <c r="B6" s="131" t="s">
        <v>2458</v>
      </c>
      <c r="C6" s="951">
        <f ca="1">地上商业!B3</f>
        <v>10946</v>
      </c>
      <c r="D6" s="951"/>
      <c r="E6" s="951"/>
      <c r="F6" s="951"/>
      <c r="G6" s="951"/>
      <c r="H6" s="951"/>
      <c r="I6" s="951"/>
      <c r="J6" s="951"/>
      <c r="K6" s="952"/>
      <c r="L6" s="953"/>
      <c r="M6" s="953"/>
      <c r="N6" s="953"/>
      <c r="O6" s="953"/>
      <c r="P6" s="953"/>
      <c r="Q6" s="953"/>
      <c r="R6" s="953"/>
      <c r="S6" s="953"/>
      <c r="T6" s="953"/>
      <c r="U6" s="953"/>
      <c r="V6" s="953"/>
      <c r="W6" s="953"/>
      <c r="X6" s="953"/>
      <c r="Y6" s="953"/>
      <c r="Z6" s="953"/>
      <c r="AA6" s="953"/>
      <c r="AB6" s="953"/>
      <c r="AC6" s="953"/>
      <c r="AD6" s="953"/>
      <c r="AE6" s="953"/>
      <c r="AF6" s="953"/>
      <c r="AG6" s="953"/>
    </row>
    <row r="7" spans="1:33" s="954" customFormat="1" ht="13.5" customHeight="1">
      <c r="A7" s="950" t="s">
        <v>2459</v>
      </c>
      <c r="B7" s="131" t="s">
        <v>2460</v>
      </c>
      <c r="C7" s="312">
        <f>SUMIF('数据-汇总表'!$C19:$C33,假设开发法!C5,'数据-汇总表'!$E19:$E33)</f>
        <v>20428.607999999997</v>
      </c>
      <c r="D7" s="312">
        <f>SUMIF('数据-汇总表'!$C19:$C33,假设开发法!D5,'数据-汇总表'!$E19:$E33)</f>
        <v>0</v>
      </c>
      <c r="E7" s="312">
        <f>SUMIF('数据-汇总表'!$C19:$C33,假设开发法!E5,'数据-汇总表'!$E19:$E33)</f>
        <v>0</v>
      </c>
      <c r="F7" s="312">
        <f>SUMIF('数据-汇总表'!$C19:$C33,假设开发法!F5,'数据-汇总表'!$E19:$E33)</f>
        <v>0</v>
      </c>
      <c r="G7" s="312">
        <f>SUMIF('数据-汇总表'!$C19:$C33,假设开发法!G5,'数据-汇总表'!$E19:$E33)</f>
        <v>0</v>
      </c>
      <c r="H7" s="312">
        <f>SUMIF('数据-汇总表'!$C19:$C33,假设开发法!H5,'数据-汇总表'!$E19:$E33)</f>
        <v>0</v>
      </c>
      <c r="I7" s="312">
        <f>SUMIF('数据-汇总表'!$C19:$C33,假设开发法!I5,'数据-汇总表'!$E19:$E33)</f>
        <v>0</v>
      </c>
      <c r="J7" s="312">
        <f>SUMIF('数据-汇总表'!$C19:$C33,假设开发法!J5,'数据-汇总表'!$E19:$E33)</f>
        <v>0</v>
      </c>
      <c r="K7" s="313">
        <f>SUMIF('数据-汇总表'!$C19:$C33,假设开发法!K5,'数据-汇总表'!$E19:$E33)</f>
        <v>0</v>
      </c>
      <c r="L7" s="953"/>
      <c r="M7" s="953"/>
      <c r="N7" s="953"/>
      <c r="O7" s="953"/>
      <c r="P7" s="953"/>
      <c r="Q7" s="953"/>
      <c r="R7" s="953"/>
      <c r="S7" s="953"/>
      <c r="T7" s="953"/>
      <c r="U7" s="953"/>
      <c r="V7" s="953"/>
      <c r="W7" s="953"/>
      <c r="X7" s="953"/>
      <c r="Y7" s="953"/>
      <c r="Z7" s="953"/>
      <c r="AA7" s="953"/>
      <c r="AB7" s="953"/>
      <c r="AC7" s="953"/>
      <c r="AD7" s="953"/>
      <c r="AE7" s="953"/>
      <c r="AF7" s="953"/>
      <c r="AG7" s="953"/>
    </row>
    <row r="8" spans="1:33" s="954" customFormat="1" ht="13.5" customHeight="1" thickBot="1">
      <c r="A8" s="2545" t="s">
        <v>2461</v>
      </c>
      <c r="B8" s="168" t="s">
        <v>2462</v>
      </c>
      <c r="C8" s="986">
        <f ca="1">地上商业!B2</f>
        <v>22361</v>
      </c>
      <c r="D8" s="986"/>
      <c r="E8" s="986"/>
      <c r="F8" s="986"/>
      <c r="G8" s="986"/>
      <c r="H8" s="986"/>
      <c r="I8" s="986"/>
      <c r="J8" s="986"/>
      <c r="K8" s="987"/>
      <c r="L8" s="953"/>
      <c r="M8" s="953"/>
      <c r="N8" s="953"/>
      <c r="O8" s="953"/>
      <c r="P8" s="953"/>
      <c r="Q8" s="953"/>
      <c r="R8" s="953"/>
      <c r="S8" s="953"/>
      <c r="T8" s="953"/>
      <c r="U8" s="953"/>
      <c r="V8" s="953"/>
      <c r="W8" s="953"/>
      <c r="X8" s="953"/>
      <c r="Y8" s="953"/>
      <c r="Z8" s="953"/>
      <c r="AA8" s="953"/>
      <c r="AB8" s="953"/>
      <c r="AC8" s="953"/>
      <c r="AD8" s="953"/>
      <c r="AE8" s="953"/>
      <c r="AF8" s="953"/>
      <c r="AG8" s="953"/>
    </row>
    <row r="9" spans="1:33" s="945" customFormat="1" ht="16.5" customHeight="1">
      <c r="A9" s="942" t="s">
        <v>2463</v>
      </c>
      <c r="B9" s="943"/>
      <c r="C9" s="943"/>
      <c r="D9" s="943"/>
      <c r="E9" s="943"/>
      <c r="F9" s="943"/>
      <c r="G9" s="943"/>
      <c r="H9" s="943"/>
      <c r="I9" s="943"/>
      <c r="J9" s="943"/>
      <c r="K9" s="944"/>
    </row>
    <row r="10" spans="1:33" s="959" customFormat="1" ht="13.5" customHeight="1">
      <c r="A10" s="946" t="s">
        <v>2464</v>
      </c>
      <c r="B10" s="8" t="s">
        <v>2465</v>
      </c>
      <c r="C10" s="955" t="s">
        <v>2466</v>
      </c>
      <c r="D10" s="956" t="s">
        <v>2467</v>
      </c>
      <c r="E10" s="956" t="s">
        <v>2468</v>
      </c>
      <c r="F10" s="956" t="s">
        <v>2469</v>
      </c>
      <c r="G10" s="8"/>
      <c r="H10" s="957"/>
      <c r="I10" s="957"/>
      <c r="J10" s="957"/>
      <c r="K10" s="958"/>
    </row>
    <row r="11" spans="1:33" s="964" customFormat="1" ht="13.5" customHeight="1">
      <c r="A11" s="960" t="s">
        <v>1334</v>
      </c>
      <c r="B11" s="961" t="s">
        <v>2470</v>
      </c>
      <c r="C11" s="314">
        <f ca="1">IF(C1="",'数据-取费表'!P16,INDIRECT("'数据-取费表'!p"&amp;$K$1)+INDIRECT("'数据-取费表'!ar"&amp;$K$1))</f>
        <v>57</v>
      </c>
      <c r="D11" s="962"/>
      <c r="E11" s="366"/>
      <c r="F11" s="963">
        <f ca="1">1-IF('数据-取费表'!B24=0,1,IF(C1="",'数据-取费表'!N16,INDIRECT("'数据-取费表'!n"&amp;$K$1)))</f>
        <v>1.0000000000000009E-2</v>
      </c>
      <c r="G11" s="8"/>
      <c r="H11" s="957"/>
      <c r="I11" s="957"/>
      <c r="J11" s="957"/>
      <c r="K11" s="958"/>
    </row>
    <row r="12" spans="1:33" s="964" customFormat="1" ht="13.5" customHeight="1">
      <c r="A12" s="960" t="s">
        <v>1335</v>
      </c>
      <c r="B12" s="961" t="s">
        <v>2471</v>
      </c>
      <c r="C12" s="24">
        <f ca="1">ROUND(C11*F12,0)</f>
        <v>2</v>
      </c>
      <c r="D12" s="962"/>
      <c r="E12" s="366"/>
      <c r="F12" s="965">
        <f>'数据-取费表'!B33</f>
        <v>0.03</v>
      </c>
      <c r="G12" s="8" t="s">
        <v>2472</v>
      </c>
      <c r="H12" s="957"/>
      <c r="I12" s="957"/>
      <c r="J12" s="957"/>
      <c r="K12" s="958"/>
    </row>
    <row r="13" spans="1:33" s="964" customFormat="1" ht="13.5" customHeight="1">
      <c r="A13" s="960" t="s">
        <v>1336</v>
      </c>
      <c r="B13" s="961" t="s">
        <v>2473</v>
      </c>
      <c r="C13" s="24">
        <f ca="1">ROUND(IF(C1="",SUMIF('数据-取费表'!C:C,"住宅",'数据-取费表'!P:P)*F13,IF(INDIRECT("'数据-取费表'!c"&amp;$K$1)="住宅",INDIRECT("'数据-取费表'!P"&amp;$K$1)*F13,0)),0)</f>
        <v>0</v>
      </c>
      <c r="D13" s="1021"/>
      <c r="E13" s="366"/>
      <c r="F13" s="965">
        <f>'数据-取费表'!B34</f>
        <v>0</v>
      </c>
      <c r="G13" s="8" t="s">
        <v>2474</v>
      </c>
      <c r="H13" s="957"/>
      <c r="I13" s="957"/>
      <c r="J13" s="957"/>
      <c r="K13" s="958"/>
      <c r="L13" s="964" t="s">
        <v>3201</v>
      </c>
      <c r="M13" s="2984" t="s">
        <v>3198</v>
      </c>
      <c r="N13" s="964">
        <v>34000</v>
      </c>
    </row>
    <row r="14" spans="1:33" s="966" customFormat="1" ht="13.5" customHeight="1">
      <c r="A14" s="960" t="s">
        <v>1337</v>
      </c>
      <c r="B14" s="961" t="s">
        <v>2475</v>
      </c>
      <c r="C14" s="24">
        <f ca="1">ROUND(D14*E14*F11/10000,0)</f>
        <v>4</v>
      </c>
      <c r="D14" s="1021">
        <f ca="1">IF(C1="",'数据-汇总表'!E3,INDIRECT("'数据-取费表'!K"&amp;$K$1)+INDIRECT("'数据-取费表'!S"&amp;$K$1))</f>
        <v>20428.607999999997</v>
      </c>
      <c r="E14" s="24">
        <f>'数据-取费表'!B35</f>
        <v>200</v>
      </c>
      <c r="F14" s="965"/>
      <c r="G14" s="8" t="s">
        <v>2476</v>
      </c>
      <c r="H14" s="957"/>
      <c r="I14" s="957"/>
      <c r="J14" s="957"/>
      <c r="K14" s="958"/>
      <c r="L14" s="964" t="s">
        <v>3200</v>
      </c>
      <c r="M14" s="964" t="s">
        <v>3199</v>
      </c>
      <c r="N14" s="964" t="s">
        <v>3197</v>
      </c>
      <c r="O14" s="964"/>
      <c r="P14" s="964"/>
      <c r="Q14" s="964"/>
      <c r="R14" s="964"/>
      <c r="S14" s="964"/>
      <c r="T14" s="964"/>
      <c r="U14" s="964"/>
      <c r="V14" s="964"/>
      <c r="W14" s="964"/>
      <c r="X14" s="964"/>
      <c r="Y14" s="964"/>
      <c r="Z14" s="964"/>
      <c r="AA14" s="964"/>
      <c r="AB14" s="964"/>
      <c r="AC14" s="964"/>
      <c r="AD14" s="964"/>
      <c r="AE14" s="964"/>
      <c r="AF14" s="964"/>
      <c r="AG14" s="964"/>
    </row>
    <row r="15" spans="1:33" s="966" customFormat="1" ht="13.5" customHeight="1">
      <c r="A15" s="960" t="s">
        <v>1338</v>
      </c>
      <c r="B15" s="961" t="s">
        <v>2477</v>
      </c>
      <c r="C15" s="972">
        <f ca="1">ROUND(C11*F15,0)</f>
        <v>1</v>
      </c>
      <c r="D15" s="967"/>
      <c r="E15" s="972"/>
      <c r="F15" s="973">
        <f>'数据-取费表'!B36</f>
        <v>1.4999999999999999E-2</v>
      </c>
      <c r="G15" s="131" t="s">
        <v>2478</v>
      </c>
      <c r="H15" s="968"/>
      <c r="I15" s="968"/>
      <c r="J15" s="968"/>
      <c r="K15" s="969"/>
      <c r="L15" s="964"/>
      <c r="M15" s="964"/>
      <c r="N15" s="964"/>
      <c r="O15" s="964"/>
      <c r="P15" s="964"/>
      <c r="Q15" s="964"/>
      <c r="R15" s="964"/>
      <c r="S15" s="964"/>
      <c r="T15" s="964"/>
      <c r="U15" s="964"/>
      <c r="V15" s="964"/>
      <c r="W15" s="964"/>
      <c r="X15" s="964"/>
      <c r="Y15" s="964"/>
      <c r="Z15" s="964"/>
      <c r="AA15" s="964"/>
      <c r="AB15" s="964"/>
      <c r="AC15" s="964"/>
      <c r="AD15" s="964"/>
      <c r="AE15" s="964"/>
      <c r="AF15" s="964"/>
      <c r="AG15" s="964"/>
    </row>
    <row r="16" spans="1:33" s="966" customFormat="1" ht="13.5" customHeight="1">
      <c r="A16" s="960" t="s">
        <v>803</v>
      </c>
      <c r="B16" s="961" t="s">
        <v>2479</v>
      </c>
      <c r="C16" s="972">
        <f ca="1">SUM(C11:C15)</f>
        <v>64</v>
      </c>
      <c r="D16" s="967"/>
      <c r="E16" s="972"/>
      <c r="F16" s="973"/>
      <c r="G16" s="131"/>
      <c r="H16" s="1565"/>
      <c r="I16" s="968"/>
      <c r="J16" s="968"/>
      <c r="K16" s="969"/>
      <c r="L16" s="964"/>
      <c r="M16" s="964"/>
      <c r="N16" s="964"/>
      <c r="O16" s="964"/>
      <c r="P16" s="964"/>
      <c r="Q16" s="964"/>
      <c r="R16" s="964"/>
      <c r="S16" s="964"/>
      <c r="T16" s="964"/>
      <c r="U16" s="964"/>
      <c r="V16" s="964"/>
      <c r="W16" s="964"/>
      <c r="X16" s="964"/>
      <c r="Y16" s="964"/>
      <c r="Z16" s="964"/>
      <c r="AA16" s="964"/>
      <c r="AB16" s="964"/>
      <c r="AC16" s="964"/>
      <c r="AD16" s="964"/>
      <c r="AE16" s="964"/>
      <c r="AF16" s="964"/>
      <c r="AG16" s="964"/>
    </row>
    <row r="17" spans="1:33" s="966" customFormat="1" ht="13.5" customHeight="1">
      <c r="A17" s="960" t="s">
        <v>804</v>
      </c>
      <c r="B17" s="961" t="s">
        <v>2480</v>
      </c>
      <c r="C17" s="24">
        <f ca="1">ROUND(D17*E17/10000,0)</f>
        <v>0</v>
      </c>
      <c r="D17" s="1021">
        <f ca="1">D14</f>
        <v>20428.607999999997</v>
      </c>
      <c r="E17" s="24">
        <f>'数据-取费表'!B32</f>
        <v>0</v>
      </c>
      <c r="F17" s="967"/>
      <c r="G17" s="131" t="s">
        <v>2481</v>
      </c>
      <c r="H17" s="1565"/>
      <c r="I17" s="968"/>
      <c r="J17" s="968"/>
      <c r="K17" s="969"/>
      <c r="L17" s="964"/>
      <c r="M17" s="964"/>
      <c r="N17" s="964"/>
      <c r="O17" s="964"/>
      <c r="P17" s="964"/>
      <c r="Q17" s="964"/>
      <c r="R17" s="964"/>
      <c r="S17" s="964"/>
      <c r="T17" s="964"/>
      <c r="U17" s="964"/>
      <c r="V17" s="964"/>
      <c r="W17" s="964"/>
      <c r="X17" s="964"/>
      <c r="Y17" s="964"/>
      <c r="Z17" s="964"/>
      <c r="AA17" s="964"/>
      <c r="AB17" s="964"/>
      <c r="AC17" s="964"/>
      <c r="AD17" s="964"/>
      <c r="AE17" s="964"/>
      <c r="AF17" s="964"/>
      <c r="AG17" s="964"/>
    </row>
    <row r="18" spans="1:33" s="964" customFormat="1" ht="13.5" customHeight="1">
      <c r="A18" s="960" t="s">
        <v>1339</v>
      </c>
      <c r="B18" s="961" t="s">
        <v>2482</v>
      </c>
      <c r="C18" s="24">
        <f ca="1">C19+C20-IF(C1="",'数据-取费表'!B29,IF(G18="已全部缴纳",C19+C20,H18))</f>
        <v>61</v>
      </c>
      <c r="D18" s="1021"/>
      <c r="E18" s="24"/>
      <c r="F18" s="965"/>
      <c r="G18" s="2546" t="s">
        <v>3142</v>
      </c>
      <c r="H18" s="1564"/>
      <c r="I18" s="2547" t="s">
        <v>2483</v>
      </c>
      <c r="J18" s="968"/>
      <c r="K18" s="969"/>
    </row>
    <row r="19" spans="1:33" s="964" customFormat="1" ht="13.5" customHeight="1">
      <c r="A19" s="960" t="s">
        <v>805</v>
      </c>
      <c r="B19" s="961" t="s">
        <v>2484</v>
      </c>
      <c r="C19" s="24">
        <f ca="1">ROUND(D19*E19/10000,0)</f>
        <v>0</v>
      </c>
      <c r="D19" s="1021">
        <f ca="1">IF(C1="",'数据-汇总表'!E5,IF(INDIRECT("'数据-取费表'!c"&amp;$K$1)="住宅",INDIRECT("'数据-取费表'!k"&amp;$K$1),0))</f>
        <v>0</v>
      </c>
      <c r="E19" s="24">
        <f>'数据-取费表'!B27</f>
        <v>30</v>
      </c>
      <c r="F19" s="965"/>
      <c r="G19" s="15"/>
      <c r="H19" s="1566"/>
      <c r="I19" s="970"/>
      <c r="J19" s="970"/>
      <c r="K19" s="971"/>
    </row>
    <row r="20" spans="1:33" s="964" customFormat="1" ht="13.5" customHeight="1">
      <c r="A20" s="960" t="s">
        <v>806</v>
      </c>
      <c r="B20" s="961" t="s">
        <v>2485</v>
      </c>
      <c r="C20" s="24">
        <f ca="1">ROUND(D20*E20/10000,0)</f>
        <v>61</v>
      </c>
      <c r="D20" s="1021">
        <f ca="1">IF(C1="",'数据-汇总表'!E6,IF(INDIRECT("'数据-取费表'!c"&amp;$K$1)="住宅",INDIRECT("'数据-取费表'!s"&amp;$K$1),INDIRECT("'数据-取费表'!k"&amp;$K$1)+INDIRECT("'数据-取费表'!s"&amp;$K$1)))</f>
        <v>20428.607999999997</v>
      </c>
      <c r="E20" s="24">
        <f>'数据-取费表'!B28</f>
        <v>30</v>
      </c>
      <c r="F20" s="965"/>
      <c r="G20" s="15"/>
      <c r="H20" s="970"/>
      <c r="I20" s="970"/>
      <c r="J20" s="970"/>
      <c r="K20" s="971"/>
    </row>
    <row r="21" spans="1:33" s="964" customFormat="1" ht="13.5" customHeight="1">
      <c r="A21" s="950" t="s">
        <v>802</v>
      </c>
      <c r="B21" s="974" t="s">
        <v>2486</v>
      </c>
      <c r="C21" s="975">
        <f ca="1">C16+C17+C18</f>
        <v>125</v>
      </c>
      <c r="D21" s="976"/>
      <c r="E21" s="316"/>
      <c r="F21" s="316"/>
      <c r="G21" s="131" t="s">
        <v>2487</v>
      </c>
      <c r="H21" s="968"/>
      <c r="I21" s="968"/>
      <c r="J21" s="968"/>
      <c r="K21" s="969"/>
    </row>
    <row r="22" spans="1:33" s="964" customFormat="1" ht="13.5" customHeight="1">
      <c r="A22" s="950" t="s">
        <v>2459</v>
      </c>
      <c r="B22" s="974" t="s">
        <v>2488</v>
      </c>
      <c r="C22" s="975">
        <f ca="1">ROUND(C21*F22,0)</f>
        <v>3</v>
      </c>
      <c r="D22" s="316"/>
      <c r="E22" s="316"/>
      <c r="F22" s="977">
        <f>'数据-取费表'!B37</f>
        <v>0.02</v>
      </c>
      <c r="G22" s="8" t="s">
        <v>2489</v>
      </c>
      <c r="H22" s="957"/>
      <c r="I22" s="957"/>
      <c r="J22" s="957"/>
      <c r="K22" s="958"/>
    </row>
    <row r="23" spans="1:33" s="964" customFormat="1" ht="13.5" customHeight="1">
      <c r="A23" s="950" t="s">
        <v>2461</v>
      </c>
      <c r="B23" s="974" t="s">
        <v>2490</v>
      </c>
      <c r="C23" s="975">
        <f ca="1">ROUND(C4*F23*F11,0)</f>
        <v>3</v>
      </c>
      <c r="D23" s="316"/>
      <c r="E23" s="316"/>
      <c r="F23" s="977">
        <f>'数据-取费表'!B38</f>
        <v>1.4999999999999999E-2</v>
      </c>
      <c r="G23" s="8" t="s">
        <v>2491</v>
      </c>
      <c r="H23" s="957"/>
      <c r="I23" s="957"/>
      <c r="J23" s="957"/>
      <c r="K23" s="958"/>
    </row>
    <row r="24" spans="1:33" s="964" customFormat="1" ht="13.5" customHeight="1">
      <c r="A24" s="950" t="s">
        <v>2492</v>
      </c>
      <c r="B24" s="974" t="s">
        <v>2493</v>
      </c>
      <c r="C24" s="315">
        <f>ROUND(F24/(1+'数据-取费表'!C42),4)</f>
        <v>2.9000000000000001E-2</v>
      </c>
      <c r="D24" s="316" t="s">
        <v>15</v>
      </c>
      <c r="E24" s="316"/>
      <c r="F24" s="977">
        <f>'数据-取费表'!B48+'数据-取费表'!B49</f>
        <v>3.0499999999999999E-2</v>
      </c>
      <c r="G24" s="8" t="s">
        <v>2494</v>
      </c>
      <c r="H24" s="979"/>
      <c r="I24" s="979"/>
      <c r="J24" s="979"/>
      <c r="K24" s="980"/>
    </row>
    <row r="25" spans="1:33" s="964" customFormat="1" ht="13.5" customHeight="1">
      <c r="A25" s="950" t="s">
        <v>2495</v>
      </c>
      <c r="B25" s="976" t="s">
        <v>2496</v>
      </c>
      <c r="C25" s="1344">
        <f ca="1">C27</f>
        <v>0</v>
      </c>
      <c r="D25" s="315">
        <f ca="1">C26</f>
        <v>4.7999999999999996E-3</v>
      </c>
      <c r="E25" s="317" t="s">
        <v>15</v>
      </c>
      <c r="F25" s="318">
        <f ca="1">'数据-取费表'!B40</f>
        <v>4.7500000000000001E-2</v>
      </c>
      <c r="G25" s="131" t="str">
        <f>IF('数据-取费表'!B22&lt;=1,"单利计息。","复利计息。")&amp;"后续开发成本、管理费用及销售费用产生的利息。"</f>
        <v>复利计息。后续开发成本、管理费用及销售费用产生的利息。</v>
      </c>
      <c r="H25" s="979"/>
      <c r="I25" s="979"/>
      <c r="J25" s="979"/>
      <c r="K25" s="980"/>
    </row>
    <row r="26" spans="1:33" s="982" customFormat="1" ht="13.5" customHeight="1">
      <c r="A26" s="960" t="s">
        <v>803</v>
      </c>
      <c r="B26" s="981" t="s">
        <v>2497</v>
      </c>
      <c r="C26" s="1345">
        <f ca="1">ROUND(IF('数据-取费表'!B22&lt;=1,(1+C24)*F25*'数据-取费表'!B24,(1+C24)*(POWER((1+F25),'数据-取费表'!B24)-1)),4)</f>
        <v>4.7999999999999996E-3</v>
      </c>
      <c r="D26" s="319"/>
      <c r="E26" s="320"/>
      <c r="F26" s="321"/>
      <c r="G26" s="2548" t="str">
        <f>IF('数据-取费表'!B22&lt;=1,"（(1)+取得税费率/(1+5%)）×年利率×建设期","（(1)+取得税费率）/(1+5%)×((1+年利率)^建设期-1)")</f>
        <v>（(1)+取得税费率）/(1+5%)×((1+年利率)^建设期-1)</v>
      </c>
      <c r="H26" s="968"/>
      <c r="I26" s="968"/>
      <c r="J26" s="968"/>
      <c r="K26" s="969"/>
    </row>
    <row r="27" spans="1:33" s="982" customFormat="1" ht="13.5" customHeight="1">
      <c r="A27" s="960" t="s">
        <v>804</v>
      </c>
      <c r="B27" s="981" t="s">
        <v>2498</v>
      </c>
      <c r="C27" s="1346">
        <f ca="1">ROUND(IF('数据-取费表'!B22&lt;=1,(C21+C22+C23)*F25*'数据-取费表'!B24/2,(C21+C22+C23)*(POWER((1+F25),'数据-取费表'!B24/2)-1)),0)</f>
        <v>0</v>
      </c>
      <c r="D27" s="319"/>
      <c r="E27" s="320"/>
      <c r="F27" s="321"/>
      <c r="G27" s="2548" t="str">
        <f>IF('数据-取费表'!B22&lt;=1,"（1）-（3）项×年利率×建设期÷2","（1）-（3）项×((1+年利率)^(建设期÷2)-1)")</f>
        <v>（1）-（3）项×((1+年利率)^(建设期÷2)-1)</v>
      </c>
      <c r="H27" s="968"/>
      <c r="I27" s="968"/>
      <c r="J27" s="968"/>
      <c r="K27" s="969"/>
    </row>
    <row r="28" spans="1:33" s="324" customFormat="1" ht="13.5" customHeight="1">
      <c r="A28" s="950" t="s">
        <v>2499</v>
      </c>
      <c r="B28" s="2549" t="s">
        <v>2500</v>
      </c>
      <c r="C28" s="322">
        <f ca="1">C30</f>
        <v>20</v>
      </c>
      <c r="D28" s="315">
        <f ca="1">C29</f>
        <v>7.7000000000000002E-3</v>
      </c>
      <c r="E28" s="317" t="s">
        <v>15</v>
      </c>
      <c r="F28" s="323">
        <f ca="1">IF(C1="",'数据-取费表'!Q16,INDIRECT("'数据-取费表'!q"&amp;$K$1))</f>
        <v>0.15</v>
      </c>
      <c r="G28" s="978"/>
      <c r="H28" s="979"/>
      <c r="I28" s="979"/>
      <c r="J28" s="979"/>
      <c r="K28" s="980"/>
    </row>
    <row r="29" spans="1:33" s="326" customFormat="1" ht="13.5" customHeight="1">
      <c r="A29" s="960" t="s">
        <v>803</v>
      </c>
      <c r="B29" s="983" t="s">
        <v>2501</v>
      </c>
      <c r="C29" s="319">
        <f ca="1">ROUND((1+C24)*F28*'数据-取费表'!B24/'数据-取费表'!B20,4)</f>
        <v>7.7000000000000002E-3</v>
      </c>
      <c r="D29" s="319"/>
      <c r="E29" s="320"/>
      <c r="F29" s="325"/>
      <c r="G29" s="131" t="s">
        <v>2502</v>
      </c>
      <c r="H29" s="968"/>
      <c r="I29" s="968"/>
      <c r="J29" s="968"/>
      <c r="K29" s="969"/>
    </row>
    <row r="30" spans="1:33" s="326" customFormat="1" ht="13.5" customHeight="1">
      <c r="A30" s="960" t="s">
        <v>804</v>
      </c>
      <c r="B30" s="983" t="s">
        <v>2503</v>
      </c>
      <c r="C30" s="327">
        <f ca="1">ROUND((C21+C22+C23)*F28,0)</f>
        <v>20</v>
      </c>
      <c r="D30" s="319"/>
      <c r="E30" s="320"/>
      <c r="F30" s="325"/>
      <c r="G30" s="131"/>
      <c r="H30" s="968"/>
      <c r="I30" s="968"/>
      <c r="J30" s="968"/>
      <c r="K30" s="969"/>
    </row>
    <row r="31" spans="1:33" s="964" customFormat="1" ht="13.5" customHeight="1" thickBot="1">
      <c r="A31" s="2550" t="s">
        <v>2504</v>
      </c>
      <c r="B31" s="993" t="s">
        <v>2505</v>
      </c>
      <c r="C31" s="994">
        <f ca="1">ROUND(C4*F31/(1+'数据-取费表'!C42),0)</f>
        <v>1193</v>
      </c>
      <c r="D31" s="995"/>
      <c r="E31" s="996"/>
      <c r="F31" s="997">
        <f>'数据-取费表'!B41</f>
        <v>5.6000000000000001E-2</v>
      </c>
      <c r="G31" s="998" t="s">
        <v>2506</v>
      </c>
      <c r="H31" s="999"/>
      <c r="I31" s="999"/>
      <c r="J31" s="999"/>
      <c r="K31" s="1000"/>
    </row>
    <row r="32" spans="1:33" s="959" customFormat="1" ht="13.5" customHeight="1" thickBot="1">
      <c r="A32" s="988" t="s">
        <v>2507</v>
      </c>
      <c r="B32" s="989"/>
      <c r="C32" s="990">
        <f ca="1">ROUND((C4-C21-C22-C23-C25-C28-C31)/(1+C24+D25+D28),0)</f>
        <v>20180</v>
      </c>
      <c r="D32" s="989"/>
      <c r="E32" s="989"/>
      <c r="F32" s="989"/>
      <c r="G32" s="991" t="s">
        <v>2508</v>
      </c>
      <c r="H32" s="989"/>
      <c r="I32" s="989"/>
      <c r="J32" s="989"/>
      <c r="K32" s="99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8" zoomScale="90" zoomScaleNormal="90" workbookViewId="0">
      <selection activeCell="K40" sqref="K40"/>
    </sheetView>
  </sheetViews>
  <sheetFormatPr defaultRowHeight="14.25"/>
  <cols>
    <col min="1" max="1" width="10.5" style="394" customWidth="1"/>
    <col min="2" max="2" width="15.75" style="394" customWidth="1"/>
    <col min="3" max="3" width="15.125" style="394" customWidth="1"/>
    <col min="4" max="4" width="12.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2612"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29" s="1616" customFormat="1" ht="28.5" customHeight="1" thickBot="1">
      <c r="A1" s="1605" t="s">
        <v>2518</v>
      </c>
      <c r="B1" s="2572" t="s">
        <v>2519</v>
      </c>
      <c r="C1" s="1621" t="s">
        <v>2520</v>
      </c>
      <c r="D1" s="1608" t="s">
        <v>3175</v>
      </c>
      <c r="E1" s="2573"/>
      <c r="F1" s="2574" t="s">
        <v>2521</v>
      </c>
      <c r="G1" s="1618" t="s">
        <v>2522</v>
      </c>
      <c r="H1" s="1617"/>
      <c r="I1" s="1617"/>
      <c r="J1" s="1617"/>
      <c r="K1" s="1619"/>
      <c r="L1" s="1620"/>
      <c r="M1" s="1621"/>
      <c r="N1" s="1621"/>
      <c r="O1" s="1621"/>
      <c r="P1" s="2575"/>
      <c r="Q1" s="1607"/>
      <c r="R1" s="1607"/>
      <c r="S1" s="1607"/>
      <c r="T1" s="1607"/>
      <c r="U1" s="1607"/>
      <c r="V1" s="1607"/>
      <c r="W1" s="1607"/>
      <c r="X1" s="1607"/>
      <c r="Y1" s="1607"/>
      <c r="Z1" s="1607"/>
      <c r="AA1" s="1607"/>
      <c r="AB1" s="1607"/>
      <c r="AC1" s="1615"/>
    </row>
    <row r="2" spans="1:29" s="384" customFormat="1" ht="28.5" customHeight="1" thickTop="1">
      <c r="A2" s="1604" t="s">
        <v>1394</v>
      </c>
      <c r="B2" s="1406" t="e">
        <f>IF(C2="——",ROUND(C49*D3/10000,0),ROUND(C49*D3/10000,0)-D2)</f>
        <v>#DIV/0!</v>
      </c>
      <c r="C2" s="2576" t="s">
        <v>70</v>
      </c>
      <c r="D2" s="1353" t="e">
        <f ca="1">SUMIF(INDIRECT("'"&amp;F2&amp;"'"&amp;"!A:A"),"承租人权益价值",INDIRECT("'"&amp;F2&amp;"'"&amp;"!c:c"))</f>
        <v>#REF!</v>
      </c>
      <c r="E2" s="2577" t="s">
        <v>2523</v>
      </c>
      <c r="F2" s="2578"/>
      <c r="G2" s="1112"/>
      <c r="H2" s="1112"/>
      <c r="I2" s="1112"/>
      <c r="J2" s="1112"/>
      <c r="K2" s="2579"/>
      <c r="L2" s="2580"/>
      <c r="M2" s="2581"/>
      <c r="N2" s="2581"/>
      <c r="O2" s="2581"/>
      <c r="P2" s="2582"/>
      <c r="Q2" s="2583"/>
      <c r="R2" s="2583"/>
      <c r="S2" s="2583"/>
      <c r="T2" s="2583"/>
      <c r="U2" s="2583"/>
      <c r="V2" s="2583"/>
      <c r="W2" s="2583"/>
      <c r="X2" s="2583"/>
      <c r="Y2" s="2583"/>
      <c r="Z2" s="2583"/>
      <c r="AA2" s="2583"/>
      <c r="AB2" s="2583"/>
      <c r="AC2" s="2584"/>
    </row>
    <row r="3" spans="1:29" s="384" customFormat="1" ht="28.5" customHeight="1" thickBot="1">
      <c r="A3" s="238" t="s">
        <v>1395</v>
      </c>
      <c r="B3" s="390" t="e">
        <f>IF(C2="——",C49,ROUND(B2*10000/D3,0))</f>
        <v>#DIV/0!</v>
      </c>
      <c r="C3" s="391" t="s">
        <v>2524</v>
      </c>
      <c r="D3" s="390">
        <f>IF(D1="",'数据-汇总表'!E3,SUMIF('数据-汇总表'!$C19:$C33,D1,'数据-汇总表'!$E19:$E33))</f>
        <v>0</v>
      </c>
      <c r="E3" s="1112"/>
      <c r="F3" s="2585"/>
      <c r="G3" s="1112"/>
      <c r="H3" s="1112"/>
      <c r="I3" s="1112"/>
      <c r="J3" s="1112"/>
      <c r="K3" s="2579"/>
      <c r="L3" s="2580"/>
      <c r="M3" s="2581"/>
      <c r="N3" s="2581"/>
      <c r="O3" s="2581"/>
      <c r="P3" s="2582"/>
      <c r="Q3" s="2583"/>
      <c r="R3" s="2583"/>
      <c r="S3" s="2583"/>
      <c r="T3" s="2583"/>
      <c r="U3" s="2583"/>
      <c r="V3" s="2583"/>
      <c r="W3" s="2583"/>
      <c r="X3" s="2583"/>
      <c r="Y3" s="2583"/>
      <c r="Z3" s="2583"/>
      <c r="AA3" s="2583"/>
      <c r="AB3" s="2583"/>
      <c r="AC3" s="1270"/>
    </row>
    <row r="4" spans="1:29" ht="15">
      <c r="A4" s="392" t="s">
        <v>2525</v>
      </c>
      <c r="B4" s="393"/>
      <c r="C4" s="3286" t="s">
        <v>2526</v>
      </c>
      <c r="D4" s="3287"/>
      <c r="E4" s="3288" t="s">
        <v>2527</v>
      </c>
      <c r="F4" s="3289"/>
      <c r="G4" s="3286" t="s">
        <v>2528</v>
      </c>
      <c r="H4" s="3287"/>
      <c r="I4" s="3286" t="s">
        <v>2529</v>
      </c>
      <c r="J4" s="3287"/>
      <c r="K4" s="2586" t="s">
        <v>2530</v>
      </c>
      <c r="L4" s="1118"/>
      <c r="M4" s="1119"/>
      <c r="N4" s="1119"/>
      <c r="O4" s="1119"/>
      <c r="P4" s="3290" t="s">
        <v>2531</v>
      </c>
      <c r="Q4" s="3291"/>
      <c r="R4" s="3273" t="s">
        <v>2527</v>
      </c>
      <c r="S4" s="3274"/>
      <c r="T4" s="3273" t="s">
        <v>2528</v>
      </c>
      <c r="U4" s="3274"/>
      <c r="V4" s="3298" t="s">
        <v>2529</v>
      </c>
      <c r="W4" s="3298"/>
      <c r="X4" s="1800"/>
      <c r="Y4" s="3273" t="s">
        <v>2531</v>
      </c>
      <c r="Z4" s="3274"/>
      <c r="AA4" s="3268" t="s">
        <v>2527</v>
      </c>
      <c r="AB4" s="3268" t="s">
        <v>2528</v>
      </c>
      <c r="AC4" s="3268" t="s">
        <v>2529</v>
      </c>
    </row>
    <row r="5" spans="1:29" ht="15">
      <c r="A5" s="395"/>
      <c r="B5" s="396"/>
      <c r="C5" s="3311" t="s">
        <v>2532</v>
      </c>
      <c r="D5" s="3280"/>
      <c r="E5" s="3277" t="s">
        <v>3177</v>
      </c>
      <c r="F5" s="3278"/>
      <c r="G5" s="3279" t="s">
        <v>3178</v>
      </c>
      <c r="H5" s="3280"/>
      <c r="I5" s="3279" t="s">
        <v>3179</v>
      </c>
      <c r="J5" s="3280"/>
      <c r="K5" s="2587"/>
      <c r="L5" s="1118"/>
      <c r="M5" s="1119"/>
      <c r="N5" s="1119"/>
      <c r="O5" s="1119"/>
      <c r="P5" s="3292"/>
      <c r="Q5" s="3293"/>
      <c r="R5" s="3275"/>
      <c r="S5" s="3276"/>
      <c r="T5" s="3275"/>
      <c r="U5" s="3276"/>
      <c r="V5" s="3298"/>
      <c r="W5" s="3298"/>
      <c r="X5" s="1800"/>
      <c r="Y5" s="3275"/>
      <c r="Z5" s="3276"/>
      <c r="AA5" s="3269"/>
      <c r="AB5" s="3269"/>
      <c r="AC5" s="3269"/>
    </row>
    <row r="6" spans="1:29" ht="15.75" thickBot="1">
      <c r="A6" s="397"/>
      <c r="B6" s="398"/>
      <c r="C6" s="3281" t="s">
        <v>2536</v>
      </c>
      <c r="D6" s="3282"/>
      <c r="E6" s="3283" t="s">
        <v>2536</v>
      </c>
      <c r="F6" s="3284"/>
      <c r="G6" s="3281" t="s">
        <v>2536</v>
      </c>
      <c r="H6" s="3282"/>
      <c r="I6" s="3281" t="s">
        <v>2536</v>
      </c>
      <c r="J6" s="3282"/>
      <c r="K6" s="2587" t="s">
        <v>2537</v>
      </c>
      <c r="L6" s="1118"/>
      <c r="M6" s="1119"/>
      <c r="N6" s="1119"/>
      <c r="O6" s="1119"/>
      <c r="P6" s="3294"/>
      <c r="Q6" s="3295"/>
      <c r="R6" s="3275"/>
      <c r="S6" s="3276"/>
      <c r="T6" s="3296"/>
      <c r="U6" s="3297"/>
      <c r="V6" s="3298"/>
      <c r="W6" s="3298"/>
      <c r="X6" s="1800"/>
      <c r="Y6" s="3296"/>
      <c r="Z6" s="3297"/>
      <c r="AA6" s="3270"/>
      <c r="AB6" s="3270"/>
      <c r="AC6" s="3270"/>
    </row>
    <row r="7" spans="1:29" s="110" customFormat="1" ht="15.75" thickBot="1">
      <c r="A7" s="399" t="s">
        <v>2538</v>
      </c>
      <c r="B7" s="400"/>
      <c r="C7" s="401">
        <f>'数据-取费表'!B2</f>
        <v>43515</v>
      </c>
      <c r="D7" s="402">
        <v>100</v>
      </c>
      <c r="E7" s="403">
        <v>43489</v>
      </c>
      <c r="F7" s="404">
        <f>SUMIF(58:58,YEAR(E7)&amp;"-"&amp;MONTH(E7),59:59)</f>
        <v>0</v>
      </c>
      <c r="G7" s="403">
        <v>43489</v>
      </c>
      <c r="H7" s="402">
        <f>SUMIF(58:58,YEAR(G7)&amp;"-"&amp;MONTH(G7),59:59)</f>
        <v>0</v>
      </c>
      <c r="I7" s="403">
        <v>43489</v>
      </c>
      <c r="J7" s="402">
        <f>SUMIF(58:58,YEAR(I7)&amp;"-"&amp;MONTH(I7),59:59)</f>
        <v>0</v>
      </c>
      <c r="K7" s="2588"/>
      <c r="L7" s="1120"/>
      <c r="M7" s="1121"/>
      <c r="N7" s="1121"/>
      <c r="O7" s="1121"/>
      <c r="P7" s="3271" t="s">
        <v>2539</v>
      </c>
      <c r="Q7" s="3299"/>
      <c r="R7" s="761" t="s">
        <v>23</v>
      </c>
      <c r="S7" s="762">
        <f t="shared" ref="S7:S15" si="0">F7</f>
        <v>0</v>
      </c>
      <c r="T7" s="761" t="s">
        <v>23</v>
      </c>
      <c r="U7" s="762">
        <f t="shared" ref="U7:U15" si="1">H7</f>
        <v>0</v>
      </c>
      <c r="V7" s="761" t="s">
        <v>23</v>
      </c>
      <c r="W7" s="762">
        <f t="shared" ref="W7:W15" si="2">J7</f>
        <v>0</v>
      </c>
      <c r="X7" s="763"/>
      <c r="Y7" s="3271" t="s">
        <v>2539</v>
      </c>
      <c r="Z7" s="3272"/>
      <c r="AA7" s="764" t="e">
        <f>D7/F7</f>
        <v>#DIV/0!</v>
      </c>
      <c r="AB7" s="764" t="e">
        <f>D7/H7</f>
        <v>#DIV/0!</v>
      </c>
      <c r="AC7" s="764" t="e">
        <f>D7/J7</f>
        <v>#DIV/0!</v>
      </c>
    </row>
    <row r="8" spans="1:29" s="110" customFormat="1" ht="15.75" thickBot="1">
      <c r="A8" s="399" t="s">
        <v>2540</v>
      </c>
      <c r="B8" s="400"/>
      <c r="C8" s="405" t="s">
        <v>2541</v>
      </c>
      <c r="D8" s="402">
        <v>100</v>
      </c>
      <c r="E8" s="2589" t="s">
        <v>3081</v>
      </c>
      <c r="F8" s="404">
        <f>SUMIF(61:61,E8,62:62)-SUMIF(61:61,C8,62:62)+100</f>
        <v>100</v>
      </c>
      <c r="G8" s="2589" t="s">
        <v>3081</v>
      </c>
      <c r="H8" s="402">
        <f>SUMIF(61:61,G8,62:62)-SUMIF(61:61,C8,62:62)+100</f>
        <v>100</v>
      </c>
      <c r="I8" s="2589" t="s">
        <v>3081</v>
      </c>
      <c r="J8" s="402">
        <f>SUMIF(61:61,I8,62:62)-SUMIF(61:61,C8,62:62)+100</f>
        <v>100</v>
      </c>
      <c r="K8" s="2588"/>
      <c r="L8" s="1120"/>
      <c r="M8" s="1121"/>
      <c r="N8" s="1121"/>
      <c r="O8" s="1121"/>
      <c r="P8" s="3271" t="s">
        <v>2542</v>
      </c>
      <c r="Q8" s="3272"/>
      <c r="R8" s="761" t="s">
        <v>23</v>
      </c>
      <c r="S8" s="762">
        <f t="shared" si="0"/>
        <v>100</v>
      </c>
      <c r="T8" s="761" t="s">
        <v>23</v>
      </c>
      <c r="U8" s="762">
        <f t="shared" si="1"/>
        <v>100</v>
      </c>
      <c r="V8" s="761" t="s">
        <v>23</v>
      </c>
      <c r="W8" s="762">
        <f t="shared" si="2"/>
        <v>100</v>
      </c>
      <c r="X8" s="763"/>
      <c r="Y8" s="3271" t="s">
        <v>2542</v>
      </c>
      <c r="Z8" s="3272"/>
      <c r="AA8" s="764">
        <f t="shared" ref="AA8:AA19" si="3">D8/F8</f>
        <v>1</v>
      </c>
      <c r="AB8" s="764">
        <f t="shared" ref="AB8:AB19" si="4">D8/H8</f>
        <v>1</v>
      </c>
      <c r="AC8" s="764">
        <f t="shared" ref="AC8:AC19" si="5">D8/J8</f>
        <v>1</v>
      </c>
    </row>
    <row r="9" spans="1:29" s="110" customFormat="1">
      <c r="A9" s="406" t="s">
        <v>2543</v>
      </c>
      <c r="B9" s="70" t="s">
        <v>2544</v>
      </c>
      <c r="C9" s="2941" t="s">
        <v>3180</v>
      </c>
      <c r="D9" s="126">
        <v>100</v>
      </c>
      <c r="E9" s="408" t="s">
        <v>1377</v>
      </c>
      <c r="F9" s="409">
        <f>SUMIF(63:63,E9,64:64)-SUMIF(63:63,C9,64:64)+100</f>
        <v>100</v>
      </c>
      <c r="G9" s="408" t="s">
        <v>1377</v>
      </c>
      <c r="H9" s="126">
        <f>SUMIF(63:63,G9,64:64)-SUMIF(63:63,C9,64:64)+100</f>
        <v>100</v>
      </c>
      <c r="I9" s="408" t="s">
        <v>1377</v>
      </c>
      <c r="J9" s="126">
        <f>SUMIF(63:63,I9,64:64)-SUMIF(63:63,C9,64:64)+100</f>
        <v>100</v>
      </c>
      <c r="K9" s="2588"/>
      <c r="L9" s="1120"/>
      <c r="M9" s="1121"/>
      <c r="N9" s="1121"/>
      <c r="O9" s="1121"/>
      <c r="P9" s="3309" t="s">
        <v>2545</v>
      </c>
      <c r="Q9" s="1782" t="str">
        <f t="shared" ref="Q9:Q15" si="6">B9</f>
        <v>用途</v>
      </c>
      <c r="R9" s="761" t="s">
        <v>17</v>
      </c>
      <c r="S9" s="762">
        <f t="shared" si="0"/>
        <v>100</v>
      </c>
      <c r="T9" s="761" t="s">
        <v>17</v>
      </c>
      <c r="U9" s="762">
        <f t="shared" si="1"/>
        <v>100</v>
      </c>
      <c r="V9" s="761" t="s">
        <v>17</v>
      </c>
      <c r="W9" s="762">
        <f t="shared" si="2"/>
        <v>100</v>
      </c>
      <c r="X9" s="763"/>
      <c r="Y9" s="3145" t="s">
        <v>2546</v>
      </c>
      <c r="Z9" s="54" t="str">
        <f t="shared" ref="Z9:Z15" si="7">Q9</f>
        <v>用途</v>
      </c>
      <c r="AA9" s="764">
        <f t="shared" si="3"/>
        <v>1</v>
      </c>
      <c r="AB9" s="764">
        <f t="shared" si="4"/>
        <v>1</v>
      </c>
      <c r="AC9" s="764">
        <f t="shared" si="5"/>
        <v>1</v>
      </c>
    </row>
    <row r="10" spans="1:29" s="418" customFormat="1" ht="27">
      <c r="A10" s="412"/>
      <c r="B10" s="413" t="s">
        <v>2547</v>
      </c>
      <c r="C10" s="414" t="s">
        <v>3116</v>
      </c>
      <c r="D10" s="127">
        <v>100</v>
      </c>
      <c r="E10" s="415" t="s">
        <v>3116</v>
      </c>
      <c r="F10" s="416">
        <f>SUMIF(65:65,E10,66:66)-SUMIF(65:65,C10,66:66)+100</f>
        <v>100</v>
      </c>
      <c r="G10" s="414" t="s">
        <v>3116</v>
      </c>
      <c r="H10" s="127">
        <f>SUMIF(65:65,G10,66:66)-SUMIF(65:65,C10,66:66)+100</f>
        <v>100</v>
      </c>
      <c r="I10" s="414" t="s">
        <v>3116</v>
      </c>
      <c r="J10" s="127">
        <f>SUMIF(65:65,I10,66:66)-SUMIF(65:65,C10,66:66)+100</f>
        <v>100</v>
      </c>
      <c r="K10" s="417">
        <v>3</v>
      </c>
      <c r="L10" s="1123"/>
      <c r="M10" s="1124"/>
      <c r="N10" s="1124"/>
      <c r="O10" s="1124"/>
      <c r="P10" s="3309"/>
      <c r="Q10" s="1782" t="str">
        <f t="shared" si="6"/>
        <v>土地使用年限（年）</v>
      </c>
      <c r="R10" s="761" t="s">
        <v>17</v>
      </c>
      <c r="S10" s="762">
        <f t="shared" si="0"/>
        <v>100</v>
      </c>
      <c r="T10" s="761" t="s">
        <v>17</v>
      </c>
      <c r="U10" s="762">
        <f t="shared" si="1"/>
        <v>100</v>
      </c>
      <c r="V10" s="761" t="s">
        <v>17</v>
      </c>
      <c r="W10" s="762">
        <f t="shared" si="2"/>
        <v>100</v>
      </c>
      <c r="X10" s="763"/>
      <c r="Y10" s="3145"/>
      <c r="Z10" s="54" t="str">
        <f t="shared" si="7"/>
        <v>土地使用年限（年）</v>
      </c>
      <c r="AA10" s="764">
        <f t="shared" si="3"/>
        <v>1</v>
      </c>
      <c r="AB10" s="764">
        <f t="shared" si="4"/>
        <v>1</v>
      </c>
      <c r="AC10" s="764">
        <f t="shared" si="5"/>
        <v>1</v>
      </c>
    </row>
    <row r="11" spans="1:29" ht="15.75" thickBot="1">
      <c r="A11" s="419"/>
      <c r="B11" s="413" t="s">
        <v>2548</v>
      </c>
      <c r="C11" s="420">
        <f>'数据-汇总表'!I6</f>
        <v>2.38</v>
      </c>
      <c r="D11" s="127">
        <v>100</v>
      </c>
      <c r="E11" s="421">
        <v>3.57</v>
      </c>
      <c r="F11" s="416">
        <f>LOOKUP(E11,68:68,69:69)-LOOKUP(C11,68:68,69:69)+100</f>
        <v>98</v>
      </c>
      <c r="G11" s="420">
        <v>7.33</v>
      </c>
      <c r="H11" s="127">
        <f>LOOKUP(G11,68:68,69:69)-LOOKUP(C11,68:68,69:69)+100</f>
        <v>90</v>
      </c>
      <c r="I11" s="420">
        <v>5.43</v>
      </c>
      <c r="J11" s="127">
        <f>LOOKUP(I11,68:68,69:69)-LOOKUP(C11,68:68,69:69)+100</f>
        <v>94</v>
      </c>
      <c r="K11" s="417">
        <v>2</v>
      </c>
      <c r="L11" s="1126"/>
      <c r="M11" s="1119"/>
      <c r="N11" s="1119"/>
      <c r="O11" s="1119"/>
      <c r="P11" s="3309"/>
      <c r="Q11" s="1782" t="str">
        <f t="shared" si="6"/>
        <v>容积率</v>
      </c>
      <c r="R11" s="761" t="s">
        <v>21</v>
      </c>
      <c r="S11" s="762">
        <f t="shared" si="0"/>
        <v>98</v>
      </c>
      <c r="T11" s="761" t="s">
        <v>21</v>
      </c>
      <c r="U11" s="762">
        <f t="shared" si="1"/>
        <v>90</v>
      </c>
      <c r="V11" s="761" t="s">
        <v>21</v>
      </c>
      <c r="W11" s="762">
        <f t="shared" si="2"/>
        <v>94</v>
      </c>
      <c r="X11" s="763"/>
      <c r="Y11" s="3145"/>
      <c r="Z11" s="54" t="str">
        <f t="shared" si="7"/>
        <v>容积率</v>
      </c>
      <c r="AA11" s="764">
        <f t="shared" si="3"/>
        <v>1.0204081632653061</v>
      </c>
      <c r="AB11" s="764">
        <f t="shared" si="4"/>
        <v>1.1111111111111112</v>
      </c>
      <c r="AC11" s="764">
        <f t="shared" si="5"/>
        <v>1.0638297872340425</v>
      </c>
    </row>
    <row r="12" spans="1:29" s="110" customFormat="1" ht="15" hidden="1">
      <c r="A12" s="422"/>
      <c r="B12" s="2590"/>
      <c r="C12" s="423"/>
      <c r="D12" s="424">
        <v>100</v>
      </c>
      <c r="E12" s="423"/>
      <c r="F12" s="416">
        <f>SUMIF(70:70,E12,71:71)-SUMIF(70:70,C12,71:71)+100</f>
        <v>100</v>
      </c>
      <c r="G12" s="423"/>
      <c r="H12" s="127">
        <f>SUMIF(70:70,G12,71:71)-SUMIF(70:70,C12,71:71)+100</f>
        <v>100</v>
      </c>
      <c r="I12" s="423"/>
      <c r="J12" s="127">
        <f>SUMIF(70:70,I12,71:71)-SUMIF(70:70,C12,71:71)+100</f>
        <v>100</v>
      </c>
      <c r="K12" s="2591"/>
      <c r="L12" s="1120"/>
      <c r="M12" s="1121"/>
      <c r="N12" s="1121"/>
      <c r="O12" s="1121"/>
      <c r="P12" s="3309"/>
      <c r="Q12" s="1782">
        <f t="shared" si="6"/>
        <v>0</v>
      </c>
      <c r="R12" s="761" t="s">
        <v>21</v>
      </c>
      <c r="S12" s="762">
        <f t="shared" si="0"/>
        <v>100</v>
      </c>
      <c r="T12" s="761" t="s">
        <v>21</v>
      </c>
      <c r="U12" s="762">
        <f t="shared" si="1"/>
        <v>100</v>
      </c>
      <c r="V12" s="761" t="s">
        <v>21</v>
      </c>
      <c r="W12" s="762">
        <f t="shared" si="2"/>
        <v>100</v>
      </c>
      <c r="X12" s="763"/>
      <c r="Y12" s="3145"/>
      <c r="Z12" s="54">
        <f t="shared" si="7"/>
        <v>0</v>
      </c>
      <c r="AA12" s="764">
        <f>D12/F12</f>
        <v>1</v>
      </c>
      <c r="AB12" s="764">
        <f>D12/H12</f>
        <v>1</v>
      </c>
      <c r="AC12" s="764">
        <f>D12/J12</f>
        <v>1</v>
      </c>
    </row>
    <row r="13" spans="1:29" ht="15" hidden="1">
      <c r="A13" s="419"/>
      <c r="B13" s="2590"/>
      <c r="C13" s="425"/>
      <c r="D13" s="426">
        <v>100</v>
      </c>
      <c r="E13" s="425"/>
      <c r="F13" s="416">
        <f>SUMIF(72:72,E13,73:73)-SUMIF(72:72,C13,73:73)+100</f>
        <v>100</v>
      </c>
      <c r="G13" s="425"/>
      <c r="H13" s="426">
        <f>SUMIF(72:72,G13,73:73)-SUMIF(72:72,C13,73:73)+100</f>
        <v>100</v>
      </c>
      <c r="I13" s="425"/>
      <c r="J13" s="426">
        <f>SUMIF(72:72,I13,73:73)-SUMIF(72:72,C13,73:73)+100</f>
        <v>100</v>
      </c>
      <c r="K13" s="2591"/>
      <c r="L13" s="1128"/>
      <c r="M13" s="1119"/>
      <c r="N13" s="1119"/>
      <c r="O13" s="1119"/>
      <c r="P13" s="3309"/>
      <c r="Q13" s="1782">
        <f t="shared" si="6"/>
        <v>0</v>
      </c>
      <c r="R13" s="761" t="s">
        <v>21</v>
      </c>
      <c r="S13" s="762">
        <f t="shared" si="0"/>
        <v>100</v>
      </c>
      <c r="T13" s="761" t="s">
        <v>21</v>
      </c>
      <c r="U13" s="762">
        <f t="shared" si="1"/>
        <v>100</v>
      </c>
      <c r="V13" s="761" t="s">
        <v>21</v>
      </c>
      <c r="W13" s="762">
        <f t="shared" si="2"/>
        <v>100</v>
      </c>
      <c r="X13" s="763"/>
      <c r="Y13" s="3145"/>
      <c r="Z13" s="54">
        <f t="shared" si="7"/>
        <v>0</v>
      </c>
      <c r="AA13" s="764">
        <f t="shared" si="3"/>
        <v>1</v>
      </c>
      <c r="AB13" s="764">
        <f t="shared" si="4"/>
        <v>1</v>
      </c>
      <c r="AC13" s="764">
        <f t="shared" si="5"/>
        <v>1</v>
      </c>
    </row>
    <row r="14" spans="1:29" ht="15.75" hidden="1" thickBot="1">
      <c r="A14" s="427"/>
      <c r="B14" s="2592"/>
      <c r="C14" s="428"/>
      <c r="D14" s="429">
        <v>100</v>
      </c>
      <c r="E14" s="428"/>
      <c r="F14" s="430">
        <f>SUMIF(74:74,E14,75:75)-SUMIF(74:74,C14,75:75)+100</f>
        <v>100</v>
      </c>
      <c r="G14" s="428"/>
      <c r="H14" s="429">
        <f>SUMIF(74:74,G14,75:75)-SUMIF(74:74,C14,75:75)+100</f>
        <v>100</v>
      </c>
      <c r="I14" s="428"/>
      <c r="J14" s="429">
        <f>SUMIF(74:74,I14,75:75)-SUMIF(74:74,C14,75:75)+100</f>
        <v>100</v>
      </c>
      <c r="K14" s="2591"/>
      <c r="L14" s="1128"/>
      <c r="M14" s="1119"/>
      <c r="N14" s="1119"/>
      <c r="O14" s="1119"/>
      <c r="P14" s="3309"/>
      <c r="Q14" s="1782">
        <f t="shared" si="6"/>
        <v>0</v>
      </c>
      <c r="R14" s="761" t="s">
        <v>21</v>
      </c>
      <c r="S14" s="762">
        <f t="shared" si="0"/>
        <v>100</v>
      </c>
      <c r="T14" s="761" t="s">
        <v>21</v>
      </c>
      <c r="U14" s="762">
        <f t="shared" si="1"/>
        <v>100</v>
      </c>
      <c r="V14" s="761" t="s">
        <v>21</v>
      </c>
      <c r="W14" s="762">
        <f t="shared" si="2"/>
        <v>100</v>
      </c>
      <c r="X14" s="763"/>
      <c r="Y14" s="3145"/>
      <c r="Z14" s="54">
        <f t="shared" si="7"/>
        <v>0</v>
      </c>
      <c r="AA14" s="764">
        <f t="shared" si="3"/>
        <v>1</v>
      </c>
      <c r="AB14" s="764">
        <f t="shared" si="4"/>
        <v>1</v>
      </c>
      <c r="AC14" s="764">
        <f t="shared" si="5"/>
        <v>1</v>
      </c>
    </row>
    <row r="15" spans="1:29" ht="15">
      <c r="A15" s="431" t="s">
        <v>2549</v>
      </c>
      <c r="B15" s="68" t="s">
        <v>2088</v>
      </c>
      <c r="C15" s="2593">
        <f>估价对象房地状况!C3</f>
        <v>0</v>
      </c>
      <c r="D15" s="432">
        <v>100</v>
      </c>
      <c r="E15" s="435"/>
      <c r="F15" s="432">
        <f>SUMIF(76:76,E16,77:77)-SUMIF(76:76,C16,77:77)+100</f>
        <v>100</v>
      </c>
      <c r="G15" s="433"/>
      <c r="H15" s="432">
        <f>SUMIF(76:76,G16,77:77)-SUMIF(76:76,C16,77:77)+100</f>
        <v>100</v>
      </c>
      <c r="I15" s="433"/>
      <c r="J15" s="432">
        <f>SUMIF(76:76,I16,77:77)-SUMIF(76:76,C16,77:77)+100</f>
        <v>100</v>
      </c>
      <c r="K15" s="436">
        <v>5</v>
      </c>
      <c r="L15" s="1128"/>
      <c r="M15" s="1119"/>
      <c r="N15" s="1119"/>
      <c r="O15" s="1119"/>
      <c r="P15" s="3318" t="s">
        <v>2550</v>
      </c>
      <c r="Q15" s="1797" t="str">
        <f t="shared" si="6"/>
        <v>居住社区成熟度</v>
      </c>
      <c r="R15" s="765" t="s">
        <v>21</v>
      </c>
      <c r="S15" s="766">
        <f t="shared" si="0"/>
        <v>100</v>
      </c>
      <c r="T15" s="765" t="s">
        <v>21</v>
      </c>
      <c r="U15" s="766">
        <f t="shared" si="1"/>
        <v>100</v>
      </c>
      <c r="V15" s="765" t="s">
        <v>21</v>
      </c>
      <c r="W15" s="766">
        <f t="shared" si="2"/>
        <v>100</v>
      </c>
      <c r="X15" s="1800"/>
      <c r="Y15" s="3300" t="s">
        <v>2550</v>
      </c>
      <c r="Z15" s="1801" t="str">
        <f t="shared" si="7"/>
        <v>居住社区成熟度</v>
      </c>
      <c r="AA15" s="1798">
        <f t="shared" si="3"/>
        <v>1</v>
      </c>
      <c r="AB15" s="1798">
        <f t="shared" si="4"/>
        <v>1</v>
      </c>
      <c r="AC15" s="1798">
        <f t="shared" si="5"/>
        <v>1</v>
      </c>
    </row>
    <row r="16" spans="1:29" ht="15">
      <c r="A16" s="419"/>
      <c r="B16" s="437"/>
      <c r="C16" s="438">
        <f>'土地比较法-住宅、综合'!C16</f>
        <v>0</v>
      </c>
      <c r="D16" s="439"/>
      <c r="E16" s="438">
        <f>'土地比较法-住宅、综合'!E16</f>
        <v>0</v>
      </c>
      <c r="F16" s="439"/>
      <c r="G16" s="438">
        <f>'土地比较法-住宅、综合'!G16</f>
        <v>0</v>
      </c>
      <c r="H16" s="441"/>
      <c r="I16" s="438">
        <f>'土地比较法-住宅、综合'!I16</f>
        <v>0</v>
      </c>
      <c r="J16" s="439"/>
      <c r="K16" s="2596"/>
      <c r="L16" s="1128"/>
      <c r="M16" s="1119"/>
      <c r="N16" s="1119"/>
      <c r="O16" s="1119"/>
      <c r="P16" s="3319"/>
      <c r="Q16" s="1797"/>
      <c r="R16" s="765"/>
      <c r="S16" s="766"/>
      <c r="T16" s="765"/>
      <c r="U16" s="766"/>
      <c r="V16" s="765"/>
      <c r="W16" s="766"/>
      <c r="X16" s="1800"/>
      <c r="Y16" s="3301"/>
      <c r="Z16" s="1801"/>
      <c r="AA16" s="1798">
        <v>1</v>
      </c>
      <c r="AB16" s="1798">
        <v>1</v>
      </c>
      <c r="AC16" s="1798">
        <v>1</v>
      </c>
    </row>
    <row r="17" spans="1:29" ht="15">
      <c r="A17" s="419"/>
      <c r="B17" s="442" t="s">
        <v>2094</v>
      </c>
      <c r="C17" s="2597">
        <f>估价对象房地状况!C6</f>
        <v>0</v>
      </c>
      <c r="D17" s="441">
        <v>100</v>
      </c>
      <c r="E17" s="445"/>
      <c r="F17" s="441">
        <f>SUMIF(78:78,E18,79:79)-SUMIF(78:78,C18,79:79)+100</f>
        <v>94</v>
      </c>
      <c r="G17" s="443"/>
      <c r="H17" s="446">
        <f>SUMIF(78:78,G18,79:79)-SUMIF(78:78,C18,79:79)+100</f>
        <v>97</v>
      </c>
      <c r="I17" s="443"/>
      <c r="J17" s="446">
        <f>SUMIF(78:78,I18,79:79)-SUMIF(78:78,C18,79:79)+100</f>
        <v>94</v>
      </c>
      <c r="K17" s="436">
        <v>3</v>
      </c>
      <c r="L17" s="1128"/>
      <c r="M17" s="1119"/>
      <c r="N17" s="1119"/>
      <c r="O17" s="1119"/>
      <c r="P17" s="3319"/>
      <c r="Q17" s="1797" t="str">
        <f>B17</f>
        <v>交通便捷度</v>
      </c>
      <c r="R17" s="765" t="s">
        <v>21</v>
      </c>
      <c r="S17" s="766">
        <f>F17</f>
        <v>94</v>
      </c>
      <c r="T17" s="765" t="s">
        <v>21</v>
      </c>
      <c r="U17" s="766">
        <f>H17</f>
        <v>97</v>
      </c>
      <c r="V17" s="765" t="s">
        <v>21</v>
      </c>
      <c r="W17" s="766">
        <f>J17</f>
        <v>94</v>
      </c>
      <c r="X17" s="1800"/>
      <c r="Y17" s="3301"/>
      <c r="Z17" s="1801" t="str">
        <f>Q17</f>
        <v>交通便捷度</v>
      </c>
      <c r="AA17" s="1798">
        <f t="shared" si="3"/>
        <v>1.0638297872340425</v>
      </c>
      <c r="AB17" s="1798">
        <f t="shared" si="4"/>
        <v>1.0309278350515463</v>
      </c>
      <c r="AC17" s="1798">
        <f t="shared" si="5"/>
        <v>1.0638297872340425</v>
      </c>
    </row>
    <row r="18" spans="1:29" ht="15">
      <c r="A18" s="419"/>
      <c r="B18" s="447"/>
      <c r="C18" s="438" t="str">
        <f>'土地比较法-住宅、综合'!C22</f>
        <v>较好</v>
      </c>
      <c r="D18" s="441"/>
      <c r="E18" s="438" t="str">
        <f>'土地比较法-住宅、综合'!E18</f>
        <v>较差</v>
      </c>
      <c r="F18" s="441"/>
      <c r="G18" s="438" t="str">
        <f>'土地比较法-住宅、综合'!G18</f>
        <v>一般</v>
      </c>
      <c r="H18" s="439"/>
      <c r="I18" s="438" t="str">
        <f>'土地比较法-住宅、综合'!I18</f>
        <v>较差</v>
      </c>
      <c r="J18" s="439"/>
      <c r="K18" s="2596"/>
      <c r="L18" s="1128"/>
      <c r="M18" s="1119"/>
      <c r="N18" s="1119"/>
      <c r="O18" s="1119"/>
      <c r="P18" s="3319"/>
      <c r="Q18" s="1797"/>
      <c r="R18" s="765"/>
      <c r="S18" s="766"/>
      <c r="T18" s="765"/>
      <c r="U18" s="766"/>
      <c r="V18" s="765"/>
      <c r="W18" s="766"/>
      <c r="X18" s="1800"/>
      <c r="Y18" s="3301"/>
      <c r="Z18" s="1801"/>
      <c r="AA18" s="1798">
        <v>1</v>
      </c>
      <c r="AB18" s="1798">
        <v>1</v>
      </c>
      <c r="AC18" s="1798">
        <v>1</v>
      </c>
    </row>
    <row r="19" spans="1:29" ht="15">
      <c r="A19" s="419"/>
      <c r="B19" s="442" t="s">
        <v>2093</v>
      </c>
      <c r="C19" s="2597">
        <f>估价对象房地状况!C7</f>
        <v>0</v>
      </c>
      <c r="D19" s="446">
        <v>100</v>
      </c>
      <c r="E19" s="450"/>
      <c r="F19" s="446">
        <f>SUMIF(80:80,E20,81:81)-SUMIF(80:80,C20,81:81)+100</f>
        <v>100</v>
      </c>
      <c r="G19" s="448"/>
      <c r="H19" s="441">
        <f>SUMIF(80:80,G20,81:81)-SUMIF(80:80,C20,81:81)+100</f>
        <v>100</v>
      </c>
      <c r="I19" s="448"/>
      <c r="J19" s="441">
        <f>SUMIF(80:80,I20,81:81)-SUMIF(80:80,C20,81:81)+100</f>
        <v>100</v>
      </c>
      <c r="K19" s="436">
        <v>3</v>
      </c>
      <c r="L19" s="1128"/>
      <c r="M19" s="1119"/>
      <c r="N19" s="1119"/>
      <c r="O19" s="1119"/>
      <c r="P19" s="3319"/>
      <c r="Q19" s="1797" t="str">
        <f>B19</f>
        <v>公共配套设施</v>
      </c>
      <c r="R19" s="765" t="s">
        <v>21</v>
      </c>
      <c r="S19" s="766">
        <f>F19</f>
        <v>100</v>
      </c>
      <c r="T19" s="765" t="s">
        <v>21</v>
      </c>
      <c r="U19" s="766">
        <f>H19</f>
        <v>100</v>
      </c>
      <c r="V19" s="765" t="s">
        <v>21</v>
      </c>
      <c r="W19" s="766">
        <f>J19</f>
        <v>100</v>
      </c>
      <c r="X19" s="1800"/>
      <c r="Y19" s="3301"/>
      <c r="Z19" s="1801" t="str">
        <f>Q19</f>
        <v>公共配套设施</v>
      </c>
      <c r="AA19" s="1798">
        <f t="shared" si="3"/>
        <v>1</v>
      </c>
      <c r="AB19" s="1798">
        <f t="shared" si="4"/>
        <v>1</v>
      </c>
      <c r="AC19" s="1798">
        <f t="shared" si="5"/>
        <v>1</v>
      </c>
    </row>
    <row r="20" spans="1:29" ht="15">
      <c r="A20" s="419"/>
      <c r="B20" s="447"/>
      <c r="C20" s="438" t="str">
        <f>'土地比较法-住宅、综合'!C28</f>
        <v>一般</v>
      </c>
      <c r="D20" s="439"/>
      <c r="E20" s="438" t="str">
        <f>'土地比较法-住宅、综合'!E28</f>
        <v>一般</v>
      </c>
      <c r="F20" s="439"/>
      <c r="G20" s="438" t="str">
        <f>'土地比较法-住宅、综合'!G28</f>
        <v>一般</v>
      </c>
      <c r="H20" s="439"/>
      <c r="I20" s="438" t="str">
        <f>'土地比较法-住宅、综合'!I28</f>
        <v>一般</v>
      </c>
      <c r="J20" s="439"/>
      <c r="K20" s="2596"/>
      <c r="L20" s="1128"/>
      <c r="M20" s="1119"/>
      <c r="N20" s="1119"/>
      <c r="O20" s="1119"/>
      <c r="P20" s="3319"/>
      <c r="Q20" s="1797"/>
      <c r="R20" s="765"/>
      <c r="S20" s="766"/>
      <c r="T20" s="765"/>
      <c r="U20" s="766"/>
      <c r="V20" s="765"/>
      <c r="W20" s="766"/>
      <c r="X20" s="1800"/>
      <c r="Y20" s="3301"/>
      <c r="Z20" s="1801"/>
      <c r="AA20" s="1798">
        <v>1</v>
      </c>
      <c r="AB20" s="1798">
        <v>1</v>
      </c>
      <c r="AC20" s="1798">
        <v>1</v>
      </c>
    </row>
    <row r="21" spans="1:29" ht="15">
      <c r="A21" s="419"/>
      <c r="B21" s="1372" t="s">
        <v>2095</v>
      </c>
      <c r="C21" s="2597">
        <f>估价对象房地状况!C8</f>
        <v>0</v>
      </c>
      <c r="D21" s="441">
        <v>100</v>
      </c>
      <c r="E21" s="450"/>
      <c r="F21" s="446">
        <f>SUMIF(82:82,E22,83:83)-SUMIF(82:82,C22,83:83)+100</f>
        <v>100</v>
      </c>
      <c r="G21" s="448"/>
      <c r="H21" s="441">
        <f>SUMIF(82:82,G22,83:83)-SUMIF(82:82,C22,83:83)+100</f>
        <v>100</v>
      </c>
      <c r="I21" s="448"/>
      <c r="J21" s="441">
        <f>SUMIF(82:82,I22,83:83)-SUMIF(82:82,C22,83:83)+100</f>
        <v>100</v>
      </c>
      <c r="K21" s="436">
        <v>5</v>
      </c>
      <c r="L21" s="1128"/>
      <c r="M21" s="1119"/>
      <c r="N21" s="1119"/>
      <c r="O21" s="1119"/>
      <c r="P21" s="3319"/>
      <c r="Q21" s="1797" t="str">
        <f>B21</f>
        <v>基础设施水平</v>
      </c>
      <c r="R21" s="765" t="s">
        <v>17</v>
      </c>
      <c r="S21" s="766">
        <f>F21</f>
        <v>100</v>
      </c>
      <c r="T21" s="765" t="s">
        <v>17</v>
      </c>
      <c r="U21" s="766">
        <f>H21</f>
        <v>100</v>
      </c>
      <c r="V21" s="765" t="s">
        <v>17</v>
      </c>
      <c r="W21" s="766">
        <f>J21</f>
        <v>100</v>
      </c>
      <c r="X21" s="1800"/>
      <c r="Y21" s="3301"/>
      <c r="Z21" s="1801" t="str">
        <f>Q21</f>
        <v>基础设施水平</v>
      </c>
      <c r="AA21" s="1798">
        <f t="shared" ref="AA21" si="8">D21/F21</f>
        <v>1</v>
      </c>
      <c r="AB21" s="1798">
        <f t="shared" ref="AB21" si="9">D21/H21</f>
        <v>1</v>
      </c>
      <c r="AC21" s="1798">
        <f t="shared" ref="AC21" si="10">D21/J21</f>
        <v>1</v>
      </c>
    </row>
    <row r="22" spans="1:29" ht="15">
      <c r="A22" s="419"/>
      <c r="B22" s="1372"/>
      <c r="C22" s="2598" t="s">
        <v>3173</v>
      </c>
      <c r="D22" s="439"/>
      <c r="E22" s="2598" t="s">
        <v>3173</v>
      </c>
      <c r="F22" s="439"/>
      <c r="G22" s="2598" t="s">
        <v>3173</v>
      </c>
      <c r="H22" s="439"/>
      <c r="I22" s="2598" t="s">
        <v>3173</v>
      </c>
      <c r="J22" s="439"/>
      <c r="K22" s="2602"/>
      <c r="L22" s="1128"/>
      <c r="M22" s="1119"/>
      <c r="N22" s="1119"/>
      <c r="O22" s="1119"/>
      <c r="P22" s="3319"/>
      <c r="Q22" s="1797"/>
      <c r="R22" s="765"/>
      <c r="S22" s="766"/>
      <c r="T22" s="765"/>
      <c r="U22" s="766"/>
      <c r="V22" s="765"/>
      <c r="W22" s="766"/>
      <c r="X22" s="1800"/>
      <c r="Y22" s="3301"/>
      <c r="Z22" s="1801"/>
      <c r="AA22" s="1798">
        <v>1</v>
      </c>
      <c r="AB22" s="1798">
        <v>1</v>
      </c>
      <c r="AC22" s="1798">
        <v>1</v>
      </c>
    </row>
    <row r="23" spans="1:29" ht="15">
      <c r="A23" s="419"/>
      <c r="B23" s="442" t="s">
        <v>2097</v>
      </c>
      <c r="C23" s="2597">
        <f>估价对象房地状况!C9</f>
        <v>0</v>
      </c>
      <c r="D23" s="441">
        <v>100</v>
      </c>
      <c r="E23" s="445"/>
      <c r="F23" s="441">
        <f>SUMIF(84:84,E24,85:85)-SUMIF(84:84,C24,85:85)+100</f>
        <v>100</v>
      </c>
      <c r="G23" s="443"/>
      <c r="H23" s="441">
        <f>SUMIF(84:84,G24,85:85)-SUMIF(84:84,C24,85:85)+100</f>
        <v>100</v>
      </c>
      <c r="I23" s="443"/>
      <c r="J23" s="441">
        <f>SUMIF(84:84,I24,85:85)-SUMIF(84:84,C24,85:85)+100</f>
        <v>100</v>
      </c>
      <c r="K23" s="436">
        <v>4</v>
      </c>
      <c r="L23" s="1128"/>
      <c r="M23" s="1119"/>
      <c r="N23" s="1119"/>
      <c r="O23" s="1119"/>
      <c r="P23" s="3319"/>
      <c r="Q23" s="1797" t="str">
        <f>B23</f>
        <v>自然及人文环境</v>
      </c>
      <c r="R23" s="765" t="s">
        <v>21</v>
      </c>
      <c r="S23" s="766">
        <f>F23</f>
        <v>100</v>
      </c>
      <c r="T23" s="765" t="s">
        <v>21</v>
      </c>
      <c r="U23" s="766">
        <f>H23</f>
        <v>100</v>
      </c>
      <c r="V23" s="765" t="s">
        <v>21</v>
      </c>
      <c r="W23" s="766">
        <f>J23</f>
        <v>100</v>
      </c>
      <c r="X23" s="1800"/>
      <c r="Y23" s="3301"/>
      <c r="Z23" s="1801" t="str">
        <f>Q23</f>
        <v>自然及人文环境</v>
      </c>
      <c r="AA23" s="1798">
        <f>D23/F23</f>
        <v>1</v>
      </c>
      <c r="AB23" s="1798">
        <f>D23/H23</f>
        <v>1</v>
      </c>
      <c r="AC23" s="1798">
        <f>D23/J23</f>
        <v>1</v>
      </c>
    </row>
    <row r="24" spans="1:29" ht="15.75" thickBot="1">
      <c r="A24" s="419"/>
      <c r="B24" s="447"/>
      <c r="C24" s="438" t="str">
        <f>'土地比较法-住宅、综合'!C26</f>
        <v>较好</v>
      </c>
      <c r="D24" s="439"/>
      <c r="E24" s="438" t="s">
        <v>3075</v>
      </c>
      <c r="F24" s="439"/>
      <c r="G24" s="438" t="s">
        <v>3075</v>
      </c>
      <c r="H24" s="439"/>
      <c r="I24" s="438" t="s">
        <v>3075</v>
      </c>
      <c r="J24" s="439"/>
      <c r="K24" s="2596"/>
      <c r="L24" s="1128"/>
      <c r="M24" s="1119"/>
      <c r="N24" s="1119"/>
      <c r="O24" s="1119"/>
      <c r="P24" s="3319"/>
      <c r="Q24" s="1797"/>
      <c r="R24" s="765"/>
      <c r="S24" s="766"/>
      <c r="T24" s="765"/>
      <c r="U24" s="766"/>
      <c r="V24" s="765"/>
      <c r="W24" s="766"/>
      <c r="X24" s="1800"/>
      <c r="Y24" s="3301"/>
      <c r="Z24" s="1801"/>
      <c r="AA24" s="1798">
        <v>1</v>
      </c>
      <c r="AB24" s="1798">
        <v>1</v>
      </c>
      <c r="AC24" s="1798">
        <v>1</v>
      </c>
    </row>
    <row r="25" spans="1:29" ht="15" hidden="1">
      <c r="A25" s="419"/>
      <c r="B25" s="413" t="s">
        <v>2551</v>
      </c>
      <c r="C25" s="451"/>
      <c r="D25" s="426">
        <v>100</v>
      </c>
      <c r="E25" s="2603"/>
      <c r="F25" s="426">
        <f>SUMIF(86:86,E25,87:87)-SUMIF(86:86,C25,87:87)+100</f>
        <v>100</v>
      </c>
      <c r="G25" s="2604"/>
      <c r="H25" s="426">
        <f>SUMIF(86:86,G25,87:87)-SUMIF(86:86,C25,87:87)+100</f>
        <v>100</v>
      </c>
      <c r="I25" s="2604"/>
      <c r="J25" s="426">
        <f>SUMIF(86:86,I25,87:87)-SUMIF(86:86,C25,87:87)+100</f>
        <v>100</v>
      </c>
      <c r="K25" s="417"/>
      <c r="L25" s="1128"/>
      <c r="M25" s="1119"/>
      <c r="N25" s="1119"/>
      <c r="O25" s="1119"/>
      <c r="P25" s="3319"/>
      <c r="Q25" s="1797" t="str">
        <f t="shared" ref="Q25:Q46" si="11">B25</f>
        <v>楼层-1</v>
      </c>
      <c r="R25" s="765" t="s">
        <v>21</v>
      </c>
      <c r="S25" s="766">
        <f t="shared" ref="S25:S46" si="12">F25</f>
        <v>100</v>
      </c>
      <c r="T25" s="765" t="s">
        <v>21</v>
      </c>
      <c r="U25" s="766">
        <f t="shared" ref="U25:U46" si="13">H25</f>
        <v>100</v>
      </c>
      <c r="V25" s="765" t="s">
        <v>21</v>
      </c>
      <c r="W25" s="766">
        <f t="shared" ref="W25:W46" si="14">J25</f>
        <v>100</v>
      </c>
      <c r="X25" s="1800"/>
      <c r="Y25" s="3301"/>
      <c r="Z25" s="1801" t="str">
        <f>Q25</f>
        <v>楼层-1</v>
      </c>
      <c r="AA25" s="1798">
        <f t="shared" ref="AA25:AA46" si="15">D25/F25</f>
        <v>1</v>
      </c>
      <c r="AB25" s="1798">
        <f t="shared" ref="AB25:AB46" si="16">D25/H25</f>
        <v>1</v>
      </c>
      <c r="AC25" s="1798">
        <f t="shared" ref="AC25:AC46" si="17">D25/J25</f>
        <v>1</v>
      </c>
    </row>
    <row r="26" spans="1:29" ht="15.75" hidden="1" thickBot="1">
      <c r="A26" s="419"/>
      <c r="B26" s="413" t="s">
        <v>2552</v>
      </c>
      <c r="C26" s="451"/>
      <c r="D26" s="426">
        <v>100</v>
      </c>
      <c r="E26" s="2603"/>
      <c r="F26" s="426">
        <f>SUMIF(88:88,E26,89:89)-SUMIF(88:88,C26,89:89)+100</f>
        <v>100</v>
      </c>
      <c r="G26" s="2604"/>
      <c r="H26" s="426">
        <f>SUMIF(88:88,G26,89:89)-SUMIF(88:88,C26,89:89)+100</f>
        <v>100</v>
      </c>
      <c r="I26" s="2604"/>
      <c r="J26" s="426">
        <f>SUMIF(88:88,I26,89:89)-SUMIF(88:88,C26,89:89)+100</f>
        <v>100</v>
      </c>
      <c r="K26" s="417"/>
      <c r="L26" s="1128"/>
      <c r="M26" s="1119"/>
      <c r="N26" s="1119"/>
      <c r="O26" s="1119"/>
      <c r="P26" s="3319"/>
      <c r="Q26" s="1797" t="str">
        <f t="shared" si="11"/>
        <v>朝向</v>
      </c>
      <c r="R26" s="765" t="s">
        <v>21</v>
      </c>
      <c r="S26" s="766">
        <f t="shared" si="12"/>
        <v>100</v>
      </c>
      <c r="T26" s="765" t="s">
        <v>21</v>
      </c>
      <c r="U26" s="766">
        <f t="shared" si="13"/>
        <v>100</v>
      </c>
      <c r="V26" s="765" t="s">
        <v>21</v>
      </c>
      <c r="W26" s="766">
        <f t="shared" si="14"/>
        <v>100</v>
      </c>
      <c r="X26" s="1800"/>
      <c r="Y26" s="3301"/>
      <c r="Z26" s="1801" t="str">
        <f>Q26</f>
        <v>朝向</v>
      </c>
      <c r="AA26" s="1798">
        <f t="shared" si="15"/>
        <v>1</v>
      </c>
      <c r="AB26" s="1798">
        <f t="shared" si="16"/>
        <v>1</v>
      </c>
      <c r="AC26" s="1798">
        <f t="shared" si="17"/>
        <v>1</v>
      </c>
    </row>
    <row r="27" spans="1:29" s="110" customFormat="1" ht="15" hidden="1">
      <c r="A27" s="422"/>
      <c r="B27" s="1374"/>
      <c r="C27" s="423"/>
      <c r="D27" s="453">
        <v>100</v>
      </c>
      <c r="E27" s="456"/>
      <c r="F27" s="453">
        <f>SUMIF(90:90,E27,91:91)-SUMIF(90:90,C27,91:91)+100</f>
        <v>100</v>
      </c>
      <c r="G27" s="454"/>
      <c r="H27" s="453">
        <f>SUMIF(90:90,G27,91:91)-SUMIF(90:90,C27,91:91)+100</f>
        <v>100</v>
      </c>
      <c r="I27" s="454"/>
      <c r="J27" s="453">
        <f>SUMIF(90:90,I27,91:91)-SUMIF(90:90,C27,91:91)+100</f>
        <v>100</v>
      </c>
      <c r="K27" s="2591"/>
      <c r="L27" s="1120"/>
      <c r="M27" s="1121"/>
      <c r="N27" s="1121"/>
      <c r="O27" s="1121"/>
      <c r="P27" s="3319"/>
      <c r="Q27" s="1782">
        <f t="shared" si="11"/>
        <v>0</v>
      </c>
      <c r="R27" s="761" t="s">
        <v>21</v>
      </c>
      <c r="S27" s="762">
        <f t="shared" si="12"/>
        <v>100</v>
      </c>
      <c r="T27" s="761" t="s">
        <v>21</v>
      </c>
      <c r="U27" s="762">
        <f t="shared" si="13"/>
        <v>100</v>
      </c>
      <c r="V27" s="761" t="s">
        <v>21</v>
      </c>
      <c r="W27" s="762">
        <f t="shared" si="14"/>
        <v>100</v>
      </c>
      <c r="X27" s="763"/>
      <c r="Y27" s="3301"/>
      <c r="Z27" s="54">
        <f>Q27</f>
        <v>0</v>
      </c>
      <c r="AA27" s="1798">
        <f t="shared" si="15"/>
        <v>1</v>
      </c>
      <c r="AB27" s="1798">
        <f t="shared" si="16"/>
        <v>1</v>
      </c>
      <c r="AC27" s="1798">
        <f t="shared" si="17"/>
        <v>1</v>
      </c>
    </row>
    <row r="28" spans="1:29" ht="15" hidden="1">
      <c r="A28" s="419"/>
      <c r="B28" s="1374"/>
      <c r="C28" s="425"/>
      <c r="D28" s="426">
        <v>100</v>
      </c>
      <c r="E28" s="425"/>
      <c r="F28" s="426">
        <f>SUMIF(92:92,E28,93:93)-SUMIF(92:92,C28,93:93)+100</f>
        <v>100</v>
      </c>
      <c r="G28" s="2605"/>
      <c r="H28" s="426">
        <f>SUMIF(92:92,G28,93:93)-SUMIF(92:92,C28,93:93)+100</f>
        <v>100</v>
      </c>
      <c r="I28" s="425"/>
      <c r="J28" s="426">
        <f>SUMIF(92:92,I28,93:93)-SUMIF(92:92,C28,93:93)+100</f>
        <v>100</v>
      </c>
      <c r="K28" s="2591"/>
      <c r="L28" s="1128"/>
      <c r="M28" s="1119"/>
      <c r="N28" s="1119"/>
      <c r="O28" s="1119"/>
      <c r="P28" s="3319"/>
      <c r="Q28" s="1797">
        <f t="shared" si="11"/>
        <v>0</v>
      </c>
      <c r="R28" s="765" t="s">
        <v>21</v>
      </c>
      <c r="S28" s="766">
        <f t="shared" si="12"/>
        <v>100</v>
      </c>
      <c r="T28" s="765" t="s">
        <v>21</v>
      </c>
      <c r="U28" s="766">
        <f t="shared" si="13"/>
        <v>100</v>
      </c>
      <c r="V28" s="765" t="s">
        <v>21</v>
      </c>
      <c r="W28" s="766">
        <f t="shared" si="14"/>
        <v>100</v>
      </c>
      <c r="X28" s="1800"/>
      <c r="Y28" s="3301"/>
      <c r="Z28" s="1801">
        <f t="shared" ref="Z28:Z46" si="18">Q28</f>
        <v>0</v>
      </c>
      <c r="AA28" s="1798">
        <f t="shared" si="15"/>
        <v>1</v>
      </c>
      <c r="AB28" s="1798">
        <f t="shared" si="16"/>
        <v>1</v>
      </c>
      <c r="AC28" s="1798">
        <f t="shared" si="17"/>
        <v>1</v>
      </c>
    </row>
    <row r="29" spans="1:29" ht="15" hidden="1">
      <c r="A29" s="419"/>
      <c r="B29" s="1374"/>
      <c r="C29" s="425"/>
      <c r="D29" s="426">
        <v>100</v>
      </c>
      <c r="E29" s="425"/>
      <c r="F29" s="426">
        <f>SUMIF(94:94,E29,95:95)-SUMIF(94:94,C29,95:95)+100</f>
        <v>100</v>
      </c>
      <c r="G29" s="2605"/>
      <c r="H29" s="426">
        <f>SUMIF(94:94,G29,95:95)-SUMIF(94:94,C29,95:95)+100</f>
        <v>100</v>
      </c>
      <c r="I29" s="425"/>
      <c r="J29" s="426">
        <f>SUMIF(94:94,I29,95:95)-SUMIF(94:94,C29,95:95)+100</f>
        <v>100</v>
      </c>
      <c r="K29" s="2591"/>
      <c r="L29" s="1128"/>
      <c r="M29" s="1119"/>
      <c r="N29" s="1119"/>
      <c r="O29" s="1119"/>
      <c r="P29" s="3319"/>
      <c r="Q29" s="1797">
        <f t="shared" si="11"/>
        <v>0</v>
      </c>
      <c r="R29" s="765" t="s">
        <v>21</v>
      </c>
      <c r="S29" s="766">
        <f t="shared" si="12"/>
        <v>100</v>
      </c>
      <c r="T29" s="765" t="s">
        <v>21</v>
      </c>
      <c r="U29" s="766">
        <f t="shared" si="13"/>
        <v>100</v>
      </c>
      <c r="V29" s="765" t="s">
        <v>21</v>
      </c>
      <c r="W29" s="766">
        <f t="shared" si="14"/>
        <v>100</v>
      </c>
      <c r="X29" s="1800"/>
      <c r="Y29" s="3301"/>
      <c r="Z29" s="1801">
        <f t="shared" si="18"/>
        <v>0</v>
      </c>
      <c r="AA29" s="1798">
        <f t="shared" si="15"/>
        <v>1</v>
      </c>
      <c r="AB29" s="1798">
        <f t="shared" si="16"/>
        <v>1</v>
      </c>
      <c r="AC29" s="1798">
        <f t="shared" si="17"/>
        <v>1</v>
      </c>
    </row>
    <row r="30" spans="1:29" ht="15" hidden="1">
      <c r="A30" s="419"/>
      <c r="B30" s="1374"/>
      <c r="C30" s="425"/>
      <c r="D30" s="426">
        <v>100</v>
      </c>
      <c r="E30" s="425"/>
      <c r="F30" s="426">
        <f>SUMIF(96:96,E30,97:97)-SUMIF(96:96,C30,97:97)+100</f>
        <v>100</v>
      </c>
      <c r="G30" s="2605"/>
      <c r="H30" s="426">
        <f>SUMIF(96:96,G30,97:97)-SUMIF(96:96,C30,97:97)+100</f>
        <v>100</v>
      </c>
      <c r="I30" s="425"/>
      <c r="J30" s="426">
        <f>SUMIF(96:96,I30,97:97)-SUMIF(96:96,C30,97:97)+100</f>
        <v>100</v>
      </c>
      <c r="K30" s="2591"/>
      <c r="L30" s="1128"/>
      <c r="M30" s="1119"/>
      <c r="N30" s="1119"/>
      <c r="O30" s="1119"/>
      <c r="P30" s="3319"/>
      <c r="Q30" s="1797">
        <f t="shared" si="11"/>
        <v>0</v>
      </c>
      <c r="R30" s="765" t="s">
        <v>21</v>
      </c>
      <c r="S30" s="766">
        <f t="shared" si="12"/>
        <v>100</v>
      </c>
      <c r="T30" s="765" t="s">
        <v>21</v>
      </c>
      <c r="U30" s="766">
        <f t="shared" si="13"/>
        <v>100</v>
      </c>
      <c r="V30" s="765" t="s">
        <v>21</v>
      </c>
      <c r="W30" s="766">
        <f t="shared" si="14"/>
        <v>100</v>
      </c>
      <c r="X30" s="1800"/>
      <c r="Y30" s="3301"/>
      <c r="Z30" s="1801">
        <f t="shared" si="18"/>
        <v>0</v>
      </c>
      <c r="AA30" s="1798">
        <f t="shared" si="15"/>
        <v>1</v>
      </c>
      <c r="AB30" s="1798">
        <f t="shared" si="16"/>
        <v>1</v>
      </c>
      <c r="AC30" s="1798">
        <f t="shared" si="17"/>
        <v>1</v>
      </c>
    </row>
    <row r="31" spans="1:29" ht="15.75" hidden="1" thickBot="1">
      <c r="A31" s="427"/>
      <c r="B31" s="1374"/>
      <c r="C31" s="428"/>
      <c r="D31" s="429">
        <v>100</v>
      </c>
      <c r="E31" s="428"/>
      <c r="F31" s="429">
        <f>SUMIF(98:98,E31,99:99)-SUMIF(98:98,C31,99:99)+100</f>
        <v>100</v>
      </c>
      <c r="G31" s="2606"/>
      <c r="H31" s="429">
        <f>SUMIF(98:98,G31,99:99)-SUMIF(98:98,C31,99:99)+100</f>
        <v>100</v>
      </c>
      <c r="I31" s="428"/>
      <c r="J31" s="429">
        <f>SUMIF(98:98,I31,99:99)-SUMIF(98:98,C31,99:99)+100</f>
        <v>100</v>
      </c>
      <c r="K31" s="2591"/>
      <c r="L31" s="1128"/>
      <c r="M31" s="1119"/>
      <c r="N31" s="1119"/>
      <c r="O31" s="1119"/>
      <c r="P31" s="3319"/>
      <c r="Q31" s="1797">
        <f t="shared" si="11"/>
        <v>0</v>
      </c>
      <c r="R31" s="765" t="s">
        <v>21</v>
      </c>
      <c r="S31" s="766">
        <f t="shared" si="12"/>
        <v>100</v>
      </c>
      <c r="T31" s="765" t="s">
        <v>21</v>
      </c>
      <c r="U31" s="766">
        <f t="shared" si="13"/>
        <v>100</v>
      </c>
      <c r="V31" s="765" t="s">
        <v>21</v>
      </c>
      <c r="W31" s="766">
        <f t="shared" si="14"/>
        <v>100</v>
      </c>
      <c r="X31" s="1800"/>
      <c r="Y31" s="3301"/>
      <c r="Z31" s="1801">
        <f t="shared" si="18"/>
        <v>0</v>
      </c>
      <c r="AA31" s="1798">
        <f t="shared" si="15"/>
        <v>1</v>
      </c>
      <c r="AB31" s="1798">
        <f t="shared" si="16"/>
        <v>1</v>
      </c>
      <c r="AC31" s="1798">
        <f t="shared" si="17"/>
        <v>1</v>
      </c>
    </row>
    <row r="32" spans="1:29" ht="15">
      <c r="A32" s="431" t="s">
        <v>2553</v>
      </c>
      <c r="B32" s="70" t="s">
        <v>2554</v>
      </c>
      <c r="C32" s="2607" t="s">
        <v>3082</v>
      </c>
      <c r="D32" s="458">
        <v>100</v>
      </c>
      <c r="E32" s="2607" t="s">
        <v>3082</v>
      </c>
      <c r="F32" s="452">
        <f>SUMIF(100:100,E32,101:101)-SUMIF(100:100,C32,101:101)+100</f>
        <v>100</v>
      </c>
      <c r="G32" s="2607" t="s">
        <v>3082</v>
      </c>
      <c r="H32" s="458">
        <f>SUMIF(100:100,G32,101:101)-SUMIF(100:100,C32,101:101)+100</f>
        <v>100</v>
      </c>
      <c r="I32" s="2607" t="s">
        <v>3082</v>
      </c>
      <c r="J32" s="426">
        <f>SUMIF(100:100,I32,101:101)-SUMIF(100:100,C32,101:101)+100</f>
        <v>100</v>
      </c>
      <c r="K32" s="417">
        <v>10</v>
      </c>
      <c r="L32" s="1128"/>
      <c r="M32" s="1119"/>
      <c r="N32" s="1119"/>
      <c r="O32" s="1119"/>
      <c r="P32" s="3314" t="s">
        <v>2555</v>
      </c>
      <c r="Q32" s="1797" t="str">
        <f t="shared" si="11"/>
        <v>建筑类型</v>
      </c>
      <c r="R32" s="765" t="s">
        <v>21</v>
      </c>
      <c r="S32" s="766">
        <f t="shared" si="12"/>
        <v>100</v>
      </c>
      <c r="T32" s="765" t="s">
        <v>21</v>
      </c>
      <c r="U32" s="766">
        <f t="shared" si="13"/>
        <v>100</v>
      </c>
      <c r="V32" s="765" t="s">
        <v>21</v>
      </c>
      <c r="W32" s="766">
        <f t="shared" si="14"/>
        <v>100</v>
      </c>
      <c r="X32" s="1800"/>
      <c r="Y32" s="3303" t="s">
        <v>2555</v>
      </c>
      <c r="Z32" s="1801" t="str">
        <f t="shared" si="18"/>
        <v>建筑类型</v>
      </c>
      <c r="AA32" s="1798">
        <f t="shared" si="15"/>
        <v>1</v>
      </c>
      <c r="AB32" s="1798">
        <f t="shared" si="16"/>
        <v>1</v>
      </c>
      <c r="AC32" s="1798">
        <f t="shared" si="17"/>
        <v>1</v>
      </c>
    </row>
    <row r="33" spans="1:29" s="462" customFormat="1" ht="15">
      <c r="A33" s="459"/>
      <c r="B33" s="413" t="s">
        <v>2556</v>
      </c>
      <c r="C33" s="460">
        <f>'数据-基础表'!B3</f>
        <v>435533.89</v>
      </c>
      <c r="D33" s="127">
        <v>100</v>
      </c>
      <c r="E33" s="421">
        <v>211433.9</v>
      </c>
      <c r="F33" s="416">
        <f>LOOKUP(E33,103:103,104:104)-LOOKUP(C33,103:103,104:104)+100</f>
        <v>98</v>
      </c>
      <c r="G33" s="420">
        <v>480000</v>
      </c>
      <c r="H33" s="127">
        <f>LOOKUP(G33,103:103,104:104)-LOOKUP(C33,103:103,104:104)+100</f>
        <v>100</v>
      </c>
      <c r="I33" s="421">
        <v>517886</v>
      </c>
      <c r="J33" s="127">
        <f>LOOKUP(I33,103:103,104:104)-LOOKUP(C33,103:103,104:104)+100</f>
        <v>100</v>
      </c>
      <c r="K33" s="2591"/>
      <c r="L33" s="1126"/>
      <c r="M33" s="1129"/>
      <c r="N33" s="1129"/>
      <c r="O33" s="1129"/>
      <c r="P33" s="3315"/>
      <c r="Q33" s="767" t="str">
        <f t="shared" si="11"/>
        <v>项目建筑规模</v>
      </c>
      <c r="R33" s="768" t="s">
        <v>21</v>
      </c>
      <c r="S33" s="769">
        <f t="shared" si="12"/>
        <v>98</v>
      </c>
      <c r="T33" s="768" t="s">
        <v>21</v>
      </c>
      <c r="U33" s="769">
        <f t="shared" si="13"/>
        <v>100</v>
      </c>
      <c r="V33" s="768" t="s">
        <v>21</v>
      </c>
      <c r="W33" s="769">
        <f t="shared" si="14"/>
        <v>100</v>
      </c>
      <c r="X33" s="770"/>
      <c r="Y33" s="3303"/>
      <c r="Z33" s="771" t="str">
        <f t="shared" si="18"/>
        <v>项目建筑规模</v>
      </c>
      <c r="AA33" s="1798">
        <f t="shared" si="15"/>
        <v>1.0204081632653061</v>
      </c>
      <c r="AB33" s="1798">
        <f t="shared" si="16"/>
        <v>1</v>
      </c>
      <c r="AC33" s="1798">
        <f t="shared" si="17"/>
        <v>1</v>
      </c>
    </row>
    <row r="34" spans="1:29" ht="15">
      <c r="A34" s="463"/>
      <c r="B34" s="413" t="s">
        <v>2557</v>
      </c>
      <c r="C34" s="2608" t="s">
        <v>3106</v>
      </c>
      <c r="D34" s="426">
        <v>100</v>
      </c>
      <c r="E34" s="2608" t="s">
        <v>3106</v>
      </c>
      <c r="F34" s="452">
        <f>SUMIF(105:105,E34,106:106)-SUMIF(105:105,C34,106:106)+100</f>
        <v>100</v>
      </c>
      <c r="G34" s="2608" t="s">
        <v>3106</v>
      </c>
      <c r="H34" s="426">
        <f>SUMIF(105:105,G34,106:106)-SUMIF(105:105,C34,106:106)+100</f>
        <v>100</v>
      </c>
      <c r="I34" s="2608" t="s">
        <v>3106</v>
      </c>
      <c r="J34" s="426">
        <f>SUMIF(105:105,I34,106:106)-SUMIF(105:105,C34,106:106)+100</f>
        <v>100</v>
      </c>
      <c r="K34" s="417">
        <v>2</v>
      </c>
      <c r="L34" s="1128"/>
      <c r="M34" s="1119"/>
      <c r="N34" s="1119"/>
      <c r="O34" s="1119"/>
      <c r="P34" s="3315"/>
      <c r="Q34" s="1797" t="str">
        <f t="shared" si="11"/>
        <v>建筑结构</v>
      </c>
      <c r="R34" s="765" t="s">
        <v>21</v>
      </c>
      <c r="S34" s="766">
        <f t="shared" si="12"/>
        <v>100</v>
      </c>
      <c r="T34" s="765" t="s">
        <v>21</v>
      </c>
      <c r="U34" s="766">
        <f t="shared" si="13"/>
        <v>100</v>
      </c>
      <c r="V34" s="765" t="s">
        <v>21</v>
      </c>
      <c r="W34" s="766">
        <f t="shared" si="14"/>
        <v>100</v>
      </c>
      <c r="X34" s="1800"/>
      <c r="Y34" s="3303"/>
      <c r="Z34" s="1801" t="str">
        <f t="shared" si="18"/>
        <v>建筑结构</v>
      </c>
      <c r="AA34" s="1798">
        <f t="shared" si="15"/>
        <v>1</v>
      </c>
      <c r="AB34" s="1798">
        <f t="shared" si="16"/>
        <v>1</v>
      </c>
      <c r="AC34" s="1798">
        <f t="shared" si="17"/>
        <v>1</v>
      </c>
    </row>
    <row r="35" spans="1:29" ht="15">
      <c r="A35" s="463"/>
      <c r="B35" s="413" t="s">
        <v>2558</v>
      </c>
      <c r="C35" s="2603" t="s">
        <v>3107</v>
      </c>
      <c r="D35" s="426">
        <v>100</v>
      </c>
      <c r="E35" s="2603" t="s">
        <v>3107</v>
      </c>
      <c r="F35" s="452">
        <f>SUMIF(107:107,E35,108:108)-SUMIF(107:107,C35,108:108)+100</f>
        <v>100</v>
      </c>
      <c r="G35" s="2603" t="s">
        <v>3107</v>
      </c>
      <c r="H35" s="426">
        <f>SUMIF(107:107,G35,108:108)-SUMIF(107:107,C35,108:108)+100</f>
        <v>100</v>
      </c>
      <c r="I35" s="2603" t="s">
        <v>3107</v>
      </c>
      <c r="J35" s="426">
        <f>SUMIF(107:107,I35,108:108)-SUMIF(107:107,C35,108:108)+100</f>
        <v>100</v>
      </c>
      <c r="K35" s="417">
        <v>2</v>
      </c>
      <c r="L35" s="1128"/>
      <c r="M35" s="1119"/>
      <c r="N35" s="1119"/>
      <c r="O35" s="1119"/>
      <c r="P35" s="3315"/>
      <c r="Q35" s="1797" t="str">
        <f t="shared" si="11"/>
        <v>建筑品质</v>
      </c>
      <c r="R35" s="765" t="s">
        <v>21</v>
      </c>
      <c r="S35" s="766">
        <f t="shared" si="12"/>
        <v>100</v>
      </c>
      <c r="T35" s="765" t="s">
        <v>21</v>
      </c>
      <c r="U35" s="766">
        <f t="shared" si="13"/>
        <v>100</v>
      </c>
      <c r="V35" s="765" t="s">
        <v>21</v>
      </c>
      <c r="W35" s="766">
        <f t="shared" si="14"/>
        <v>100</v>
      </c>
      <c r="X35" s="1800"/>
      <c r="Y35" s="3303"/>
      <c r="Z35" s="1801" t="str">
        <f t="shared" si="18"/>
        <v>建筑品质</v>
      </c>
      <c r="AA35" s="1798">
        <f t="shared" si="15"/>
        <v>1</v>
      </c>
      <c r="AB35" s="1798">
        <f t="shared" si="16"/>
        <v>1</v>
      </c>
      <c r="AC35" s="1798">
        <f t="shared" si="17"/>
        <v>1</v>
      </c>
    </row>
    <row r="36" spans="1:29" ht="15">
      <c r="A36" s="463"/>
      <c r="B36" s="413" t="s">
        <v>2559</v>
      </c>
      <c r="C36" s="2603" t="s">
        <v>3108</v>
      </c>
      <c r="D36" s="426">
        <v>100</v>
      </c>
      <c r="E36" s="2603" t="s">
        <v>3108</v>
      </c>
      <c r="F36" s="452">
        <f>SUMIF(109:109,E36,110:110)-SUMIF(109:109,C36,110:110)+100</f>
        <v>100</v>
      </c>
      <c r="G36" s="2603" t="s">
        <v>3108</v>
      </c>
      <c r="H36" s="426">
        <f>SUMIF(109:109,G36,110:110)-SUMIF(109:109,C36,110:110)+100</f>
        <v>100</v>
      </c>
      <c r="I36" s="2603" t="s">
        <v>3108</v>
      </c>
      <c r="J36" s="426">
        <f>SUMIF(109:109,I36,110:110)-SUMIF(109:109,C36,110:110)+100</f>
        <v>100</v>
      </c>
      <c r="K36" s="417">
        <v>2</v>
      </c>
      <c r="L36" s="1128"/>
      <c r="M36" s="1119"/>
      <c r="N36" s="1119"/>
      <c r="O36" s="1119"/>
      <c r="P36" s="3315"/>
      <c r="Q36" s="1797" t="str">
        <f t="shared" si="11"/>
        <v>公共部分装修</v>
      </c>
      <c r="R36" s="765" t="s">
        <v>21</v>
      </c>
      <c r="S36" s="766">
        <f t="shared" si="12"/>
        <v>100</v>
      </c>
      <c r="T36" s="765" t="s">
        <v>21</v>
      </c>
      <c r="U36" s="766">
        <f t="shared" si="13"/>
        <v>100</v>
      </c>
      <c r="V36" s="765" t="s">
        <v>21</v>
      </c>
      <c r="W36" s="766">
        <f t="shared" si="14"/>
        <v>100</v>
      </c>
      <c r="X36" s="1800"/>
      <c r="Y36" s="3303"/>
      <c r="Z36" s="1801" t="str">
        <f t="shared" si="18"/>
        <v>公共部分装修</v>
      </c>
      <c r="AA36" s="1798">
        <f t="shared" si="15"/>
        <v>1</v>
      </c>
      <c r="AB36" s="1798">
        <f t="shared" si="16"/>
        <v>1</v>
      </c>
      <c r="AC36" s="1798">
        <f t="shared" si="17"/>
        <v>1</v>
      </c>
    </row>
    <row r="37" spans="1:29" s="110" customFormat="1" ht="15">
      <c r="A37" s="464"/>
      <c r="B37" s="413" t="s">
        <v>2560</v>
      </c>
      <c r="C37" s="465">
        <v>1</v>
      </c>
      <c r="D37" s="127">
        <v>100</v>
      </c>
      <c r="E37" s="465">
        <v>1</v>
      </c>
      <c r="F37" s="416">
        <f>LOOKUP(E37,112:112,113:113)-LOOKUP(C37,112:112,113:113)+100</f>
        <v>100</v>
      </c>
      <c r="G37" s="465">
        <v>1</v>
      </c>
      <c r="H37" s="127">
        <f>LOOKUP(G37,112:112,113:113)-LOOKUP(C37,112:112,113:113)+100</f>
        <v>100</v>
      </c>
      <c r="I37" s="465">
        <v>1</v>
      </c>
      <c r="J37" s="127">
        <f>LOOKUP(I37,112:112,113:113)-LOOKUP(C37,112:112,113:113)+100</f>
        <v>100</v>
      </c>
      <c r="K37" s="417">
        <v>2</v>
      </c>
      <c r="L37" s="1120"/>
      <c r="M37" s="1121"/>
      <c r="N37" s="1121"/>
      <c r="O37" s="1121"/>
      <c r="P37" s="3315"/>
      <c r="Q37" s="1782" t="str">
        <f t="shared" si="11"/>
        <v>成新度</v>
      </c>
      <c r="R37" s="761" t="s">
        <v>21</v>
      </c>
      <c r="S37" s="762">
        <f t="shared" si="12"/>
        <v>100</v>
      </c>
      <c r="T37" s="761" t="s">
        <v>21</v>
      </c>
      <c r="U37" s="762">
        <f t="shared" si="13"/>
        <v>100</v>
      </c>
      <c r="V37" s="761" t="s">
        <v>21</v>
      </c>
      <c r="W37" s="762">
        <f t="shared" si="14"/>
        <v>100</v>
      </c>
      <c r="X37" s="763"/>
      <c r="Y37" s="3303"/>
      <c r="Z37" s="54" t="str">
        <f t="shared" si="18"/>
        <v>成新度</v>
      </c>
      <c r="AA37" s="764">
        <f t="shared" si="15"/>
        <v>1</v>
      </c>
      <c r="AB37" s="764">
        <f t="shared" si="16"/>
        <v>1</v>
      </c>
      <c r="AC37" s="764">
        <f t="shared" si="17"/>
        <v>1</v>
      </c>
    </row>
    <row r="38" spans="1:29" ht="15">
      <c r="A38" s="463"/>
      <c r="B38" s="413" t="s">
        <v>2561</v>
      </c>
      <c r="C38" s="2603" t="s">
        <v>3109</v>
      </c>
      <c r="D38" s="426">
        <v>100</v>
      </c>
      <c r="E38" s="2603" t="s">
        <v>3109</v>
      </c>
      <c r="F38" s="452">
        <f>SUMIF(114:114,E38,115:115)-SUMIF(114:114,C38,115:115)+100</f>
        <v>100</v>
      </c>
      <c r="G38" s="2603" t="s">
        <v>3109</v>
      </c>
      <c r="H38" s="426">
        <f>SUMIF(114:114,G38,115:115)-SUMIF(114:114,C38,115:115)+100</f>
        <v>100</v>
      </c>
      <c r="I38" s="2603" t="s">
        <v>3109</v>
      </c>
      <c r="J38" s="426">
        <f>SUMIF(114:114,I38,115:115)-SUMIF(114:114,C38,115:115)+100</f>
        <v>100</v>
      </c>
      <c r="K38" s="417">
        <v>2</v>
      </c>
      <c r="L38" s="1128"/>
      <c r="M38" s="1119"/>
      <c r="N38" s="1119"/>
      <c r="O38" s="1119"/>
      <c r="P38" s="3315" t="s">
        <v>2555</v>
      </c>
      <c r="Q38" s="1797" t="str">
        <f t="shared" si="11"/>
        <v>物业管理</v>
      </c>
      <c r="R38" s="765" t="s">
        <v>21</v>
      </c>
      <c r="S38" s="766">
        <f t="shared" si="12"/>
        <v>100</v>
      </c>
      <c r="T38" s="765" t="s">
        <v>21</v>
      </c>
      <c r="U38" s="766">
        <f t="shared" si="13"/>
        <v>100</v>
      </c>
      <c r="V38" s="765" t="s">
        <v>21</v>
      </c>
      <c r="W38" s="766">
        <f t="shared" si="14"/>
        <v>100</v>
      </c>
      <c r="X38" s="1800"/>
      <c r="Y38" s="3303" t="s">
        <v>2555</v>
      </c>
      <c r="Z38" s="1801" t="str">
        <f t="shared" si="18"/>
        <v>物业管理</v>
      </c>
      <c r="AA38" s="1798">
        <f t="shared" si="15"/>
        <v>1</v>
      </c>
      <c r="AB38" s="1798">
        <f t="shared" si="16"/>
        <v>1</v>
      </c>
      <c r="AC38" s="1798">
        <f t="shared" si="17"/>
        <v>1</v>
      </c>
    </row>
    <row r="39" spans="1:29" ht="15">
      <c r="A39" s="463"/>
      <c r="B39" s="413" t="s">
        <v>2562</v>
      </c>
      <c r="C39" s="2603" t="s">
        <v>3173</v>
      </c>
      <c r="D39" s="426">
        <v>100</v>
      </c>
      <c r="E39" s="2603" t="s">
        <v>3173</v>
      </c>
      <c r="F39" s="452">
        <f>SUMIF(116:116,E39,117:117)-SUMIF(116:116,C39,117:117)+100</f>
        <v>100</v>
      </c>
      <c r="G39" s="2603" t="s">
        <v>3173</v>
      </c>
      <c r="H39" s="426">
        <f>SUMIF(116:116,G39,117:117)-SUMIF(116:116,C39,117:117)+100</f>
        <v>100</v>
      </c>
      <c r="I39" s="2603" t="s">
        <v>3173</v>
      </c>
      <c r="J39" s="426">
        <f>SUMIF(116:116,I39,117:117)-SUMIF(116:116,C39,117:117)+100</f>
        <v>100</v>
      </c>
      <c r="K39" s="417">
        <v>2</v>
      </c>
      <c r="L39" s="1128"/>
      <c r="M39" s="1119"/>
      <c r="N39" s="1119"/>
      <c r="O39" s="1119"/>
      <c r="P39" s="3315"/>
      <c r="Q39" s="1797" t="str">
        <f t="shared" si="11"/>
        <v>市政基础设施</v>
      </c>
      <c r="R39" s="765" t="s">
        <v>21</v>
      </c>
      <c r="S39" s="766">
        <f t="shared" si="12"/>
        <v>100</v>
      </c>
      <c r="T39" s="765" t="s">
        <v>21</v>
      </c>
      <c r="U39" s="766">
        <f t="shared" si="13"/>
        <v>100</v>
      </c>
      <c r="V39" s="765" t="s">
        <v>21</v>
      </c>
      <c r="W39" s="766">
        <f t="shared" si="14"/>
        <v>100</v>
      </c>
      <c r="X39" s="1800"/>
      <c r="Y39" s="3303"/>
      <c r="Z39" s="1801" t="str">
        <f t="shared" si="18"/>
        <v>市政基础设施</v>
      </c>
      <c r="AA39" s="1798">
        <f t="shared" si="15"/>
        <v>1</v>
      </c>
      <c r="AB39" s="1798">
        <f t="shared" si="16"/>
        <v>1</v>
      </c>
      <c r="AC39" s="1798">
        <f t="shared" si="17"/>
        <v>1</v>
      </c>
    </row>
    <row r="40" spans="1:29" ht="15">
      <c r="A40" s="463"/>
      <c r="B40" s="413" t="s">
        <v>2563</v>
      </c>
      <c r="C40" s="2603" t="s">
        <v>3110</v>
      </c>
      <c r="D40" s="426">
        <v>100</v>
      </c>
      <c r="E40" s="2603" t="s">
        <v>3110</v>
      </c>
      <c r="F40" s="452">
        <f>SUMIF(118:118,E40,119:119)-SUMIF(118:118,C40,119:119)+100</f>
        <v>100</v>
      </c>
      <c r="G40" s="2603" t="s">
        <v>3110</v>
      </c>
      <c r="H40" s="426">
        <f>SUMIF(118:118,G40,119:119)-SUMIF(118:118,C40,119:119)+100</f>
        <v>100</v>
      </c>
      <c r="I40" s="2603" t="s">
        <v>3110</v>
      </c>
      <c r="J40" s="426">
        <f>SUMIF(118:118,I40,119:119)-SUMIF(118:118,C40,119:119)+100</f>
        <v>100</v>
      </c>
      <c r="K40" s="417">
        <v>2</v>
      </c>
      <c r="L40" s="1128"/>
      <c r="M40" s="1119"/>
      <c r="N40" s="1119"/>
      <c r="O40" s="1119"/>
      <c r="P40" s="3315"/>
      <c r="Q40" s="1797" t="str">
        <f t="shared" si="11"/>
        <v>房型</v>
      </c>
      <c r="R40" s="765" t="s">
        <v>21</v>
      </c>
      <c r="S40" s="766">
        <f t="shared" si="12"/>
        <v>100</v>
      </c>
      <c r="T40" s="765" t="s">
        <v>21</v>
      </c>
      <c r="U40" s="766">
        <f t="shared" si="13"/>
        <v>100</v>
      </c>
      <c r="V40" s="765" t="s">
        <v>21</v>
      </c>
      <c r="W40" s="766">
        <f t="shared" si="14"/>
        <v>100</v>
      </c>
      <c r="X40" s="1800"/>
      <c r="Y40" s="3303"/>
      <c r="Z40" s="1801" t="str">
        <f t="shared" si="18"/>
        <v>房型</v>
      </c>
      <c r="AA40" s="1798">
        <f t="shared" si="15"/>
        <v>1</v>
      </c>
      <c r="AB40" s="1798">
        <f t="shared" si="16"/>
        <v>1</v>
      </c>
      <c r="AC40" s="1798">
        <f t="shared" si="17"/>
        <v>1</v>
      </c>
    </row>
    <row r="41" spans="1:29" s="462" customFormat="1" ht="28.5">
      <c r="A41" s="459"/>
      <c r="B41" s="413" t="s">
        <v>2564</v>
      </c>
      <c r="C41" s="460"/>
      <c r="D41" s="127">
        <v>100</v>
      </c>
      <c r="E41" s="460" t="s">
        <v>3181</v>
      </c>
      <c r="F41" s="416">
        <f>SUMIF(120:120,E41,121:121)-SUMIF(120:120,C41,121:121)+100</f>
        <v>100</v>
      </c>
      <c r="G41" s="460" t="s">
        <v>3182</v>
      </c>
      <c r="H41" s="127">
        <f>SUMIF(120:120,G41,121:121)-SUMIF(120:120,C41,121:121)+100</f>
        <v>100</v>
      </c>
      <c r="I41" s="460" t="s">
        <v>3183</v>
      </c>
      <c r="J41" s="426">
        <f>SUMIF(120:120,I41,121:121)-SUMIF(120:120,C41,121:121)+100</f>
        <v>100</v>
      </c>
      <c r="K41" s="2591"/>
      <c r="L41" s="1126"/>
      <c r="M41" s="1129"/>
      <c r="N41" s="1129"/>
      <c r="O41" s="1129"/>
      <c r="P41" s="3315"/>
      <c r="Q41" s="767" t="str">
        <f t="shared" si="11"/>
        <v>单套/主力户型建筑面积</v>
      </c>
      <c r="R41" s="768" t="s">
        <v>21</v>
      </c>
      <c r="S41" s="769">
        <f t="shared" si="12"/>
        <v>100</v>
      </c>
      <c r="T41" s="768" t="s">
        <v>21</v>
      </c>
      <c r="U41" s="769">
        <f t="shared" si="13"/>
        <v>100</v>
      </c>
      <c r="V41" s="768" t="s">
        <v>21</v>
      </c>
      <c r="W41" s="769">
        <f t="shared" si="14"/>
        <v>100</v>
      </c>
      <c r="X41" s="770"/>
      <c r="Y41" s="3303"/>
      <c r="Z41" s="771" t="str">
        <f t="shared" si="18"/>
        <v>单套/主力户型建筑面积</v>
      </c>
      <c r="AA41" s="1798">
        <f t="shared" si="15"/>
        <v>1</v>
      </c>
      <c r="AB41" s="1798">
        <f t="shared" si="16"/>
        <v>1</v>
      </c>
      <c r="AC41" s="1798">
        <f t="shared" si="17"/>
        <v>1</v>
      </c>
    </row>
    <row r="42" spans="1:29" ht="15">
      <c r="A42" s="463"/>
      <c r="B42" s="413" t="s">
        <v>2565</v>
      </c>
      <c r="C42" s="2603" t="s">
        <v>3108</v>
      </c>
      <c r="D42" s="426">
        <v>100</v>
      </c>
      <c r="E42" s="2603" t="s">
        <v>3108</v>
      </c>
      <c r="F42" s="452">
        <f>SUMIF(122:122,E42,123:123)-SUMIF(122:122,C42,123:123)+100</f>
        <v>100</v>
      </c>
      <c r="G42" s="2603" t="s">
        <v>3108</v>
      </c>
      <c r="H42" s="426">
        <f>SUMIF(122:122,G42,123:123)-SUMIF(122:122,C42,123:123)+100</f>
        <v>100</v>
      </c>
      <c r="I42" s="2603" t="s">
        <v>3108</v>
      </c>
      <c r="J42" s="426">
        <f>SUMIF(122:122,I42,123:123)-SUMIF(122:122,C42,123:123)+100</f>
        <v>100</v>
      </c>
      <c r="K42" s="417">
        <v>5</v>
      </c>
      <c r="L42" s="1128"/>
      <c r="M42" s="1119"/>
      <c r="N42" s="1119"/>
      <c r="O42" s="1119"/>
      <c r="P42" s="3315"/>
      <c r="Q42" s="1797" t="str">
        <f t="shared" si="11"/>
        <v>内部装修</v>
      </c>
      <c r="R42" s="765" t="s">
        <v>21</v>
      </c>
      <c r="S42" s="766">
        <f t="shared" si="12"/>
        <v>100</v>
      </c>
      <c r="T42" s="765" t="s">
        <v>21</v>
      </c>
      <c r="U42" s="766">
        <f t="shared" si="13"/>
        <v>100</v>
      </c>
      <c r="V42" s="765" t="s">
        <v>21</v>
      </c>
      <c r="W42" s="766">
        <f t="shared" si="14"/>
        <v>100</v>
      </c>
      <c r="X42" s="1800"/>
      <c r="Y42" s="3303"/>
      <c r="Z42" s="1801" t="str">
        <f t="shared" si="18"/>
        <v>内部装修</v>
      </c>
      <c r="AA42" s="1798">
        <f t="shared" si="15"/>
        <v>1</v>
      </c>
      <c r="AB42" s="1798">
        <f t="shared" si="16"/>
        <v>1</v>
      </c>
      <c r="AC42" s="1798">
        <f t="shared" si="17"/>
        <v>1</v>
      </c>
    </row>
    <row r="43" spans="1:29" ht="15.75" thickBot="1">
      <c r="A43" s="463"/>
      <c r="B43" s="413" t="s">
        <v>2566</v>
      </c>
      <c r="C43" s="2603" t="s">
        <v>3075</v>
      </c>
      <c r="D43" s="426">
        <v>100</v>
      </c>
      <c r="E43" s="2603" t="s">
        <v>3075</v>
      </c>
      <c r="F43" s="452">
        <f>SUMIF(124:124,E43,125:125)-SUMIF(124:124,C43,125:125)+100</f>
        <v>100</v>
      </c>
      <c r="G43" s="2603" t="s">
        <v>3075</v>
      </c>
      <c r="H43" s="426">
        <f>SUMIF(124:124,G43,125:125)-SUMIF(124:124,C43,125:125)+100</f>
        <v>100</v>
      </c>
      <c r="I43" s="2603" t="s">
        <v>3075</v>
      </c>
      <c r="J43" s="426">
        <f>SUMIF(124:124,I43,125:125)-SUMIF(124:124,C43,125:125)+100</f>
        <v>100</v>
      </c>
      <c r="K43" s="417"/>
      <c r="L43" s="1128"/>
      <c r="M43" s="1119"/>
      <c r="N43" s="1119"/>
      <c r="O43" s="1119"/>
      <c r="P43" s="3315"/>
      <c r="Q43" s="1797" t="str">
        <f t="shared" si="11"/>
        <v>内部装修维护情况</v>
      </c>
      <c r="R43" s="765" t="s">
        <v>21</v>
      </c>
      <c r="S43" s="766">
        <f t="shared" si="12"/>
        <v>100</v>
      </c>
      <c r="T43" s="765" t="s">
        <v>21</v>
      </c>
      <c r="U43" s="766">
        <f t="shared" si="13"/>
        <v>100</v>
      </c>
      <c r="V43" s="765" t="s">
        <v>21</v>
      </c>
      <c r="W43" s="766">
        <f t="shared" si="14"/>
        <v>100</v>
      </c>
      <c r="X43" s="1800"/>
      <c r="Y43" s="3303"/>
      <c r="Z43" s="1801" t="str">
        <f t="shared" si="18"/>
        <v>内部装修维护情况</v>
      </c>
      <c r="AA43" s="1798">
        <f t="shared" si="15"/>
        <v>1</v>
      </c>
      <c r="AB43" s="1798">
        <f t="shared" si="16"/>
        <v>1</v>
      </c>
      <c r="AC43" s="1798">
        <f t="shared" si="17"/>
        <v>1</v>
      </c>
    </row>
    <row r="44" spans="1:29" s="110" customFormat="1" ht="15.75" hidden="1" thickBot="1">
      <c r="A44" s="464"/>
      <c r="B44" s="2972"/>
      <c r="C44" s="2973"/>
      <c r="D44" s="127">
        <v>100</v>
      </c>
      <c r="E44" s="2973"/>
      <c r="F44" s="416">
        <f>SUMIF(126:126,E44,127:127)-SUMIF(126:126,C44,127:127)+100</f>
        <v>100</v>
      </c>
      <c r="G44" s="2973"/>
      <c r="H44" s="127">
        <f>SUMIF(126:126,G44,127:127)-SUMIF(126:126,C44,127:127)+100</f>
        <v>100</v>
      </c>
      <c r="I44" s="2973"/>
      <c r="J44" s="127">
        <f>SUMIF(126:126,I44,127:127)-SUMIF(126:126,C44,127:127)+100</f>
        <v>100</v>
      </c>
      <c r="K44" s="2591"/>
      <c r="L44" s="1120"/>
      <c r="M44" s="1121"/>
      <c r="N44" s="1121"/>
      <c r="O44" s="1121"/>
      <c r="P44" s="3315"/>
      <c r="Q44" s="1782">
        <f t="shared" si="11"/>
        <v>0</v>
      </c>
      <c r="R44" s="761" t="s">
        <v>21</v>
      </c>
      <c r="S44" s="762">
        <f t="shared" si="12"/>
        <v>100</v>
      </c>
      <c r="T44" s="761" t="s">
        <v>21</v>
      </c>
      <c r="U44" s="762">
        <f t="shared" si="13"/>
        <v>100</v>
      </c>
      <c r="V44" s="761" t="s">
        <v>21</v>
      </c>
      <c r="W44" s="762">
        <f t="shared" si="14"/>
        <v>100</v>
      </c>
      <c r="X44" s="763"/>
      <c r="Y44" s="3303"/>
      <c r="Z44" s="54">
        <f t="shared" si="18"/>
        <v>0</v>
      </c>
      <c r="AA44" s="764">
        <f t="shared" si="15"/>
        <v>1</v>
      </c>
      <c r="AB44" s="764">
        <f t="shared" si="16"/>
        <v>1</v>
      </c>
      <c r="AC44" s="764">
        <f t="shared" si="17"/>
        <v>1</v>
      </c>
    </row>
    <row r="45" spans="1:29" ht="15" hidden="1">
      <c r="A45" s="463"/>
      <c r="B45" s="1374"/>
      <c r="C45" s="425"/>
      <c r="D45" s="426">
        <v>100</v>
      </c>
      <c r="E45" s="425"/>
      <c r="F45" s="452">
        <f>SUMIF(128:128,E45,129:129)-SUMIF(128:128,C45,129:129)+100</f>
        <v>100</v>
      </c>
      <c r="G45" s="425"/>
      <c r="H45" s="426">
        <f>SUMIF(128:128,G45,129:129)-SUMIF(128:128,C45,129:129)+100</f>
        <v>100</v>
      </c>
      <c r="I45" s="425"/>
      <c r="J45" s="426">
        <f>SUMIF(128:128,I45,129:129)-SUMIF(128:128,C45,129:129)+100</f>
        <v>100</v>
      </c>
      <c r="K45" s="2591"/>
      <c r="L45" s="1128"/>
      <c r="M45" s="1119"/>
      <c r="N45" s="1119"/>
      <c r="O45" s="1119"/>
      <c r="P45" s="3315"/>
      <c r="Q45" s="1797">
        <f t="shared" si="11"/>
        <v>0</v>
      </c>
      <c r="R45" s="765" t="s">
        <v>21</v>
      </c>
      <c r="S45" s="766">
        <f t="shared" si="12"/>
        <v>100</v>
      </c>
      <c r="T45" s="765" t="s">
        <v>21</v>
      </c>
      <c r="U45" s="766">
        <f t="shared" si="13"/>
        <v>100</v>
      </c>
      <c r="V45" s="765" t="s">
        <v>21</v>
      </c>
      <c r="W45" s="766">
        <f t="shared" si="14"/>
        <v>100</v>
      </c>
      <c r="X45" s="1800"/>
      <c r="Y45" s="3303"/>
      <c r="Z45" s="1801">
        <f t="shared" si="18"/>
        <v>0</v>
      </c>
      <c r="AA45" s="1798">
        <f t="shared" si="15"/>
        <v>1</v>
      </c>
      <c r="AB45" s="1798">
        <f t="shared" si="16"/>
        <v>1</v>
      </c>
      <c r="AC45" s="1798">
        <f t="shared" si="17"/>
        <v>1</v>
      </c>
    </row>
    <row r="46" spans="1:29" ht="15.75" hidden="1" thickBot="1">
      <c r="A46" s="469"/>
      <c r="B46" s="2592"/>
      <c r="C46" s="428"/>
      <c r="D46" s="429">
        <v>100</v>
      </c>
      <c r="E46" s="428"/>
      <c r="F46" s="430">
        <f>SUMIF(130:130,E46,131:131)-SUMIF(130:130,C46,131:131)+100</f>
        <v>100</v>
      </c>
      <c r="G46" s="428"/>
      <c r="H46" s="429">
        <f>SUMIF(130:130,G46,131:131)-SUMIF(130:130,C46,131:131)+100</f>
        <v>100</v>
      </c>
      <c r="I46" s="428"/>
      <c r="J46" s="429">
        <f>SUMIF(130:130,I46,131:131)-SUMIF(130:130,C46,131:131)+100</f>
        <v>100</v>
      </c>
      <c r="K46" s="2591"/>
      <c r="L46" s="1128"/>
      <c r="M46" s="1119"/>
      <c r="N46" s="1119"/>
      <c r="O46" s="1119"/>
      <c r="P46" s="3316"/>
      <c r="Q46" s="1797">
        <f t="shared" si="11"/>
        <v>0</v>
      </c>
      <c r="R46" s="765" t="s">
        <v>20</v>
      </c>
      <c r="S46" s="766">
        <f t="shared" si="12"/>
        <v>100</v>
      </c>
      <c r="T46" s="765" t="s">
        <v>20</v>
      </c>
      <c r="U46" s="766">
        <f t="shared" si="13"/>
        <v>100</v>
      </c>
      <c r="V46" s="765" t="s">
        <v>20</v>
      </c>
      <c r="W46" s="766">
        <f t="shared" si="14"/>
        <v>100</v>
      </c>
      <c r="X46" s="1800"/>
      <c r="Y46" s="3317"/>
      <c r="Z46" s="1801">
        <f t="shared" si="18"/>
        <v>0</v>
      </c>
      <c r="AA46" s="1798">
        <f t="shared" si="15"/>
        <v>1</v>
      </c>
      <c r="AB46" s="1798">
        <f t="shared" si="16"/>
        <v>1</v>
      </c>
      <c r="AC46" s="1798">
        <f t="shared" si="17"/>
        <v>1</v>
      </c>
    </row>
    <row r="47" spans="1:29" ht="15">
      <c r="A47" s="470" t="s">
        <v>2567</v>
      </c>
      <c r="B47" s="471"/>
      <c r="C47" s="1395" t="s">
        <v>19</v>
      </c>
      <c r="D47" s="1396"/>
      <c r="E47" s="1397">
        <v>35000</v>
      </c>
      <c r="F47" s="1398"/>
      <c r="G47" s="1399">
        <v>34000</v>
      </c>
      <c r="H47" s="1400"/>
      <c r="I47" s="1397">
        <v>33000</v>
      </c>
      <c r="J47" s="1400"/>
      <c r="K47" s="2609"/>
      <c r="L47" s="1131"/>
      <c r="M47" s="1132"/>
      <c r="N47" s="1119"/>
      <c r="O47" s="1132"/>
      <c r="P47" s="3285" t="str">
        <f>A47</f>
        <v>成交单价（元/平方米）</v>
      </c>
      <c r="Q47" s="3285"/>
      <c r="R47" s="3313">
        <f>E47</f>
        <v>35000</v>
      </c>
      <c r="S47" s="3313"/>
      <c r="T47" s="3313">
        <f>G47</f>
        <v>34000</v>
      </c>
      <c r="U47" s="3313"/>
      <c r="V47" s="3313">
        <f>I47</f>
        <v>33000</v>
      </c>
      <c r="W47" s="3313"/>
      <c r="X47" s="750"/>
      <c r="Y47" s="772"/>
      <c r="Z47" s="750"/>
      <c r="AA47" s="750"/>
      <c r="AB47" s="750"/>
      <c r="AC47" s="750"/>
    </row>
    <row r="48" spans="1:29" ht="15.75" thickBot="1">
      <c r="A48" s="477" t="s">
        <v>2568</v>
      </c>
      <c r="B48" s="478"/>
      <c r="C48" s="1401" t="e">
        <f>R49</f>
        <v>#DIV/0!</v>
      </c>
      <c r="D48" s="1402"/>
      <c r="E48" s="1403" t="e">
        <f>R48</f>
        <v>#DIV/0!</v>
      </c>
      <c r="F48" s="1403"/>
      <c r="G48" s="1401" t="e">
        <f>T48</f>
        <v>#DIV/0!</v>
      </c>
      <c r="H48" s="1402"/>
      <c r="I48" s="1403" t="e">
        <f>V48</f>
        <v>#DIV/0!</v>
      </c>
      <c r="J48" s="1402"/>
      <c r="K48" s="2610"/>
      <c r="L48" s="1131"/>
      <c r="M48" s="1132"/>
      <c r="N48" s="1132"/>
      <c r="O48" s="1132"/>
      <c r="P48" s="3285" t="str">
        <f>A48</f>
        <v>比较价值（元/平方米）</v>
      </c>
      <c r="Q48" s="3285"/>
      <c r="R48" s="3313" t="e">
        <f>IF(F1="售价",ROUND(PRODUCT(R47,AA7:AA46),0),ROUND(PRODUCT(R47,AA7:AA46),1))</f>
        <v>#DIV/0!</v>
      </c>
      <c r="S48" s="3313"/>
      <c r="T48" s="3313" t="e">
        <f>IF(F1="售价",ROUND(PRODUCT(T47,AB7:AB46),0),ROUND(PRODUCT(T47,AB7:AB46),1))</f>
        <v>#DIV/0!</v>
      </c>
      <c r="U48" s="3313"/>
      <c r="V48" s="3313" t="e">
        <f>IF(F1="售价",ROUND(PRODUCT(V47,AC7:AC46),0),ROUND(PRODUCT(V47,AC7:AC46),1))</f>
        <v>#DIV/0!</v>
      </c>
      <c r="W48" s="3313"/>
      <c r="X48" s="750"/>
      <c r="Y48" s="750"/>
      <c r="Z48" s="750"/>
      <c r="AA48" s="750"/>
      <c r="AB48" s="750"/>
      <c r="AC48" s="750"/>
    </row>
    <row r="49" spans="1:29" ht="15.75" thickBot="1">
      <c r="A49" s="483" t="s">
        <v>2569</v>
      </c>
      <c r="B49" s="484"/>
      <c r="C49" s="1404" t="e">
        <f>R49</f>
        <v>#DIV/0!</v>
      </c>
      <c r="D49" s="1405"/>
      <c r="E49" s="1405"/>
      <c r="F49" s="1405"/>
      <c r="G49" s="1405"/>
      <c r="H49" s="1405"/>
      <c r="I49" s="1405"/>
      <c r="J49" s="1405"/>
      <c r="K49" s="2611"/>
      <c r="L49" s="1131"/>
      <c r="M49" s="1132"/>
      <c r="N49" s="1132"/>
      <c r="O49" s="1132"/>
      <c r="P49" s="3305" t="str">
        <f>A49</f>
        <v>估价对象XX用房的比较价值（楼面单价，元/平方米）</v>
      </c>
      <c r="Q49" s="3306"/>
      <c r="R49" s="3312" t="e">
        <f>IF(F1="售价",ROUND(AVERAGE(R48:V48),0),ROUND(AVERAGE(R48:V48),1))</f>
        <v>#DIV/0!</v>
      </c>
      <c r="S49" s="3312"/>
      <c r="T49" s="3312"/>
      <c r="U49" s="3312"/>
      <c r="V49" s="3312"/>
      <c r="W49" s="3312"/>
      <c r="X49" s="750"/>
      <c r="Y49" s="750"/>
      <c r="Z49" s="750"/>
      <c r="AA49" s="750"/>
      <c r="AB49" s="750"/>
      <c r="AC49" s="750"/>
    </row>
    <row r="50" spans="1:29">
      <c r="A50" s="1132"/>
      <c r="B50" s="1132"/>
      <c r="C50" s="1132"/>
      <c r="D50" s="1132"/>
      <c r="E50" s="1132"/>
      <c r="F50" s="1132"/>
      <c r="G50" s="1135"/>
      <c r="H50" s="1132"/>
      <c r="I50" s="1132"/>
      <c r="J50" s="1132"/>
      <c r="K50" s="1093"/>
      <c r="L50" s="1094"/>
      <c r="M50" s="1132"/>
      <c r="N50" s="1132"/>
      <c r="O50" s="1132"/>
    </row>
    <row r="51" spans="1:29">
      <c r="A51" s="1132"/>
      <c r="B51" s="1132"/>
      <c r="C51" s="1132"/>
      <c r="D51" s="1132"/>
      <c r="E51" s="1132"/>
      <c r="F51" s="1132"/>
      <c r="G51" s="1132"/>
      <c r="H51" s="1132"/>
      <c r="I51" s="1132"/>
      <c r="J51" s="1132"/>
      <c r="K51" s="1093"/>
      <c r="L51" s="1094"/>
      <c r="M51" s="1132"/>
      <c r="N51" s="1132"/>
      <c r="O51" s="1132"/>
    </row>
    <row r="52" spans="1:29" ht="13.5" customHeight="1">
      <c r="A52" s="1132"/>
      <c r="B52" s="1132"/>
      <c r="C52" s="488" t="s">
        <v>2570</v>
      </c>
      <c r="D52" s="489"/>
      <c r="E52" s="490" t="e">
        <f>IF(E47&lt;E48,E48/E47-1,E47/E48-1)</f>
        <v>#DIV/0!</v>
      </c>
      <c r="F52" s="491" t="e">
        <f>IF(OR(E52&gt;=0.3,E52&lt;=-0.3),"超过30%","")</f>
        <v>#DIV/0!</v>
      </c>
      <c r="G52" s="490" t="e">
        <f>IF(G47&lt;G48,G48/G47-1,G47/G48-1)</f>
        <v>#DIV/0!</v>
      </c>
      <c r="H52" s="491" t="e">
        <f>IF(OR(G52&gt;=0.3,G52&lt;=-0.3),"超过30%","")</f>
        <v>#DIV/0!</v>
      </c>
      <c r="I52" s="490" t="e">
        <f>IF(I47&lt;I48,I48/I47-1,I47/I48-1)</f>
        <v>#DIV/0!</v>
      </c>
      <c r="J52" s="491" t="e">
        <f>IF(OR(I52&gt;=0.3,I52&lt;=-0.3),"超过30%","")</f>
        <v>#DIV/0!</v>
      </c>
      <c r="K52" s="1093"/>
      <c r="L52" s="1094"/>
      <c r="M52" s="1132"/>
      <c r="N52" s="1132"/>
      <c r="O52" s="1132"/>
    </row>
    <row r="53" spans="1:29" ht="13.5" customHeight="1">
      <c r="A53" s="1132"/>
      <c r="B53" s="1132"/>
      <c r="C53" s="488" t="s">
        <v>2571</v>
      </c>
      <c r="D53" s="492"/>
      <c r="E53" s="490" t="e">
        <f>IF(E48&lt;G48,G48/E48-1,E48/G48-1)</f>
        <v>#DIV/0!</v>
      </c>
      <c r="F53" s="491" t="e">
        <f>IF(OR(E53&gt;=0.2,E53&lt;=-0.2),"超过20%","")</f>
        <v>#DIV/0!</v>
      </c>
      <c r="G53" s="490" t="e">
        <f>IF(G48&lt;I48,I48/G48-1,G48/I48-1)</f>
        <v>#DIV/0!</v>
      </c>
      <c r="H53" s="491" t="e">
        <f>IF(OR(G53&gt;=0.2,G53&lt;=-0.2),"超过20%","")</f>
        <v>#DIV/0!</v>
      </c>
      <c r="I53" s="490" t="e">
        <f>IF(I48&lt;E48,E48/I48-1,I48/E48-1)</f>
        <v>#DIV/0!</v>
      </c>
      <c r="J53" s="491" t="e">
        <f>IF(OR(I53&gt;=0.2,I53&lt;=-0.2),"超过20%","")</f>
        <v>#DIV/0!</v>
      </c>
      <c r="K53" s="1093"/>
      <c r="L53" s="1094"/>
      <c r="M53" s="1132"/>
      <c r="N53" s="1132"/>
      <c r="O53" s="1132"/>
    </row>
    <row r="54" spans="1:29" s="493" customFormat="1" ht="13.5" customHeight="1">
      <c r="A54" s="1133"/>
      <c r="B54" s="1133"/>
      <c r="C54" s="488" t="s">
        <v>2572</v>
      </c>
      <c r="D54" s="492"/>
      <c r="E54" s="490">
        <f>IF(E47&lt;G47,G47/E47-1,E47/G47-1)</f>
        <v>2.9411764705882248E-2</v>
      </c>
      <c r="F54" s="491" t="str">
        <f>IF(OR(E54&gt;=0.3,E54&lt;=-0.3),"超过30%","")</f>
        <v/>
      </c>
      <c r="G54" s="490">
        <f>IF(G47&lt;I47,I47/G47-1,G47/I47-1)</f>
        <v>3.0303030303030276E-2</v>
      </c>
      <c r="H54" s="491" t="str">
        <f>IF(OR(G54&gt;=0.3,G54&lt;=-0.3),"超过30%","")</f>
        <v/>
      </c>
      <c r="I54" s="490">
        <f>IF(I47&lt;E47,E47/I47-1,I47/E47-1)</f>
        <v>6.0606060606060552E-2</v>
      </c>
      <c r="J54" s="491" t="str">
        <f>IF(OR(I54&gt;=0.3,I54&lt;=-0.3),"超过30%","")</f>
        <v/>
      </c>
      <c r="K54" s="1136"/>
      <c r="L54" s="1137"/>
      <c r="M54" s="1133"/>
      <c r="N54" s="1133"/>
      <c r="O54" s="1133"/>
      <c r="P54" s="2613"/>
    </row>
    <row r="55" spans="1:29" s="493" customFormat="1">
      <c r="A55" s="1133"/>
      <c r="B55" s="1134"/>
      <c r="C55" s="1138"/>
      <c r="D55" s="1133"/>
      <c r="E55" s="1133"/>
      <c r="F55" s="1133"/>
      <c r="G55" s="1133"/>
      <c r="H55" s="1133"/>
      <c r="I55" s="1133"/>
      <c r="J55" s="1133"/>
      <c r="K55" s="1136"/>
      <c r="L55" s="1137"/>
      <c r="M55" s="1133"/>
      <c r="N55" s="1133"/>
      <c r="O55" s="1133"/>
      <c r="P55" s="2613"/>
    </row>
    <row r="56" spans="1:29">
      <c r="A56" s="1132"/>
      <c r="B56" s="1134"/>
      <c r="C56" s="1138"/>
      <c r="D56" s="1132"/>
      <c r="E56" s="1132"/>
      <c r="F56" s="1132"/>
      <c r="G56" s="1132"/>
      <c r="H56" s="1132"/>
      <c r="I56" s="1132"/>
      <c r="J56" s="1132"/>
      <c r="K56" s="1093"/>
      <c r="L56" s="1094"/>
      <c r="M56" s="1132"/>
      <c r="N56" s="1132"/>
      <c r="O56" s="1132"/>
    </row>
    <row r="57" spans="1:29" ht="21.75" thickBot="1">
      <c r="A57" s="754" t="s">
        <v>2573</v>
      </c>
      <c r="B57" s="750"/>
      <c r="C57" s="755"/>
      <c r="D57" s="755"/>
      <c r="E57" s="755"/>
      <c r="F57" s="756"/>
      <c r="G57" s="756"/>
      <c r="H57" s="755"/>
      <c r="I57" s="755"/>
      <c r="J57" s="755"/>
      <c r="K57" s="1148"/>
      <c r="L57" s="1149"/>
      <c r="M57" s="1147"/>
      <c r="N57" s="1147"/>
      <c r="O57" s="1147"/>
      <c r="P57" s="2614"/>
      <c r="Q57" s="495"/>
    </row>
    <row r="58" spans="1:29" s="499" customFormat="1" ht="15">
      <c r="A58" s="496" t="s">
        <v>2574</v>
      </c>
      <c r="B58" s="497"/>
      <c r="C58" s="1563" t="str">
        <f>YEAR(C7)&amp;"-"&amp;MONTH(C7)</f>
        <v>2019-2</v>
      </c>
      <c r="D58" s="1562">
        <f>EDATE(C58,-1)</f>
        <v>43466</v>
      </c>
      <c r="E58" s="1562">
        <f>EDATE(D58,-1)</f>
        <v>43435</v>
      </c>
      <c r="F58" s="1562">
        <f t="shared" ref="F58:O58" si="19">EDATE(E58,-1)</f>
        <v>43405</v>
      </c>
      <c r="G58" s="1562">
        <f t="shared" si="19"/>
        <v>43374</v>
      </c>
      <c r="H58" s="1562">
        <f t="shared" si="19"/>
        <v>43344</v>
      </c>
      <c r="I58" s="1562">
        <f t="shared" si="19"/>
        <v>43313</v>
      </c>
      <c r="J58" s="1562">
        <f t="shared" si="19"/>
        <v>43282</v>
      </c>
      <c r="K58" s="1562">
        <f t="shared" si="19"/>
        <v>43252</v>
      </c>
      <c r="L58" s="1562">
        <f t="shared" si="19"/>
        <v>43221</v>
      </c>
      <c r="M58" s="1562">
        <f t="shared" si="19"/>
        <v>43191</v>
      </c>
      <c r="N58" s="1562">
        <f t="shared" si="19"/>
        <v>43160</v>
      </c>
      <c r="O58" s="1562">
        <f t="shared" si="19"/>
        <v>43132</v>
      </c>
      <c r="P58" s="1557"/>
    </row>
    <row r="59" spans="1:29" s="110" customFormat="1" ht="15">
      <c r="A59" s="500"/>
      <c r="B59" s="2615"/>
      <c r="C59" s="1560">
        <v>100</v>
      </c>
      <c r="D59" s="502"/>
      <c r="E59" s="503"/>
      <c r="F59" s="503"/>
      <c r="G59" s="503"/>
      <c r="H59" s="503"/>
      <c r="I59" s="503"/>
      <c r="J59" s="503"/>
      <c r="K59" s="503"/>
      <c r="L59" s="503"/>
      <c r="M59" s="504"/>
      <c r="N59" s="503"/>
      <c r="O59" s="504"/>
      <c r="P59" s="2616"/>
    </row>
    <row r="60" spans="1:29" s="110" customFormat="1" ht="15.75" thickBot="1">
      <c r="A60" s="506" t="s">
        <v>2575</v>
      </c>
      <c r="B60" s="507"/>
      <c r="C60" s="508"/>
      <c r="D60" s="509"/>
      <c r="E60" s="509"/>
      <c r="F60" s="509"/>
      <c r="G60" s="509"/>
      <c r="H60" s="509"/>
      <c r="I60" s="509"/>
      <c r="J60" s="509"/>
      <c r="K60" s="509"/>
      <c r="L60" s="509"/>
      <c r="M60" s="510"/>
      <c r="N60" s="509"/>
      <c r="O60" s="510"/>
      <c r="P60" s="2616"/>
      <c r="Q60" s="495"/>
    </row>
    <row r="61" spans="1:29" s="110" customFormat="1" ht="15">
      <c r="A61" s="512" t="s">
        <v>2576</v>
      </c>
      <c r="B61" s="501"/>
      <c r="C61" s="513" t="s">
        <v>2577</v>
      </c>
      <c r="D61" s="514"/>
      <c r="E61" s="514"/>
      <c r="F61" s="514"/>
      <c r="G61" s="514"/>
      <c r="H61" s="514"/>
      <c r="I61" s="514"/>
      <c r="J61" s="514"/>
      <c r="K61" s="514"/>
      <c r="L61" s="515"/>
      <c r="M61" s="516"/>
      <c r="N61" s="1139"/>
      <c r="O61" s="1139"/>
      <c r="P61" s="2617"/>
      <c r="Q61" s="495"/>
    </row>
    <row r="62" spans="1:29" s="110" customFormat="1" ht="15.75" thickBot="1">
      <c r="A62" s="512"/>
      <c r="B62" s="501"/>
      <c r="C62" s="502">
        <v>100</v>
      </c>
      <c r="D62" s="503"/>
      <c r="E62" s="503"/>
      <c r="F62" s="503"/>
      <c r="G62" s="503"/>
      <c r="H62" s="503"/>
      <c r="I62" s="503"/>
      <c r="J62" s="503"/>
      <c r="K62" s="503"/>
      <c r="L62" s="503"/>
      <c r="M62" s="505"/>
      <c r="N62" s="1139"/>
      <c r="O62" s="1139"/>
      <c r="P62" s="2616"/>
      <c r="Q62" s="495"/>
    </row>
    <row r="63" spans="1:29">
      <c r="A63" s="518" t="s">
        <v>2578</v>
      </c>
      <c r="B63" s="519" t="s">
        <v>2544</v>
      </c>
      <c r="C63" s="520" t="str">
        <f>C9</f>
        <v>商业</v>
      </c>
      <c r="D63" s="521"/>
      <c r="E63" s="521"/>
      <c r="F63" s="521"/>
      <c r="G63" s="521"/>
      <c r="H63" s="521"/>
      <c r="I63" s="521"/>
      <c r="J63" s="521"/>
      <c r="K63" s="522"/>
      <c r="L63" s="523"/>
      <c r="M63" s="524"/>
      <c r="N63" s="1140"/>
      <c r="O63" s="1140"/>
      <c r="P63" s="2618"/>
      <c r="Q63" s="495"/>
    </row>
    <row r="64" spans="1:29" ht="15.75" thickBot="1">
      <c r="A64" s="525"/>
      <c r="B64" s="526"/>
      <c r="C64" s="527">
        <v>100</v>
      </c>
      <c r="D64" s="527"/>
      <c r="E64" s="527"/>
      <c r="F64" s="527"/>
      <c r="G64" s="527"/>
      <c r="H64" s="527"/>
      <c r="I64" s="527"/>
      <c r="J64" s="527"/>
      <c r="K64" s="527"/>
      <c r="L64" s="527"/>
      <c r="M64" s="528"/>
      <c r="N64" s="1141"/>
      <c r="O64" s="1141"/>
      <c r="P64" s="2618"/>
      <c r="Q64" s="495"/>
    </row>
    <row r="65" spans="1:17" ht="27.75" thickTop="1">
      <c r="A65" s="525"/>
      <c r="B65" s="529" t="s">
        <v>2547</v>
      </c>
      <c r="C65" s="530" t="s">
        <v>2579</v>
      </c>
      <c r="D65" s="530" t="s">
        <v>2580</v>
      </c>
      <c r="E65" s="530" t="s">
        <v>2581</v>
      </c>
      <c r="F65" s="530" t="s">
        <v>2582</v>
      </c>
      <c r="G65" s="530" t="s">
        <v>2583</v>
      </c>
      <c r="H65" s="530" t="s">
        <v>2584</v>
      </c>
      <c r="I65" s="530" t="s">
        <v>2585</v>
      </c>
      <c r="J65" s="530"/>
      <c r="K65" s="531"/>
      <c r="L65" s="532"/>
      <c r="M65" s="533"/>
      <c r="N65" s="1140"/>
      <c r="O65" s="1140"/>
      <c r="P65" s="2618"/>
      <c r="Q65" s="495"/>
    </row>
    <row r="66" spans="1:17" ht="15.75" thickBot="1">
      <c r="A66" s="525"/>
      <c r="B66" s="534"/>
      <c r="C66" s="535">
        <v>100</v>
      </c>
      <c r="D66" s="535">
        <f t="shared" ref="D66:I66" si="20">C66-$K10</f>
        <v>97</v>
      </c>
      <c r="E66" s="535">
        <f t="shared" si="20"/>
        <v>94</v>
      </c>
      <c r="F66" s="535">
        <f t="shared" si="20"/>
        <v>91</v>
      </c>
      <c r="G66" s="535">
        <f t="shared" si="20"/>
        <v>88</v>
      </c>
      <c r="H66" s="535">
        <f t="shared" si="20"/>
        <v>85</v>
      </c>
      <c r="I66" s="535">
        <f t="shared" si="20"/>
        <v>82</v>
      </c>
      <c r="J66" s="535"/>
      <c r="K66" s="535"/>
      <c r="L66" s="535"/>
      <c r="M66" s="536"/>
      <c r="N66" s="1141"/>
      <c r="O66" s="1141"/>
      <c r="P66" s="2618"/>
      <c r="Q66" s="495"/>
    </row>
    <row r="67" spans="1:17" ht="15.75" thickTop="1">
      <c r="A67" s="525"/>
      <c r="B67" s="537" t="s">
        <v>2548</v>
      </c>
      <c r="C67" s="538" t="str">
        <f>C68&amp;"（含）"&amp;"-"&amp;D68</f>
        <v>0（含）-1</v>
      </c>
      <c r="D67" s="538" t="str">
        <f t="shared" ref="D67:L67" si="21">D68&amp;"（含）"&amp;"-"&amp;E68</f>
        <v>1（含）-2</v>
      </c>
      <c r="E67" s="538" t="str">
        <f t="shared" si="21"/>
        <v>2（含）-3</v>
      </c>
      <c r="F67" s="538" t="str">
        <f t="shared" si="21"/>
        <v>3（含）-4</v>
      </c>
      <c r="G67" s="538" t="str">
        <f t="shared" si="21"/>
        <v>4（含）-5</v>
      </c>
      <c r="H67" s="538" t="str">
        <f t="shared" si="21"/>
        <v>5（含）-6</v>
      </c>
      <c r="I67" s="538" t="str">
        <f t="shared" si="21"/>
        <v>6（含）-7</v>
      </c>
      <c r="J67" s="538" t="str">
        <f t="shared" si="21"/>
        <v>7（含）-8</v>
      </c>
      <c r="K67" s="538" t="str">
        <f>K68&amp;"（含）"&amp;"-"&amp;L68</f>
        <v>8（含）-9</v>
      </c>
      <c r="L67" s="538" t="str">
        <f t="shared" si="21"/>
        <v>9（含）-10</v>
      </c>
      <c r="M67" s="439" t="str">
        <f>M68&amp;"（含）"&amp;"-"&amp;P68</f>
        <v>10（含）-</v>
      </c>
      <c r="N67" s="1141"/>
      <c r="O67" s="1141"/>
      <c r="P67" s="2618"/>
      <c r="Q67" s="495"/>
    </row>
    <row r="68" spans="1:17" ht="15">
      <c r="A68" s="525"/>
      <c r="B68" s="539"/>
      <c r="C68" s="540">
        <v>0</v>
      </c>
      <c r="D68" s="540">
        <v>1</v>
      </c>
      <c r="E68" s="540">
        <v>2</v>
      </c>
      <c r="F68" s="540">
        <v>3</v>
      </c>
      <c r="G68" s="540">
        <v>4</v>
      </c>
      <c r="H68" s="540">
        <v>5</v>
      </c>
      <c r="I68" s="540">
        <v>6</v>
      </c>
      <c r="J68" s="540">
        <v>7</v>
      </c>
      <c r="K68" s="541">
        <v>8</v>
      </c>
      <c r="L68" s="542">
        <v>9</v>
      </c>
      <c r="M68" s="543">
        <v>10</v>
      </c>
      <c r="N68" s="1140"/>
      <c r="O68" s="1140"/>
      <c r="P68" s="2618"/>
      <c r="Q68" s="495"/>
    </row>
    <row r="69" spans="1:17" ht="15.75" thickBot="1">
      <c r="A69" s="525"/>
      <c r="B69" s="526"/>
      <c r="C69" s="535">
        <v>100</v>
      </c>
      <c r="D69" s="535">
        <f t="shared" ref="D69:M69" si="22">C69-$K11</f>
        <v>98</v>
      </c>
      <c r="E69" s="535">
        <f t="shared" si="22"/>
        <v>96</v>
      </c>
      <c r="F69" s="535">
        <f t="shared" si="22"/>
        <v>94</v>
      </c>
      <c r="G69" s="535">
        <f t="shared" si="22"/>
        <v>92</v>
      </c>
      <c r="H69" s="535">
        <f t="shared" si="22"/>
        <v>90</v>
      </c>
      <c r="I69" s="535">
        <f t="shared" si="22"/>
        <v>88</v>
      </c>
      <c r="J69" s="535">
        <f t="shared" si="22"/>
        <v>86</v>
      </c>
      <c r="K69" s="535">
        <f t="shared" si="22"/>
        <v>84</v>
      </c>
      <c r="L69" s="535">
        <f t="shared" si="22"/>
        <v>82</v>
      </c>
      <c r="M69" s="536">
        <f t="shared" si="22"/>
        <v>80</v>
      </c>
      <c r="N69" s="1141"/>
      <c r="O69" s="1141"/>
      <c r="P69" s="2618"/>
      <c r="Q69" s="495"/>
    </row>
    <row r="70" spans="1:17" s="462" customFormat="1" ht="15.75" thickTop="1">
      <c r="A70" s="544"/>
      <c r="B70" s="529">
        <f>B12</f>
        <v>0</v>
      </c>
      <c r="C70" s="545"/>
      <c r="D70" s="545"/>
      <c r="E70" s="545"/>
      <c r="F70" s="545"/>
      <c r="G70" s="545"/>
      <c r="H70" s="546"/>
      <c r="I70" s="546"/>
      <c r="J70" s="546"/>
      <c r="K70" s="546"/>
      <c r="L70" s="547"/>
      <c r="M70" s="548"/>
      <c r="N70" s="1142"/>
      <c r="O70" s="1142"/>
      <c r="P70" s="2619"/>
      <c r="Q70" s="550"/>
    </row>
    <row r="71" spans="1:17" s="462" customFormat="1" ht="15.75" thickBot="1">
      <c r="A71" s="544"/>
      <c r="B71" s="534"/>
      <c r="C71" s="551"/>
      <c r="D71" s="527"/>
      <c r="E71" s="527"/>
      <c r="F71" s="527"/>
      <c r="G71" s="527"/>
      <c r="H71" s="527"/>
      <c r="I71" s="527"/>
      <c r="J71" s="527"/>
      <c r="K71" s="527"/>
      <c r="L71" s="527"/>
      <c r="M71" s="528"/>
      <c r="N71" s="1141"/>
      <c r="O71" s="1141"/>
      <c r="P71" s="2619"/>
      <c r="Q71" s="550"/>
    </row>
    <row r="72" spans="1:17" s="462" customFormat="1" ht="15.75" thickTop="1">
      <c r="A72" s="544"/>
      <c r="B72" s="529">
        <f>B13</f>
        <v>0</v>
      </c>
      <c r="C72" s="545"/>
      <c r="D72" s="545"/>
      <c r="E72" s="545"/>
      <c r="F72" s="545"/>
      <c r="G72" s="545"/>
      <c r="H72" s="546"/>
      <c r="I72" s="546"/>
      <c r="J72" s="546"/>
      <c r="K72" s="546"/>
      <c r="L72" s="547"/>
      <c r="M72" s="548"/>
      <c r="N72" s="1142"/>
      <c r="O72" s="1142"/>
      <c r="P72" s="2620"/>
      <c r="Q72" s="552"/>
    </row>
    <row r="73" spans="1:17" s="462" customFormat="1" ht="15.75" thickBot="1">
      <c r="A73" s="544"/>
      <c r="B73" s="534"/>
      <c r="C73" s="551"/>
      <c r="D73" s="551"/>
      <c r="E73" s="551"/>
      <c r="F73" s="551"/>
      <c r="G73" s="551"/>
      <c r="H73" s="553"/>
      <c r="I73" s="553"/>
      <c r="J73" s="553"/>
      <c r="K73" s="553"/>
      <c r="L73" s="553"/>
      <c r="M73" s="554"/>
      <c r="N73" s="1142"/>
      <c r="O73" s="1142"/>
      <c r="P73" s="2619"/>
      <c r="Q73" s="550"/>
    </row>
    <row r="74" spans="1:17" s="462" customFormat="1" ht="15.75" thickTop="1">
      <c r="A74" s="544"/>
      <c r="B74" s="537">
        <f>B14</f>
        <v>0</v>
      </c>
      <c r="C74" s="545"/>
      <c r="D74" s="545"/>
      <c r="E74" s="545"/>
      <c r="F74" s="545"/>
      <c r="G74" s="514"/>
      <c r="H74" s="555"/>
      <c r="I74" s="555"/>
      <c r="J74" s="555"/>
      <c r="K74" s="555"/>
      <c r="L74" s="556"/>
      <c r="M74" s="557"/>
      <c r="N74" s="1142"/>
      <c r="O74" s="1142"/>
      <c r="P74" s="2621"/>
      <c r="Q74" s="550"/>
    </row>
    <row r="75" spans="1:17" s="462" customFormat="1" ht="15.75" thickBot="1">
      <c r="A75" s="559"/>
      <c r="B75" s="560"/>
      <c r="C75" s="561"/>
      <c r="D75" s="561"/>
      <c r="E75" s="561"/>
      <c r="F75" s="561"/>
      <c r="G75" s="561"/>
      <c r="H75" s="562"/>
      <c r="I75" s="562"/>
      <c r="J75" s="562"/>
      <c r="K75" s="562"/>
      <c r="L75" s="562"/>
      <c r="M75" s="563"/>
      <c r="N75" s="1142"/>
      <c r="O75" s="1142"/>
      <c r="P75" s="2619"/>
      <c r="Q75" s="550"/>
    </row>
    <row r="76" spans="1:17">
      <c r="A76" s="518" t="s">
        <v>2549</v>
      </c>
      <c r="B76" s="519" t="s">
        <v>2586</v>
      </c>
      <c r="C76" s="564" t="s">
        <v>2587</v>
      </c>
      <c r="D76" s="564" t="s">
        <v>2588</v>
      </c>
      <c r="E76" s="564" t="s">
        <v>2589</v>
      </c>
      <c r="F76" s="564" t="s">
        <v>2590</v>
      </c>
      <c r="G76" s="564" t="s">
        <v>2591</v>
      </c>
      <c r="H76" s="520"/>
      <c r="I76" s="520"/>
      <c r="J76" s="520"/>
      <c r="K76" s="565"/>
      <c r="L76" s="566"/>
      <c r="M76" s="567"/>
      <c r="N76" s="1140"/>
      <c r="O76" s="1140"/>
      <c r="P76" s="2622"/>
      <c r="Q76" s="495"/>
    </row>
    <row r="77" spans="1:17" ht="15.75" thickBot="1">
      <c r="A77" s="525"/>
      <c r="B77" s="534"/>
      <c r="C77" s="535">
        <v>100</v>
      </c>
      <c r="D77" s="535">
        <f>C77-$K15</f>
        <v>95</v>
      </c>
      <c r="E77" s="535">
        <f>D77-$K15</f>
        <v>90</v>
      </c>
      <c r="F77" s="535">
        <f>E77-$K15</f>
        <v>85</v>
      </c>
      <c r="G77" s="535">
        <f>F77-$K15</f>
        <v>80</v>
      </c>
      <c r="H77" s="535"/>
      <c r="I77" s="535"/>
      <c r="J77" s="535"/>
      <c r="K77" s="535"/>
      <c r="L77" s="535"/>
      <c r="M77" s="536"/>
      <c r="N77" s="1141"/>
      <c r="O77" s="1141"/>
      <c r="P77" s="2618"/>
      <c r="Q77" s="495"/>
    </row>
    <row r="78" spans="1:17" ht="15.75" thickTop="1">
      <c r="A78" s="525"/>
      <c r="B78" s="529" t="s">
        <v>2592</v>
      </c>
      <c r="C78" s="569" t="s">
        <v>2587</v>
      </c>
      <c r="D78" s="569" t="s">
        <v>2588</v>
      </c>
      <c r="E78" s="569" t="s">
        <v>2589</v>
      </c>
      <c r="F78" s="569" t="s">
        <v>2590</v>
      </c>
      <c r="G78" s="569" t="s">
        <v>2591</v>
      </c>
      <c r="H78" s="530"/>
      <c r="I78" s="530"/>
      <c r="J78" s="530"/>
      <c r="K78" s="531"/>
      <c r="L78" s="532"/>
      <c r="M78" s="533"/>
      <c r="N78" s="1140"/>
      <c r="O78" s="1140"/>
      <c r="P78" s="2618"/>
      <c r="Q78" s="495"/>
    </row>
    <row r="79" spans="1:17" ht="15.75" thickBot="1">
      <c r="A79" s="525"/>
      <c r="B79" s="534"/>
      <c r="C79" s="535">
        <v>100</v>
      </c>
      <c r="D79" s="535">
        <f>C79-$K17</f>
        <v>97</v>
      </c>
      <c r="E79" s="535">
        <f>D79-$K17</f>
        <v>94</v>
      </c>
      <c r="F79" s="535">
        <f>E79-$K17</f>
        <v>91</v>
      </c>
      <c r="G79" s="535">
        <f>F79-$K17</f>
        <v>88</v>
      </c>
      <c r="H79" s="535"/>
      <c r="I79" s="535"/>
      <c r="J79" s="535"/>
      <c r="K79" s="535"/>
      <c r="L79" s="535"/>
      <c r="M79" s="536"/>
      <c r="N79" s="1141"/>
      <c r="O79" s="1141"/>
      <c r="P79" s="2618"/>
      <c r="Q79" s="495"/>
    </row>
    <row r="80" spans="1:17" ht="15.75" thickTop="1">
      <c r="A80" s="525"/>
      <c r="B80" s="529" t="s">
        <v>2593</v>
      </c>
      <c r="C80" s="569" t="s">
        <v>2587</v>
      </c>
      <c r="D80" s="569" t="s">
        <v>2588</v>
      </c>
      <c r="E80" s="569" t="s">
        <v>2589</v>
      </c>
      <c r="F80" s="569" t="s">
        <v>2590</v>
      </c>
      <c r="G80" s="569" t="s">
        <v>2591</v>
      </c>
      <c r="H80" s="530"/>
      <c r="I80" s="530"/>
      <c r="J80" s="530"/>
      <c r="K80" s="531"/>
      <c r="L80" s="532"/>
      <c r="M80" s="533"/>
      <c r="N80" s="1140"/>
      <c r="O80" s="1140"/>
      <c r="P80" s="2618"/>
      <c r="Q80" s="495"/>
    </row>
    <row r="81" spans="1:17" ht="15.75" thickBot="1">
      <c r="A81" s="525"/>
      <c r="B81" s="534"/>
      <c r="C81" s="535">
        <v>100</v>
      </c>
      <c r="D81" s="535">
        <f>C81-$K19</f>
        <v>97</v>
      </c>
      <c r="E81" s="535">
        <f>D81-$K19</f>
        <v>94</v>
      </c>
      <c r="F81" s="535">
        <f>E81-$K19</f>
        <v>91</v>
      </c>
      <c r="G81" s="535">
        <f>F81-$K19</f>
        <v>88</v>
      </c>
      <c r="H81" s="535"/>
      <c r="I81" s="535"/>
      <c r="J81" s="535"/>
      <c r="K81" s="535"/>
      <c r="L81" s="535"/>
      <c r="M81" s="536"/>
      <c r="N81" s="1141"/>
      <c r="O81" s="1141"/>
      <c r="P81" s="2618"/>
      <c r="Q81" s="495"/>
    </row>
    <row r="82" spans="1:17" ht="15.75" thickTop="1">
      <c r="A82" s="525"/>
      <c r="B82" s="537" t="s">
        <v>2095</v>
      </c>
      <c r="C82" s="530" t="s">
        <v>2594</v>
      </c>
      <c r="D82" s="530" t="s">
        <v>2595</v>
      </c>
      <c r="E82" s="530" t="s">
        <v>2596</v>
      </c>
      <c r="F82" s="530" t="s">
        <v>2597</v>
      </c>
      <c r="G82" s="530" t="s">
        <v>2598</v>
      </c>
      <c r="H82" s="530"/>
      <c r="I82" s="530"/>
      <c r="J82" s="530"/>
      <c r="K82" s="530"/>
      <c r="L82" s="530"/>
      <c r="M82" s="1370"/>
      <c r="N82" s="1141"/>
      <c r="O82" s="1141"/>
      <c r="P82" s="2618"/>
      <c r="Q82" s="495"/>
    </row>
    <row r="83" spans="1:17" ht="15.75" thickBot="1">
      <c r="A83" s="525"/>
      <c r="B83" s="537"/>
      <c r="C83" s="651">
        <v>100</v>
      </c>
      <c r="D83" s="651">
        <f>C83-$K21</f>
        <v>95</v>
      </c>
      <c r="E83" s="651">
        <f t="shared" ref="E83:G83" si="23">D83-$K21</f>
        <v>90</v>
      </c>
      <c r="F83" s="651">
        <f t="shared" si="23"/>
        <v>85</v>
      </c>
      <c r="G83" s="651">
        <f t="shared" si="23"/>
        <v>80</v>
      </c>
      <c r="H83" s="651"/>
      <c r="I83" s="651"/>
      <c r="J83" s="651"/>
      <c r="K83" s="651"/>
      <c r="L83" s="651"/>
      <c r="M83" s="441"/>
      <c r="N83" s="1141"/>
      <c r="O83" s="1141"/>
      <c r="P83" s="2618"/>
      <c r="Q83" s="495"/>
    </row>
    <row r="84" spans="1:17" ht="15.75" thickTop="1">
      <c r="A84" s="525"/>
      <c r="B84" s="529" t="s">
        <v>2599</v>
      </c>
      <c r="C84" s="569" t="s">
        <v>2587</v>
      </c>
      <c r="D84" s="569" t="s">
        <v>2588</v>
      </c>
      <c r="E84" s="569" t="s">
        <v>2589</v>
      </c>
      <c r="F84" s="569" t="s">
        <v>2590</v>
      </c>
      <c r="G84" s="569" t="s">
        <v>2591</v>
      </c>
      <c r="H84" s="530"/>
      <c r="I84" s="530"/>
      <c r="J84" s="530"/>
      <c r="K84" s="531"/>
      <c r="L84" s="532"/>
      <c r="M84" s="533"/>
      <c r="N84" s="1140"/>
      <c r="O84" s="1140"/>
      <c r="P84" s="2618"/>
      <c r="Q84" s="495"/>
    </row>
    <row r="85" spans="1:17" ht="15.75" thickBot="1">
      <c r="A85" s="525"/>
      <c r="B85" s="534"/>
      <c r="C85" s="535">
        <v>100</v>
      </c>
      <c r="D85" s="535">
        <f>C85-$K23</f>
        <v>96</v>
      </c>
      <c r="E85" s="535">
        <f>D85-$K23</f>
        <v>92</v>
      </c>
      <c r="F85" s="535">
        <f>E85-$K23</f>
        <v>88</v>
      </c>
      <c r="G85" s="535">
        <f>F85-$K23</f>
        <v>84</v>
      </c>
      <c r="H85" s="535"/>
      <c r="I85" s="535"/>
      <c r="J85" s="535"/>
      <c r="K85" s="535"/>
      <c r="L85" s="535"/>
      <c r="M85" s="536"/>
      <c r="N85" s="1141"/>
      <c r="O85" s="1141"/>
      <c r="P85" s="2618"/>
      <c r="Q85" s="495"/>
    </row>
    <row r="86" spans="1:17" s="110" customFormat="1" ht="15.75" thickTop="1">
      <c r="A86" s="570"/>
      <c r="B86" s="529" t="s">
        <v>2600</v>
      </c>
      <c r="C86" s="545"/>
      <c r="D86" s="545"/>
      <c r="E86" s="545"/>
      <c r="F86" s="545"/>
      <c r="G86" s="545"/>
      <c r="H86" s="545"/>
      <c r="I86" s="545"/>
      <c r="J86" s="545"/>
      <c r="K86" s="545"/>
      <c r="L86" s="571"/>
      <c r="M86" s="572"/>
      <c r="N86" s="1139"/>
      <c r="O86" s="1139"/>
      <c r="P86" s="2618"/>
      <c r="Q86" s="495"/>
    </row>
    <row r="87" spans="1:17" s="110" customFormat="1" ht="15.75" thickBot="1">
      <c r="A87" s="570"/>
      <c r="B87" s="534"/>
      <c r="C87" s="573">
        <v>100</v>
      </c>
      <c r="D87" s="535">
        <f t="shared" ref="D87:M87" si="24">$C$87-($C$86-D86)*$K$25</f>
        <v>100</v>
      </c>
      <c r="E87" s="535">
        <f t="shared" si="24"/>
        <v>100</v>
      </c>
      <c r="F87" s="535">
        <f t="shared" si="24"/>
        <v>100</v>
      </c>
      <c r="G87" s="535">
        <f t="shared" si="24"/>
        <v>100</v>
      </c>
      <c r="H87" s="535">
        <f t="shared" si="24"/>
        <v>100</v>
      </c>
      <c r="I87" s="535">
        <f t="shared" si="24"/>
        <v>100</v>
      </c>
      <c r="J87" s="535">
        <f t="shared" si="24"/>
        <v>100</v>
      </c>
      <c r="K87" s="535">
        <f t="shared" si="24"/>
        <v>100</v>
      </c>
      <c r="L87" s="535">
        <f t="shared" si="24"/>
        <v>100</v>
      </c>
      <c r="M87" s="535">
        <f t="shared" si="24"/>
        <v>100</v>
      </c>
      <c r="N87" s="1141"/>
      <c r="O87" s="1141"/>
      <c r="P87" s="2618"/>
      <c r="Q87" s="495"/>
    </row>
    <row r="88" spans="1:17" s="110" customFormat="1" ht="15.75" thickTop="1">
      <c r="A88" s="570"/>
      <c r="B88" s="529" t="s">
        <v>2601</v>
      </c>
      <c r="C88" s="545"/>
      <c r="D88" s="545"/>
      <c r="E88" s="545"/>
      <c r="F88" s="2623"/>
      <c r="G88" s="545"/>
      <c r="H88" s="545"/>
      <c r="I88" s="545"/>
      <c r="J88" s="545"/>
      <c r="K88" s="545"/>
      <c r="L88" s="545"/>
      <c r="M88" s="572"/>
      <c r="N88" s="1139"/>
      <c r="O88" s="1139"/>
      <c r="P88" s="2618"/>
      <c r="Q88" s="495"/>
    </row>
    <row r="89" spans="1:17" s="110" customFormat="1" ht="15.75" thickBot="1">
      <c r="A89" s="570"/>
      <c r="B89" s="534"/>
      <c r="C89" s="573">
        <v>100</v>
      </c>
      <c r="D89" s="535">
        <f t="shared" ref="D89:M89" si="25">C89-$K26</f>
        <v>100</v>
      </c>
      <c r="E89" s="535">
        <f t="shared" si="25"/>
        <v>100</v>
      </c>
      <c r="F89" s="535">
        <f t="shared" si="25"/>
        <v>100</v>
      </c>
      <c r="G89" s="535">
        <f t="shared" si="25"/>
        <v>100</v>
      </c>
      <c r="H89" s="535">
        <f t="shared" si="25"/>
        <v>100</v>
      </c>
      <c r="I89" s="535">
        <f t="shared" si="25"/>
        <v>100</v>
      </c>
      <c r="J89" s="535">
        <f t="shared" si="25"/>
        <v>100</v>
      </c>
      <c r="K89" s="535">
        <f t="shared" si="25"/>
        <v>100</v>
      </c>
      <c r="L89" s="535">
        <f t="shared" si="25"/>
        <v>100</v>
      </c>
      <c r="M89" s="535">
        <f t="shared" si="25"/>
        <v>100</v>
      </c>
      <c r="N89" s="1141"/>
      <c r="O89" s="1141"/>
      <c r="P89" s="2618"/>
      <c r="Q89" s="495"/>
    </row>
    <row r="90" spans="1:17" s="462" customFormat="1" ht="15.75" thickTop="1">
      <c r="A90" s="544"/>
      <c r="B90" s="529">
        <f>B27</f>
        <v>0</v>
      </c>
      <c r="C90" s="545"/>
      <c r="D90" s="545"/>
      <c r="E90" s="545"/>
      <c r="F90" s="545"/>
      <c r="G90" s="545"/>
      <c r="H90" s="546"/>
      <c r="I90" s="546"/>
      <c r="J90" s="546"/>
      <c r="K90" s="546"/>
      <c r="L90" s="547"/>
      <c r="M90" s="548"/>
      <c r="N90" s="1142"/>
      <c r="O90" s="1142"/>
      <c r="P90" s="2619"/>
      <c r="Q90" s="550"/>
    </row>
    <row r="91" spans="1:17" s="462" customFormat="1" ht="15.75" thickBot="1">
      <c r="A91" s="544"/>
      <c r="B91" s="534"/>
      <c r="C91" s="551"/>
      <c r="D91" s="551"/>
      <c r="E91" s="551"/>
      <c r="F91" s="551"/>
      <c r="G91" s="551"/>
      <c r="H91" s="553"/>
      <c r="I91" s="553"/>
      <c r="J91" s="553"/>
      <c r="K91" s="553"/>
      <c r="L91" s="553"/>
      <c r="M91" s="554"/>
      <c r="N91" s="1142"/>
      <c r="O91" s="1142"/>
      <c r="P91" s="2619"/>
      <c r="Q91" s="550"/>
    </row>
    <row r="92" spans="1:17" ht="15.75" thickTop="1">
      <c r="A92" s="525"/>
      <c r="B92" s="529">
        <f>B28</f>
        <v>0</v>
      </c>
      <c r="C92" s="545"/>
      <c r="D92" s="545"/>
      <c r="E92" s="545"/>
      <c r="F92" s="545"/>
      <c r="G92" s="574"/>
      <c r="H92" s="574"/>
      <c r="I92" s="574"/>
      <c r="J92" s="574"/>
      <c r="K92" s="575"/>
      <c r="L92" s="576"/>
      <c r="M92" s="577"/>
      <c r="N92" s="1140"/>
      <c r="O92" s="1140"/>
      <c r="P92" s="2618"/>
      <c r="Q92" s="495"/>
    </row>
    <row r="93" spans="1:17" ht="15.75" thickBot="1">
      <c r="A93" s="525"/>
      <c r="B93" s="534"/>
      <c r="C93" s="551"/>
      <c r="D93" s="527"/>
      <c r="E93" s="527"/>
      <c r="F93" s="527"/>
      <c r="G93" s="527"/>
      <c r="H93" s="527"/>
      <c r="I93" s="527"/>
      <c r="J93" s="527"/>
      <c r="K93" s="527"/>
      <c r="L93" s="527"/>
      <c r="M93" s="528"/>
      <c r="N93" s="1141"/>
      <c r="O93" s="1141"/>
      <c r="P93" s="2618"/>
      <c r="Q93" s="495"/>
    </row>
    <row r="94" spans="1:17" ht="15.75" thickTop="1">
      <c r="A94" s="525"/>
      <c r="B94" s="529">
        <f>B29</f>
        <v>0</v>
      </c>
      <c r="C94" s="545"/>
      <c r="D94" s="545"/>
      <c r="E94" s="545"/>
      <c r="F94" s="545"/>
      <c r="G94" s="574"/>
      <c r="H94" s="574"/>
      <c r="I94" s="574"/>
      <c r="J94" s="574"/>
      <c r="K94" s="575"/>
      <c r="L94" s="576"/>
      <c r="M94" s="577"/>
      <c r="N94" s="1140"/>
      <c r="O94" s="1140"/>
      <c r="P94" s="2618"/>
      <c r="Q94" s="495"/>
    </row>
    <row r="95" spans="1:17" ht="15.75" thickBot="1">
      <c r="A95" s="525"/>
      <c r="B95" s="534"/>
      <c r="C95" s="551"/>
      <c r="D95" s="551"/>
      <c r="E95" s="551"/>
      <c r="F95" s="551"/>
      <c r="G95" s="527"/>
      <c r="H95" s="527"/>
      <c r="I95" s="527"/>
      <c r="J95" s="527"/>
      <c r="K95" s="527"/>
      <c r="L95" s="527"/>
      <c r="M95" s="528"/>
      <c r="N95" s="1141"/>
      <c r="O95" s="1141"/>
      <c r="P95" s="2618"/>
      <c r="Q95" s="495"/>
    </row>
    <row r="96" spans="1:17" ht="15.75" thickTop="1">
      <c r="A96" s="525"/>
      <c r="B96" s="529">
        <f>B30</f>
        <v>0</v>
      </c>
      <c r="C96" s="545"/>
      <c r="D96" s="545"/>
      <c r="E96" s="545"/>
      <c r="F96" s="545"/>
      <c r="G96" s="574"/>
      <c r="H96" s="574"/>
      <c r="I96" s="574"/>
      <c r="J96" s="574"/>
      <c r="K96" s="575"/>
      <c r="L96" s="576"/>
      <c r="M96" s="577"/>
      <c r="N96" s="1140"/>
      <c r="O96" s="1140"/>
      <c r="P96" s="2618"/>
      <c r="Q96" s="495"/>
    </row>
    <row r="97" spans="1:17" ht="15.75" thickBot="1">
      <c r="A97" s="525"/>
      <c r="B97" s="534"/>
      <c r="C97" s="561"/>
      <c r="D97" s="561"/>
      <c r="E97" s="561"/>
      <c r="F97" s="561"/>
      <c r="G97" s="527"/>
      <c r="H97" s="527"/>
      <c r="I97" s="527"/>
      <c r="J97" s="527"/>
      <c r="K97" s="527"/>
      <c r="L97" s="527"/>
      <c r="M97" s="528"/>
      <c r="N97" s="1141"/>
      <c r="O97" s="1141"/>
      <c r="P97" s="2618"/>
      <c r="Q97" s="495"/>
    </row>
    <row r="98" spans="1:17" ht="15.75" thickTop="1">
      <c r="A98" s="525"/>
      <c r="B98" s="537">
        <f>B31</f>
        <v>0</v>
      </c>
      <c r="C98" s="578"/>
      <c r="D98" s="578"/>
      <c r="E98" s="578"/>
      <c r="F98" s="578"/>
      <c r="G98" s="578"/>
      <c r="H98" s="578"/>
      <c r="I98" s="578"/>
      <c r="J98" s="578"/>
      <c r="K98" s="579"/>
      <c r="L98" s="580"/>
      <c r="M98" s="581"/>
      <c r="N98" s="1140"/>
      <c r="O98" s="1140"/>
      <c r="P98" s="2618"/>
      <c r="Q98" s="495"/>
    </row>
    <row r="99" spans="1:17" ht="15.75" thickBot="1">
      <c r="A99" s="2624"/>
      <c r="B99" s="560"/>
      <c r="C99" s="582"/>
      <c r="D99" s="582"/>
      <c r="E99" s="582"/>
      <c r="F99" s="582"/>
      <c r="G99" s="582"/>
      <c r="H99" s="582"/>
      <c r="I99" s="582"/>
      <c r="J99" s="582"/>
      <c r="K99" s="582"/>
      <c r="L99" s="582"/>
      <c r="M99" s="583"/>
      <c r="N99" s="1141"/>
      <c r="O99" s="1141"/>
      <c r="P99" s="2618"/>
      <c r="Q99" s="495"/>
    </row>
    <row r="100" spans="1:17">
      <c r="A100" s="518" t="s">
        <v>2553</v>
      </c>
      <c r="B100" s="519" t="s">
        <v>2602</v>
      </c>
      <c r="C100" s="2942" t="s">
        <v>3083</v>
      </c>
      <c r="D100" s="521"/>
      <c r="E100" s="521"/>
      <c r="F100" s="521"/>
      <c r="G100" s="521"/>
      <c r="H100" s="521"/>
      <c r="I100" s="521"/>
      <c r="J100" s="521"/>
      <c r="K100" s="522"/>
      <c r="L100" s="523"/>
      <c r="M100" s="524"/>
      <c r="N100" s="1140"/>
      <c r="O100" s="1140"/>
      <c r="P100" s="2618"/>
      <c r="Q100" s="495"/>
    </row>
    <row r="101" spans="1:17" ht="15.75" thickBot="1">
      <c r="A101" s="525"/>
      <c r="B101" s="534"/>
      <c r="C101" s="535">
        <v>100</v>
      </c>
      <c r="D101" s="535">
        <f t="shared" ref="D101:M101" si="26">C101-$K32</f>
        <v>90</v>
      </c>
      <c r="E101" s="535">
        <f t="shared" si="26"/>
        <v>80</v>
      </c>
      <c r="F101" s="535">
        <f t="shared" si="26"/>
        <v>70</v>
      </c>
      <c r="G101" s="535">
        <f t="shared" si="26"/>
        <v>60</v>
      </c>
      <c r="H101" s="535">
        <f t="shared" si="26"/>
        <v>50</v>
      </c>
      <c r="I101" s="535">
        <f t="shared" si="26"/>
        <v>40</v>
      </c>
      <c r="J101" s="535">
        <f t="shared" si="26"/>
        <v>30</v>
      </c>
      <c r="K101" s="535">
        <f t="shared" si="26"/>
        <v>20</v>
      </c>
      <c r="L101" s="535">
        <f t="shared" si="26"/>
        <v>10</v>
      </c>
      <c r="M101" s="535">
        <f t="shared" si="26"/>
        <v>0</v>
      </c>
      <c r="N101" s="1141"/>
      <c r="O101" s="1141"/>
      <c r="P101" s="2618"/>
      <c r="Q101" s="495"/>
    </row>
    <row r="102" spans="1:17" ht="29.25" thickTop="1">
      <c r="A102" s="525"/>
      <c r="B102" s="529" t="s">
        <v>2603</v>
      </c>
      <c r="C102" s="569" t="str">
        <f>C103&amp;"(含)"&amp;"-"&amp;D103</f>
        <v>0(含)-100000</v>
      </c>
      <c r="D102" s="569" t="str">
        <f t="shared" ref="D102:L102" si="27">D103&amp;"(含)"&amp;"-"&amp;E103</f>
        <v>100000(含)-200000</v>
      </c>
      <c r="E102" s="569" t="str">
        <f t="shared" si="27"/>
        <v>200000(含)-300000</v>
      </c>
      <c r="F102" s="569" t="str">
        <f t="shared" si="27"/>
        <v>300000(含)-400000</v>
      </c>
      <c r="G102" s="569" t="str">
        <f t="shared" si="27"/>
        <v>400000(含)-</v>
      </c>
      <c r="H102" s="569" t="str">
        <f t="shared" si="27"/>
        <v>(含)-</v>
      </c>
      <c r="I102" s="569" t="str">
        <f t="shared" si="27"/>
        <v>(含)-</v>
      </c>
      <c r="J102" s="569" t="str">
        <f t="shared" si="27"/>
        <v>(含)-</v>
      </c>
      <c r="K102" s="569" t="str">
        <f>K103&amp;"(含)"&amp;"-"&amp;L103</f>
        <v>(含)-</v>
      </c>
      <c r="L102" s="569" t="str">
        <f t="shared" si="27"/>
        <v>(含)-</v>
      </c>
      <c r="M102" s="569" t="str">
        <f>M103&amp;"(含)"&amp;"-"&amp;P103</f>
        <v>(含)-</v>
      </c>
      <c r="N102" s="1139"/>
      <c r="O102" s="1139"/>
      <c r="P102" s="2618"/>
      <c r="Q102" s="495"/>
    </row>
    <row r="103" spans="1:17" s="462" customFormat="1">
      <c r="A103" s="584"/>
      <c r="B103" s="585"/>
      <c r="C103" s="586">
        <v>0</v>
      </c>
      <c r="D103" s="586">
        <v>100000</v>
      </c>
      <c r="E103" s="586">
        <v>200000</v>
      </c>
      <c r="F103" s="586">
        <v>300000</v>
      </c>
      <c r="G103" s="586">
        <v>400000</v>
      </c>
      <c r="H103" s="586"/>
      <c r="I103" s="586"/>
      <c r="J103" s="587"/>
      <c r="K103" s="587"/>
      <c r="L103" s="588"/>
      <c r="M103" s="589"/>
      <c r="N103" s="1142"/>
      <c r="O103" s="1142"/>
      <c r="P103" s="2619"/>
      <c r="Q103" s="550"/>
    </row>
    <row r="104" spans="1:17" s="462" customFormat="1" ht="15.75" thickBot="1">
      <c r="A104" s="544"/>
      <c r="B104" s="534"/>
      <c r="C104" s="551">
        <v>100</v>
      </c>
      <c r="D104" s="527">
        <v>101</v>
      </c>
      <c r="E104" s="527">
        <v>102</v>
      </c>
      <c r="F104" s="527">
        <v>103</v>
      </c>
      <c r="G104" s="527">
        <v>104</v>
      </c>
      <c r="H104" s="527"/>
      <c r="I104" s="527"/>
      <c r="J104" s="527"/>
      <c r="K104" s="527"/>
      <c r="L104" s="527"/>
      <c r="M104" s="527"/>
      <c r="N104" s="1141"/>
      <c r="O104" s="1141"/>
      <c r="P104" s="2619"/>
      <c r="Q104" s="550"/>
    </row>
    <row r="105" spans="1:17" ht="15" thickTop="1">
      <c r="A105" s="590"/>
      <c r="B105" s="529" t="s">
        <v>2604</v>
      </c>
      <c r="C105" s="2932" t="s">
        <v>3084</v>
      </c>
      <c r="D105" s="2932" t="s">
        <v>3085</v>
      </c>
      <c r="E105" s="2933" t="s">
        <v>3086</v>
      </c>
      <c r="F105" s="574"/>
      <c r="G105" s="574"/>
      <c r="H105" s="574"/>
      <c r="I105" s="574"/>
      <c r="J105" s="574"/>
      <c r="K105" s="575"/>
      <c r="L105" s="576"/>
      <c r="M105" s="577"/>
      <c r="N105" s="1140"/>
      <c r="O105" s="1140"/>
      <c r="P105" s="2618"/>
      <c r="Q105" s="495"/>
    </row>
    <row r="106" spans="1:17" ht="15.75" thickBot="1">
      <c r="A106" s="525"/>
      <c r="B106" s="534"/>
      <c r="C106" s="535">
        <v>100</v>
      </c>
      <c r="D106" s="535">
        <f t="shared" ref="D106:M106" si="28">C106-$K34</f>
        <v>98</v>
      </c>
      <c r="E106" s="535">
        <f t="shared" si="28"/>
        <v>96</v>
      </c>
      <c r="F106" s="535">
        <f t="shared" si="28"/>
        <v>94</v>
      </c>
      <c r="G106" s="535">
        <f t="shared" si="28"/>
        <v>92</v>
      </c>
      <c r="H106" s="535">
        <f t="shared" si="28"/>
        <v>90</v>
      </c>
      <c r="I106" s="535">
        <f t="shared" si="28"/>
        <v>88</v>
      </c>
      <c r="J106" s="535">
        <f t="shared" si="28"/>
        <v>86</v>
      </c>
      <c r="K106" s="535">
        <f t="shared" si="28"/>
        <v>84</v>
      </c>
      <c r="L106" s="535">
        <f t="shared" si="28"/>
        <v>82</v>
      </c>
      <c r="M106" s="535">
        <f t="shared" si="28"/>
        <v>80</v>
      </c>
      <c r="N106" s="1141"/>
      <c r="O106" s="1141"/>
      <c r="P106" s="2618"/>
      <c r="Q106" s="495"/>
    </row>
    <row r="107" spans="1:17" ht="15" thickTop="1">
      <c r="A107" s="590"/>
      <c r="B107" s="529" t="s">
        <v>2605</v>
      </c>
      <c r="C107" s="2933" t="s">
        <v>3087</v>
      </c>
      <c r="D107" s="2933" t="s">
        <v>3088</v>
      </c>
      <c r="E107" s="574"/>
      <c r="F107" s="574"/>
      <c r="G107" s="574"/>
      <c r="H107" s="574"/>
      <c r="I107" s="574"/>
      <c r="J107" s="574"/>
      <c r="K107" s="575"/>
      <c r="L107" s="576"/>
      <c r="M107" s="577"/>
      <c r="N107" s="1140"/>
      <c r="O107" s="1140"/>
      <c r="P107" s="2618"/>
      <c r="Q107" s="495"/>
    </row>
    <row r="108" spans="1:17" ht="15.75" thickBot="1">
      <c r="A108" s="525"/>
      <c r="B108" s="534"/>
      <c r="C108" s="535">
        <v>100</v>
      </c>
      <c r="D108" s="535">
        <f t="shared" ref="D108:M108" si="29">C108-$K35</f>
        <v>98</v>
      </c>
      <c r="E108" s="535">
        <f t="shared" si="29"/>
        <v>96</v>
      </c>
      <c r="F108" s="535">
        <f t="shared" si="29"/>
        <v>94</v>
      </c>
      <c r="G108" s="535">
        <f t="shared" si="29"/>
        <v>92</v>
      </c>
      <c r="H108" s="535">
        <f t="shared" si="29"/>
        <v>90</v>
      </c>
      <c r="I108" s="535">
        <f t="shared" si="29"/>
        <v>88</v>
      </c>
      <c r="J108" s="535">
        <f t="shared" si="29"/>
        <v>86</v>
      </c>
      <c r="K108" s="535">
        <f t="shared" si="29"/>
        <v>84</v>
      </c>
      <c r="L108" s="535">
        <f t="shared" si="29"/>
        <v>82</v>
      </c>
      <c r="M108" s="535">
        <f t="shared" si="29"/>
        <v>80</v>
      </c>
      <c r="N108" s="1141"/>
      <c r="O108" s="1141"/>
      <c r="P108" s="2618"/>
      <c r="Q108" s="495"/>
    </row>
    <row r="109" spans="1:17" ht="15" thickTop="1">
      <c r="A109" s="590"/>
      <c r="B109" s="529" t="s">
        <v>2606</v>
      </c>
      <c r="C109" s="2932" t="s">
        <v>3089</v>
      </c>
      <c r="D109" s="2932" t="s">
        <v>3090</v>
      </c>
      <c r="E109" s="2932" t="s">
        <v>3091</v>
      </c>
      <c r="F109" s="2933" t="s">
        <v>3092</v>
      </c>
      <c r="G109" s="574"/>
      <c r="H109" s="574"/>
      <c r="I109" s="574"/>
      <c r="J109" s="574"/>
      <c r="K109" s="575"/>
      <c r="L109" s="576"/>
      <c r="M109" s="577"/>
      <c r="N109" s="1140"/>
      <c r="O109" s="1140"/>
      <c r="P109" s="2618"/>
      <c r="Q109" s="495"/>
    </row>
    <row r="110" spans="1:17" ht="15.75" thickBot="1">
      <c r="A110" s="525"/>
      <c r="B110" s="534"/>
      <c r="C110" s="535">
        <v>100</v>
      </c>
      <c r="D110" s="535">
        <f t="shared" ref="D110:M110" si="30">C110-$K36</f>
        <v>98</v>
      </c>
      <c r="E110" s="535">
        <f t="shared" si="30"/>
        <v>96</v>
      </c>
      <c r="F110" s="535">
        <f t="shared" si="30"/>
        <v>94</v>
      </c>
      <c r="G110" s="535">
        <f t="shared" si="30"/>
        <v>92</v>
      </c>
      <c r="H110" s="535">
        <f t="shared" si="30"/>
        <v>90</v>
      </c>
      <c r="I110" s="535">
        <f t="shared" si="30"/>
        <v>88</v>
      </c>
      <c r="J110" s="535">
        <f t="shared" si="30"/>
        <v>86</v>
      </c>
      <c r="K110" s="535">
        <f t="shared" si="30"/>
        <v>84</v>
      </c>
      <c r="L110" s="535">
        <f t="shared" si="30"/>
        <v>82</v>
      </c>
      <c r="M110" s="535">
        <f t="shared" si="30"/>
        <v>80</v>
      </c>
      <c r="N110" s="1141"/>
      <c r="O110" s="1141"/>
      <c r="P110" s="2618"/>
      <c r="Q110" s="495"/>
    </row>
    <row r="111" spans="1:17" s="462" customFormat="1" ht="15" thickTop="1">
      <c r="A111" s="584"/>
      <c r="B111" s="529" t="s">
        <v>1999</v>
      </c>
      <c r="C111" s="569" t="str">
        <f>C112&amp;"(含)"&amp;"-"&amp;D112</f>
        <v>0.5(含)-0.6</v>
      </c>
      <c r="D111" s="569" t="str">
        <f>D112&amp;"(含)"&amp;"-"&amp;E112</f>
        <v>0.6(含)-0.7</v>
      </c>
      <c r="E111" s="569" t="str">
        <f>E112&amp;"(含)"&amp;"-"&amp;F112</f>
        <v>0.7(含)-0.8</v>
      </c>
      <c r="F111" s="569" t="str">
        <f>F112&amp;"(含)"&amp;"-"&amp;G112</f>
        <v>0.8(含)-0.9</v>
      </c>
      <c r="G111" s="569" t="str">
        <f>G112&amp;"(含)"&amp;"-"&amp;ROUND(H112,0)&amp;"(含)"</f>
        <v>0.9(含)-1(含)</v>
      </c>
      <c r="H111" s="569" t="str">
        <f>ROUND(H112,0)&amp;"(含)"&amp;"-"&amp;I112</f>
        <v>1(含)-</v>
      </c>
      <c r="I111" s="569"/>
      <c r="J111" s="591"/>
      <c r="K111" s="591"/>
      <c r="L111" s="592"/>
      <c r="M111" s="593"/>
      <c r="N111" s="1142"/>
      <c r="O111" s="1142"/>
      <c r="P111" s="2619"/>
      <c r="Q111" s="550"/>
    </row>
    <row r="112" spans="1:17" s="462" customFormat="1">
      <c r="A112" s="584"/>
      <c r="B112" s="537"/>
      <c r="C112" s="594">
        <v>0.5</v>
      </c>
      <c r="D112" s="594">
        <v>0.6</v>
      </c>
      <c r="E112" s="594">
        <v>0.7</v>
      </c>
      <c r="F112" s="594">
        <v>0.8</v>
      </c>
      <c r="G112" s="594">
        <v>0.9</v>
      </c>
      <c r="H112" s="594">
        <v>1.0001</v>
      </c>
      <c r="I112" s="594"/>
      <c r="J112" s="595"/>
      <c r="K112" s="595"/>
      <c r="L112" s="596"/>
      <c r="M112" s="597"/>
      <c r="N112" s="1142"/>
      <c r="O112" s="1142"/>
      <c r="P112" s="2619"/>
      <c r="Q112" s="550"/>
    </row>
    <row r="113" spans="1:17" s="462" customFormat="1" ht="15.75" thickBot="1">
      <c r="A113" s="544"/>
      <c r="B113" s="534"/>
      <c r="C113" s="573">
        <v>100</v>
      </c>
      <c r="D113" s="535">
        <f>C113+$K37</f>
        <v>102</v>
      </c>
      <c r="E113" s="535">
        <f>D113+$K37</f>
        <v>104</v>
      </c>
      <c r="F113" s="535">
        <f>E113+$K37</f>
        <v>106</v>
      </c>
      <c r="G113" s="535">
        <f>F113+$K37</f>
        <v>108</v>
      </c>
      <c r="H113" s="535">
        <f>G113+$K37</f>
        <v>110</v>
      </c>
      <c r="I113" s="573"/>
      <c r="J113" s="598"/>
      <c r="K113" s="598"/>
      <c r="L113" s="598"/>
      <c r="M113" s="599"/>
      <c r="N113" s="1142"/>
      <c r="O113" s="1142"/>
      <c r="P113" s="2619"/>
      <c r="Q113" s="550"/>
    </row>
    <row r="114" spans="1:17" ht="15" thickTop="1">
      <c r="A114" s="590"/>
      <c r="B114" s="529" t="s">
        <v>2607</v>
      </c>
      <c r="C114" s="2932" t="s">
        <v>3093</v>
      </c>
      <c r="D114" s="2932" t="s">
        <v>3094</v>
      </c>
      <c r="E114" s="574"/>
      <c r="F114" s="574"/>
      <c r="G114" s="574"/>
      <c r="H114" s="574"/>
      <c r="I114" s="574"/>
      <c r="J114" s="574"/>
      <c r="K114" s="575"/>
      <c r="L114" s="576"/>
      <c r="M114" s="577"/>
      <c r="N114" s="1140"/>
      <c r="O114" s="1140"/>
      <c r="P114" s="2618"/>
      <c r="Q114" s="495"/>
    </row>
    <row r="115" spans="1:17" ht="15.75" thickBot="1">
      <c r="A115" s="525"/>
      <c r="B115" s="534"/>
      <c r="C115" s="535">
        <v>100</v>
      </c>
      <c r="D115" s="535">
        <f t="shared" ref="D115:M115" si="31">C115-$K38</f>
        <v>98</v>
      </c>
      <c r="E115" s="535">
        <f t="shared" si="31"/>
        <v>96</v>
      </c>
      <c r="F115" s="535">
        <f t="shared" si="31"/>
        <v>94</v>
      </c>
      <c r="G115" s="535">
        <f t="shared" si="31"/>
        <v>92</v>
      </c>
      <c r="H115" s="535">
        <f t="shared" si="31"/>
        <v>90</v>
      </c>
      <c r="I115" s="535">
        <f t="shared" si="31"/>
        <v>88</v>
      </c>
      <c r="J115" s="535">
        <f t="shared" si="31"/>
        <v>86</v>
      </c>
      <c r="K115" s="535">
        <f t="shared" si="31"/>
        <v>84</v>
      </c>
      <c r="L115" s="535">
        <f t="shared" si="31"/>
        <v>82</v>
      </c>
      <c r="M115" s="535">
        <f t="shared" si="31"/>
        <v>80</v>
      </c>
      <c r="N115" s="1141"/>
      <c r="O115" s="1141"/>
      <c r="P115" s="2618"/>
      <c r="Q115" s="495"/>
    </row>
    <row r="116" spans="1:17" ht="15" thickTop="1">
      <c r="A116" s="590"/>
      <c r="B116" s="529" t="s">
        <v>2608</v>
      </c>
      <c r="C116" s="2932" t="s">
        <v>3095</v>
      </c>
      <c r="D116" s="2932" t="s">
        <v>3096</v>
      </c>
      <c r="E116" s="2932" t="s">
        <v>3097</v>
      </c>
      <c r="F116" s="2932" t="s">
        <v>3098</v>
      </c>
      <c r="G116" s="2932" t="s">
        <v>3099</v>
      </c>
      <c r="H116" s="574"/>
      <c r="I116" s="574"/>
      <c r="J116" s="574"/>
      <c r="K116" s="575"/>
      <c r="L116" s="576"/>
      <c r="M116" s="577"/>
      <c r="N116" s="1140"/>
      <c r="O116" s="1140"/>
      <c r="P116" s="2618"/>
      <c r="Q116" s="495"/>
    </row>
    <row r="117" spans="1:17" ht="15.75" thickBot="1">
      <c r="A117" s="525"/>
      <c r="B117" s="534"/>
      <c r="C117" s="535">
        <v>100</v>
      </c>
      <c r="D117" s="535">
        <f>C117-$K39</f>
        <v>98</v>
      </c>
      <c r="E117" s="535">
        <f>D117-$K39</f>
        <v>96</v>
      </c>
      <c r="F117" s="535">
        <f>E117-$K39</f>
        <v>94</v>
      </c>
      <c r="G117" s="535">
        <f>F117-$K39</f>
        <v>92</v>
      </c>
      <c r="H117" s="535"/>
      <c r="I117" s="535"/>
      <c r="J117" s="535"/>
      <c r="K117" s="535"/>
      <c r="L117" s="535"/>
      <c r="M117" s="536"/>
      <c r="N117" s="1141"/>
      <c r="O117" s="1141"/>
      <c r="P117" s="2618"/>
      <c r="Q117" s="495"/>
    </row>
    <row r="118" spans="1:17" ht="15" thickTop="1">
      <c r="A118" s="590"/>
      <c r="B118" s="529" t="s">
        <v>2609</v>
      </c>
      <c r="C118" s="2933" t="s">
        <v>3100</v>
      </c>
      <c r="D118" s="2933" t="s">
        <v>3101</v>
      </c>
      <c r="E118" s="574"/>
      <c r="F118" s="574"/>
      <c r="G118" s="574"/>
      <c r="H118" s="574"/>
      <c r="I118" s="574"/>
      <c r="J118" s="574"/>
      <c r="K118" s="575"/>
      <c r="L118" s="576"/>
      <c r="M118" s="577"/>
      <c r="N118" s="1140"/>
      <c r="O118" s="1140"/>
      <c r="P118" s="2618"/>
      <c r="Q118" s="495"/>
    </row>
    <row r="119" spans="1:17" ht="15.75" thickBot="1">
      <c r="A119" s="525"/>
      <c r="B119" s="534"/>
      <c r="C119" s="535">
        <v>100</v>
      </c>
      <c r="D119" s="535">
        <f t="shared" ref="D119:M119" si="32">C119-$K40</f>
        <v>98</v>
      </c>
      <c r="E119" s="535">
        <f t="shared" si="32"/>
        <v>96</v>
      </c>
      <c r="F119" s="535">
        <f t="shared" si="32"/>
        <v>94</v>
      </c>
      <c r="G119" s="535">
        <f t="shared" si="32"/>
        <v>92</v>
      </c>
      <c r="H119" s="535">
        <f t="shared" si="32"/>
        <v>90</v>
      </c>
      <c r="I119" s="535">
        <f t="shared" si="32"/>
        <v>88</v>
      </c>
      <c r="J119" s="535">
        <f t="shared" si="32"/>
        <v>86</v>
      </c>
      <c r="K119" s="535">
        <f t="shared" si="32"/>
        <v>84</v>
      </c>
      <c r="L119" s="535">
        <f t="shared" si="32"/>
        <v>82</v>
      </c>
      <c r="M119" s="535">
        <f t="shared" si="32"/>
        <v>80</v>
      </c>
      <c r="N119" s="1141"/>
      <c r="O119" s="1141"/>
      <c r="P119" s="2618"/>
      <c r="Q119" s="495"/>
    </row>
    <row r="120" spans="1:17" s="462" customFormat="1" ht="28.5" thickTop="1">
      <c r="A120" s="584"/>
      <c r="B120" s="529" t="s">
        <v>2564</v>
      </c>
      <c r="C120" s="2943" t="s">
        <v>3102</v>
      </c>
      <c r="D120" s="2932" t="s">
        <v>3103</v>
      </c>
      <c r="E120" s="2932" t="s">
        <v>3104</v>
      </c>
      <c r="F120" s="2932" t="s">
        <v>3105</v>
      </c>
      <c r="G120" s="545"/>
      <c r="H120" s="545"/>
      <c r="I120" s="545"/>
      <c r="J120" s="545"/>
      <c r="K120" s="545"/>
      <c r="L120" s="571"/>
      <c r="M120" s="572"/>
      <c r="N120" s="1142"/>
      <c r="O120" s="1142"/>
      <c r="P120" s="2619"/>
      <c r="Q120" s="550"/>
    </row>
    <row r="121" spans="1:17" s="462" customFormat="1" ht="15.75" thickBot="1">
      <c r="A121" s="544"/>
      <c r="B121" s="526"/>
      <c r="C121" s="551">
        <v>100</v>
      </c>
      <c r="D121" s="527">
        <v>100</v>
      </c>
      <c r="E121" s="527">
        <v>99</v>
      </c>
      <c r="F121" s="527">
        <v>98</v>
      </c>
      <c r="G121" s="527"/>
      <c r="H121" s="527"/>
      <c r="I121" s="527"/>
      <c r="J121" s="527"/>
      <c r="K121" s="527"/>
      <c r="L121" s="527"/>
      <c r="M121" s="527"/>
      <c r="N121" s="1142"/>
      <c r="O121" s="1142"/>
      <c r="P121" s="2619"/>
      <c r="Q121" s="550"/>
    </row>
    <row r="122" spans="1:17" ht="15" thickTop="1">
      <c r="A122" s="590"/>
      <c r="B122" s="529" t="s">
        <v>2610</v>
      </c>
      <c r="C122" s="2932" t="s">
        <v>3089</v>
      </c>
      <c r="D122" s="2932" t="s">
        <v>3090</v>
      </c>
      <c r="E122" s="2932" t="s">
        <v>3091</v>
      </c>
      <c r="F122" s="2933" t="s">
        <v>3092</v>
      </c>
      <c r="G122" s="574"/>
      <c r="H122" s="574"/>
      <c r="I122" s="574"/>
      <c r="J122" s="574"/>
      <c r="K122" s="575"/>
      <c r="L122" s="576"/>
      <c r="M122" s="577"/>
      <c r="N122" s="1140"/>
      <c r="O122" s="1140"/>
      <c r="P122" s="2618"/>
      <c r="Q122" s="495"/>
    </row>
    <row r="123" spans="1:17" ht="15.75" thickBot="1">
      <c r="A123" s="525"/>
      <c r="B123" s="534"/>
      <c r="C123" s="535">
        <v>100</v>
      </c>
      <c r="D123" s="535">
        <f t="shared" ref="D123:M123" si="33">C123-$K42</f>
        <v>95</v>
      </c>
      <c r="E123" s="535">
        <f t="shared" si="33"/>
        <v>90</v>
      </c>
      <c r="F123" s="535">
        <f t="shared" si="33"/>
        <v>85</v>
      </c>
      <c r="G123" s="535">
        <f t="shared" si="33"/>
        <v>80</v>
      </c>
      <c r="H123" s="535">
        <f t="shared" si="33"/>
        <v>75</v>
      </c>
      <c r="I123" s="535">
        <f t="shared" si="33"/>
        <v>70</v>
      </c>
      <c r="J123" s="535">
        <f t="shared" si="33"/>
        <v>65</v>
      </c>
      <c r="K123" s="535">
        <f t="shared" si="33"/>
        <v>60</v>
      </c>
      <c r="L123" s="535">
        <f t="shared" si="33"/>
        <v>55</v>
      </c>
      <c r="M123" s="535">
        <f t="shared" si="33"/>
        <v>50</v>
      </c>
      <c r="N123" s="1141"/>
      <c r="O123" s="1141"/>
      <c r="P123" s="2618"/>
      <c r="Q123" s="495"/>
    </row>
    <row r="124" spans="1:17" ht="15" thickTop="1">
      <c r="A124" s="590"/>
      <c r="B124" s="529" t="s">
        <v>2611</v>
      </c>
      <c r="C124" s="569" t="s">
        <v>2587</v>
      </c>
      <c r="D124" s="569" t="s">
        <v>2588</v>
      </c>
      <c r="E124" s="569" t="s">
        <v>2589</v>
      </c>
      <c r="F124" s="569" t="s">
        <v>2590</v>
      </c>
      <c r="G124" s="569" t="s">
        <v>2591</v>
      </c>
      <c r="H124" s="530"/>
      <c r="I124" s="530"/>
      <c r="J124" s="530"/>
      <c r="K124" s="531"/>
      <c r="L124" s="532"/>
      <c r="M124" s="533"/>
      <c r="N124" s="1140"/>
      <c r="O124" s="1140"/>
      <c r="P124" s="2619"/>
      <c r="Q124" s="495"/>
    </row>
    <row r="125" spans="1:17" ht="15.75" thickBot="1">
      <c r="A125" s="525"/>
      <c r="B125" s="534"/>
      <c r="C125" s="535">
        <v>100</v>
      </c>
      <c r="D125" s="535">
        <f>C125-$K43</f>
        <v>100</v>
      </c>
      <c r="E125" s="535">
        <f>D125-$K43</f>
        <v>100</v>
      </c>
      <c r="F125" s="535">
        <f>E125-$K43</f>
        <v>100</v>
      </c>
      <c r="G125" s="535">
        <f>F125-$K43</f>
        <v>100</v>
      </c>
      <c r="H125" s="535"/>
      <c r="I125" s="535"/>
      <c r="J125" s="535"/>
      <c r="K125" s="535"/>
      <c r="L125" s="535"/>
      <c r="M125" s="536"/>
      <c r="N125" s="1141"/>
      <c r="O125" s="1141"/>
      <c r="P125" s="2618"/>
      <c r="Q125" s="495"/>
    </row>
    <row r="126" spans="1:17" s="462" customFormat="1" ht="15" thickTop="1">
      <c r="A126" s="584"/>
      <c r="B126" s="529">
        <f>B44</f>
        <v>0</v>
      </c>
      <c r="C126" s="2944" t="s">
        <v>3149</v>
      </c>
      <c r="D126" s="2944" t="s">
        <v>3150</v>
      </c>
      <c r="E126" s="545"/>
      <c r="F126" s="545"/>
      <c r="G126" s="545"/>
      <c r="H126" s="546"/>
      <c r="I126" s="546"/>
      <c r="J126" s="546"/>
      <c r="K126" s="546"/>
      <c r="L126" s="547"/>
      <c r="M126" s="548"/>
      <c r="N126" s="1142"/>
      <c r="O126" s="1142"/>
      <c r="P126" s="2619"/>
      <c r="Q126" s="550"/>
    </row>
    <row r="127" spans="1:17" s="462" customFormat="1" ht="15.75" thickBot="1">
      <c r="A127" s="544"/>
      <c r="B127" s="534"/>
      <c r="C127" s="551">
        <v>100</v>
      </c>
      <c r="D127" s="527">
        <v>105</v>
      </c>
      <c r="E127" s="527"/>
      <c r="F127" s="527"/>
      <c r="G127" s="551"/>
      <c r="H127" s="553"/>
      <c r="I127" s="553"/>
      <c r="J127" s="553"/>
      <c r="K127" s="553"/>
      <c r="L127" s="553"/>
      <c r="M127" s="554"/>
      <c r="N127" s="1142"/>
      <c r="O127" s="1142"/>
      <c r="P127" s="2619"/>
      <c r="Q127" s="550"/>
    </row>
    <row r="128" spans="1:17" ht="15" thickTop="1">
      <c r="A128" s="590"/>
      <c r="B128" s="529">
        <f>B45</f>
        <v>0</v>
      </c>
      <c r="C128" s="545"/>
      <c r="D128" s="545"/>
      <c r="E128" s="545"/>
      <c r="F128" s="545"/>
      <c r="G128" s="574"/>
      <c r="H128" s="574"/>
      <c r="I128" s="574"/>
      <c r="J128" s="574"/>
      <c r="K128" s="575"/>
      <c r="L128" s="576"/>
      <c r="M128" s="577"/>
      <c r="N128" s="1140"/>
      <c r="O128" s="1140"/>
      <c r="P128" s="2618"/>
      <c r="Q128" s="495"/>
    </row>
    <row r="129" spans="1:17" ht="15.75" thickBot="1">
      <c r="A129" s="525"/>
      <c r="B129" s="534"/>
      <c r="C129" s="551"/>
      <c r="D129" s="551"/>
      <c r="E129" s="551"/>
      <c r="F129" s="551"/>
      <c r="G129" s="527"/>
      <c r="H129" s="527"/>
      <c r="I129" s="527"/>
      <c r="J129" s="527"/>
      <c r="K129" s="527"/>
      <c r="L129" s="527"/>
      <c r="M129" s="528"/>
      <c r="N129" s="1141"/>
      <c r="O129" s="1141"/>
      <c r="P129" s="2618"/>
      <c r="Q129" s="495"/>
    </row>
    <row r="130" spans="1:17" ht="15" thickTop="1">
      <c r="A130" s="590"/>
      <c r="B130" s="537">
        <f>B46</f>
        <v>0</v>
      </c>
      <c r="C130" s="545"/>
      <c r="D130" s="545"/>
      <c r="E130" s="545"/>
      <c r="F130" s="545"/>
      <c r="G130" s="578"/>
      <c r="H130" s="578"/>
      <c r="I130" s="578"/>
      <c r="J130" s="578"/>
      <c r="K130" s="514"/>
      <c r="L130" s="515"/>
      <c r="M130" s="581"/>
      <c r="N130" s="1140"/>
      <c r="O130" s="1140"/>
      <c r="P130" s="2618"/>
      <c r="Q130" s="495"/>
    </row>
    <row r="131" spans="1:17" ht="15.75" thickBot="1">
      <c r="A131" s="2624"/>
      <c r="B131" s="560"/>
      <c r="C131" s="561"/>
      <c r="D131" s="561"/>
      <c r="E131" s="561"/>
      <c r="F131" s="561"/>
      <c r="G131" s="582"/>
      <c r="H131" s="582"/>
      <c r="I131" s="582"/>
      <c r="J131" s="582"/>
      <c r="K131" s="582"/>
      <c r="L131" s="582"/>
      <c r="M131" s="583"/>
      <c r="N131" s="1141"/>
      <c r="O131" s="1141"/>
      <c r="P131" s="2618"/>
      <c r="Q131" s="495"/>
    </row>
    <row r="136" spans="1:17" ht="15" thickBot="1">
      <c r="B136" s="2625" t="s">
        <v>2612</v>
      </c>
    </row>
    <row r="137" spans="1:17" ht="15">
      <c r="B137" s="2626" t="s">
        <v>2613</v>
      </c>
      <c r="C137" s="2627"/>
      <c r="D137" s="2627"/>
      <c r="E137" s="2627"/>
      <c r="F137" s="2627"/>
      <c r="G137" s="2628"/>
      <c r="H137" s="2629"/>
      <c r="I137" s="2630" t="s">
        <v>2614</v>
      </c>
      <c r="J137" s="2627"/>
      <c r="K137" s="2631"/>
    </row>
    <row r="138" spans="1:17" ht="15">
      <c r="B138" s="2632"/>
      <c r="C138" s="137" t="s">
        <v>2615</v>
      </c>
      <c r="D138" s="137" t="s">
        <v>2616</v>
      </c>
      <c r="E138" s="2633" t="s">
        <v>2617</v>
      </c>
      <c r="F138" s="2634" t="s">
        <v>2618</v>
      </c>
      <c r="G138" s="137" t="s">
        <v>2616</v>
      </c>
      <c r="H138" s="138" t="s">
        <v>2617</v>
      </c>
      <c r="I138" s="2635"/>
      <c r="J138" s="137" t="s">
        <v>2619</v>
      </c>
      <c r="K138" s="138" t="s">
        <v>2620</v>
      </c>
    </row>
    <row r="139" spans="1:17" ht="15">
      <c r="B139" s="1072">
        <v>6</v>
      </c>
      <c r="C139" s="1073">
        <v>96</v>
      </c>
      <c r="D139" s="2636" t="s">
        <v>2621</v>
      </c>
      <c r="E139" s="1074">
        <v>100</v>
      </c>
      <c r="F139" s="1075">
        <v>102.5</v>
      </c>
      <c r="G139" s="2636" t="s">
        <v>2621</v>
      </c>
      <c r="H139" s="1076">
        <v>105</v>
      </c>
      <c r="I139" s="2637" t="s">
        <v>2622</v>
      </c>
      <c r="J139" s="1073">
        <v>20</v>
      </c>
      <c r="K139" s="1077">
        <f>C145/(J139-2)</f>
        <v>4.0555555555555553E-3</v>
      </c>
    </row>
    <row r="140" spans="1:17" ht="15">
      <c r="B140" s="1078">
        <v>5</v>
      </c>
      <c r="C140" s="1079">
        <v>100</v>
      </c>
      <c r="D140" s="1079"/>
      <c r="E140" s="1080"/>
      <c r="F140" s="1081">
        <v>102</v>
      </c>
      <c r="G140" s="1079"/>
      <c r="H140" s="1082"/>
      <c r="I140" s="2638" t="s">
        <v>2623</v>
      </c>
      <c r="J140" s="306">
        <f>ROUNDUP((J139-1)/2,0)</f>
        <v>10</v>
      </c>
      <c r="K140" s="1083">
        <v>100</v>
      </c>
    </row>
    <row r="141" spans="1:17" ht="15">
      <c r="B141" s="1078">
        <v>4</v>
      </c>
      <c r="C141" s="1079">
        <v>102</v>
      </c>
      <c r="D141" s="1079"/>
      <c r="E141" s="1080"/>
      <c r="F141" s="1081">
        <v>101.5</v>
      </c>
      <c r="G141" s="1079"/>
      <c r="H141" s="1082"/>
      <c r="I141" s="2638" t="s">
        <v>2624</v>
      </c>
      <c r="J141" s="306">
        <v>1</v>
      </c>
      <c r="K141" s="1084">
        <f>ROUND(100+(J141-J140)*K139*100,1)</f>
        <v>96.4</v>
      </c>
    </row>
    <row r="142" spans="1:17" ht="15">
      <c r="B142" s="1078">
        <v>3</v>
      </c>
      <c r="C142" s="1079">
        <v>103</v>
      </c>
      <c r="D142" s="1079"/>
      <c r="E142" s="1080"/>
      <c r="F142" s="1081">
        <v>101</v>
      </c>
      <c r="G142" s="1079"/>
      <c r="H142" s="1082"/>
      <c r="I142" s="2638" t="s">
        <v>2625</v>
      </c>
      <c r="J142" s="306">
        <f>J139</f>
        <v>20</v>
      </c>
      <c r="K142" s="1085">
        <v>95</v>
      </c>
    </row>
    <row r="143" spans="1:17" ht="15">
      <c r="B143" s="1078">
        <v>2</v>
      </c>
      <c r="C143" s="1079">
        <v>100</v>
      </c>
      <c r="D143" s="1079"/>
      <c r="E143" s="1080"/>
      <c r="F143" s="1081">
        <v>100.5</v>
      </c>
      <c r="G143" s="1079"/>
      <c r="H143" s="1082"/>
      <c r="I143" s="2638" t="s">
        <v>2626</v>
      </c>
      <c r="J143" s="1079">
        <v>15</v>
      </c>
      <c r="K143" s="1084">
        <f>ROUND(100+(J143-J140)*K139*100,1)</f>
        <v>102</v>
      </c>
    </row>
    <row r="144" spans="1:17" ht="15">
      <c r="B144" s="1078">
        <v>1</v>
      </c>
      <c r="C144" s="1079">
        <v>98</v>
      </c>
      <c r="D144" s="2639" t="s">
        <v>2627</v>
      </c>
      <c r="E144" s="1080">
        <v>102</v>
      </c>
      <c r="F144" s="1086">
        <v>100</v>
      </c>
      <c r="G144" s="2639" t="s">
        <v>2627</v>
      </c>
      <c r="H144" s="1082">
        <v>105</v>
      </c>
      <c r="I144" s="2638" t="s">
        <v>2626</v>
      </c>
      <c r="J144" s="1079">
        <v>18</v>
      </c>
      <c r="K144" s="1084">
        <f>ROUND(100+(J144-J140)*K139*100,1)</f>
        <v>103.2</v>
      </c>
    </row>
    <row r="145" spans="2:11" ht="15.75" thickBot="1">
      <c r="B145" s="2640" t="s">
        <v>2628</v>
      </c>
      <c r="C145" s="1087">
        <f>ROUND(MAX(C139:C144)/MIN(C139:C144)-1,3)</f>
        <v>7.2999999999999995E-2</v>
      </c>
      <c r="D145" s="1088"/>
      <c r="E145" s="1088"/>
      <c r="F145" s="2641" t="s">
        <v>2629</v>
      </c>
      <c r="G145" s="2642"/>
      <c r="H145" s="2643"/>
      <c r="I145" s="2644" t="s">
        <v>2626</v>
      </c>
      <c r="J145" s="1089">
        <v>8</v>
      </c>
      <c r="K145" s="1090">
        <f>ROUND(100+(J145-J140)*K139*100,1)</f>
        <v>99.2</v>
      </c>
    </row>
    <row r="147" spans="2:11">
      <c r="B147" s="2625" t="s">
        <v>2630</v>
      </c>
    </row>
    <row r="148" spans="2:11">
      <c r="B148" s="2625" t="s">
        <v>2631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disablePrompts="1"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J38" sqref="A38:J40"/>
    </sheetView>
  </sheetViews>
  <sheetFormatPr defaultRowHeight="12.75"/>
  <cols>
    <col min="1" max="1" width="9" style="293" customWidth="1"/>
    <col min="2" max="2" width="20.625" style="698" customWidth="1"/>
    <col min="3" max="3" width="11.875" style="698" customWidth="1"/>
    <col min="4" max="4" width="40.5" style="293" customWidth="1"/>
    <col min="5" max="5" width="15.75" style="293" customWidth="1"/>
    <col min="6" max="6" width="10.625" style="293" customWidth="1"/>
    <col min="7" max="7" width="4.875" style="293" customWidth="1"/>
    <col min="8" max="8" width="8.5" style="293" customWidth="1"/>
    <col min="9" max="9" width="21.25" style="293" customWidth="1"/>
    <col min="10" max="10" width="12.25" style="293" customWidth="1"/>
    <col min="11" max="11" width="45.125" style="1922" customWidth="1"/>
    <col min="12" max="12" width="16.375" style="293" customWidth="1"/>
    <col min="13" max="13" width="13" style="293" customWidth="1"/>
    <col min="14" max="14" width="13.75" style="1829" customWidth="1"/>
    <col min="15" max="15" width="5.125" style="1829" customWidth="1"/>
    <col min="16" max="16" width="25.75" style="1829" customWidth="1"/>
    <col min="17" max="17" width="13.75" style="1829" customWidth="1"/>
    <col min="18" max="18" width="20.5" style="1829" customWidth="1"/>
    <col min="19" max="19" width="13.25" style="1829" customWidth="1"/>
    <col min="20" max="37" width="9" style="1829"/>
    <col min="38" max="16384" width="9" style="293"/>
  </cols>
  <sheetData>
    <row r="1" spans="1:37" s="328" customFormat="1" ht="21">
      <c r="A1" s="1820" t="s">
        <v>1589</v>
      </c>
      <c r="B1" s="773"/>
      <c r="C1" s="1824" t="s">
        <v>3788</v>
      </c>
      <c r="D1" s="1807" t="s">
        <v>3111</v>
      </c>
      <c r="E1" s="1808" t="s">
        <v>1387</v>
      </c>
      <c r="F1" s="1271">
        <f ca="1">J53</f>
        <v>33.619999999999997</v>
      </c>
      <c r="G1" s="1823">
        <f>MATCH(C1,'数据-取费表'!A6:A16,0)+5</f>
        <v>6</v>
      </c>
      <c r="H1" s="743"/>
      <c r="I1" s="330"/>
      <c r="J1" s="330"/>
      <c r="K1" s="744"/>
      <c r="L1" s="330"/>
      <c r="M1" s="330"/>
      <c r="N1" s="785"/>
      <c r="O1" s="785"/>
      <c r="P1" s="785"/>
      <c r="Q1" s="785"/>
      <c r="R1" s="785"/>
      <c r="S1" s="785"/>
      <c r="T1" s="785"/>
      <c r="U1" s="785"/>
      <c r="V1" s="785"/>
      <c r="W1" s="785"/>
      <c r="X1" s="785"/>
      <c r="Y1" s="785"/>
      <c r="Z1" s="785"/>
      <c r="AA1" s="785"/>
      <c r="AB1" s="785"/>
      <c r="AC1" s="785"/>
      <c r="AD1" s="785"/>
      <c r="AE1" s="785"/>
      <c r="AF1" s="785"/>
      <c r="AG1" s="785"/>
      <c r="AH1" s="785"/>
      <c r="AI1" s="785"/>
      <c r="AJ1" s="785"/>
      <c r="AK1" s="785"/>
    </row>
    <row r="2" spans="1:37" ht="18" customHeight="1">
      <c r="A2" s="1830" t="s">
        <v>1515</v>
      </c>
      <c r="B2" s="1831">
        <f ca="1">C40+J29+L46</f>
        <v>22361</v>
      </c>
      <c r="C2" s="1832" t="s">
        <v>1516</v>
      </c>
      <c r="D2" s="1832"/>
      <c r="E2" s="1833"/>
      <c r="F2" s="1834"/>
      <c r="G2" s="1835"/>
      <c r="H2" s="1827"/>
      <c r="I2" s="1827"/>
      <c r="J2" s="1827"/>
      <c r="K2" s="1828"/>
      <c r="L2" s="1827"/>
      <c r="M2" s="1827"/>
    </row>
    <row r="3" spans="1:37" ht="18" customHeight="1" thickBot="1">
      <c r="A3" s="1836" t="s">
        <v>1517</v>
      </c>
      <c r="B3" s="1837">
        <f ca="1">IF(ISERROR(B2*10000/F43),0,ROUND(B2*10000/F43,0))</f>
        <v>10946</v>
      </c>
      <c r="C3" s="1832" t="s">
        <v>1518</v>
      </c>
      <c r="D3" s="1832"/>
      <c r="E3" s="1833"/>
      <c r="F3" s="1834"/>
      <c r="G3" s="1835"/>
      <c r="H3" s="735" t="s">
        <v>1588</v>
      </c>
      <c r="I3" s="1827"/>
      <c r="J3" s="1827"/>
      <c r="K3" s="1828"/>
      <c r="L3" s="1827"/>
      <c r="M3" s="1827"/>
    </row>
    <row r="4" spans="1:37" ht="18" customHeight="1">
      <c r="A4" s="331" t="s">
        <v>1396</v>
      </c>
      <c r="B4" s="332" t="s">
        <v>1397</v>
      </c>
      <c r="C4" s="332" t="s">
        <v>1398</v>
      </c>
      <c r="D4" s="332" t="s">
        <v>1399</v>
      </c>
      <c r="E4" s="333" t="s">
        <v>1400</v>
      </c>
      <c r="F4" s="334"/>
      <c r="G4" s="1838"/>
      <c r="H4" s="331" t="s">
        <v>1396</v>
      </c>
      <c r="I4" s="332" t="s">
        <v>1397</v>
      </c>
      <c r="J4" s="332" t="s">
        <v>1398</v>
      </c>
      <c r="K4" s="332" t="s">
        <v>1399</v>
      </c>
      <c r="L4" s="333" t="s">
        <v>1400</v>
      </c>
      <c r="M4" s="334"/>
    </row>
    <row r="5" spans="1:37" ht="18" customHeight="1">
      <c r="A5" s="335">
        <v>1</v>
      </c>
      <c r="B5" s="336" t="s">
        <v>1401</v>
      </c>
      <c r="C5" s="1280">
        <f ca="1">C6+C10+C12</f>
        <v>1413</v>
      </c>
      <c r="D5" s="1809" t="s">
        <v>1402</v>
      </c>
      <c r="E5" s="1281"/>
      <c r="F5" s="1282"/>
      <c r="G5" s="1838"/>
      <c r="H5" s="335">
        <v>1</v>
      </c>
      <c r="I5" s="336" t="s">
        <v>1401</v>
      </c>
      <c r="J5" s="1280">
        <f ca="1">J6+J10+J12</f>
        <v>0</v>
      </c>
      <c r="K5" s="1809" t="s">
        <v>1402</v>
      </c>
      <c r="L5" s="1281"/>
      <c r="M5" s="1282"/>
    </row>
    <row r="6" spans="1:37" ht="18" customHeight="1">
      <c r="A6" s="1279" t="s">
        <v>1035</v>
      </c>
      <c r="B6" s="3320" t="s">
        <v>1403</v>
      </c>
      <c r="C6" s="1284">
        <f ca="1">ROUND(F6*F8*F7*(1-F9)/10000,0)</f>
        <v>1409</v>
      </c>
      <c r="D6" s="155" t="s">
        <v>3022</v>
      </c>
      <c r="E6" s="338" t="s">
        <v>1405</v>
      </c>
      <c r="F6" s="339">
        <f ca="1">INDIRECT("'数据-取费表'!u"&amp;$G$1)</f>
        <v>2.1</v>
      </c>
      <c r="G6" s="1838"/>
      <c r="H6" s="1279" t="s">
        <v>1035</v>
      </c>
      <c r="I6" s="3320" t="s">
        <v>1403</v>
      </c>
      <c r="J6" s="337">
        <f ca="1">ROUND(M6*M8*M7*(1-M9)/10000,0)</f>
        <v>0</v>
      </c>
      <c r="K6" s="155" t="s">
        <v>3021</v>
      </c>
      <c r="L6" s="338" t="s">
        <v>1405</v>
      </c>
      <c r="M6" s="339">
        <f ca="1">INDIRECT("'数据-取费表'!z"&amp;$G$1)</f>
        <v>0</v>
      </c>
    </row>
    <row r="7" spans="1:37" ht="18" customHeight="1">
      <c r="A7" s="1283"/>
      <c r="B7" s="3321"/>
      <c r="C7" s="1285"/>
      <c r="D7" s="343"/>
      <c r="E7" s="2965" t="s">
        <v>1406</v>
      </c>
      <c r="F7" s="339">
        <f ca="1">IF(INDIRECT("'数据-取费表'!ah"&amp;$G$1)="",INDIRECT("'数据-取费表'!k"&amp;$G$1),INDIRECT("'数据-取费表'!ah"&amp;$G$1))</f>
        <v>20428.607999999997</v>
      </c>
      <c r="G7" s="1838"/>
      <c r="H7" s="340"/>
      <c r="I7" s="3321"/>
      <c r="J7" s="342"/>
      <c r="K7" s="343"/>
      <c r="L7" s="338" t="s">
        <v>1406</v>
      </c>
      <c r="M7" s="339">
        <f ca="1">F7</f>
        <v>20428.607999999997</v>
      </c>
    </row>
    <row r="8" spans="1:37" ht="18" customHeight="1">
      <c r="A8" s="340"/>
      <c r="B8" s="3321"/>
      <c r="C8" s="342"/>
      <c r="D8" s="343"/>
      <c r="E8" s="338" t="s">
        <v>1407</v>
      </c>
      <c r="F8" s="339">
        <f ca="1">INDIRECT("'数据-取费表'!ai"&amp;$G$1)</f>
        <v>365</v>
      </c>
      <c r="G8" s="1838"/>
      <c r="H8" s="340"/>
      <c r="I8" s="3321"/>
      <c r="J8" s="342"/>
      <c r="K8" s="343"/>
      <c r="L8" s="338" t="s">
        <v>1407</v>
      </c>
      <c r="M8" s="339">
        <f ca="1">INDIRECT("'数据-取费表'!ai"&amp;$G$1)</f>
        <v>365</v>
      </c>
    </row>
    <row r="9" spans="1:37" ht="18" customHeight="1">
      <c r="A9" s="340"/>
      <c r="B9" s="3322"/>
      <c r="C9" s="342"/>
      <c r="D9" s="343"/>
      <c r="E9" s="338" t="s">
        <v>1408</v>
      </c>
      <c r="F9" s="348">
        <f ca="1">INDIRECT("'数据-取费表'!w"&amp;$G$1)</f>
        <v>0.1</v>
      </c>
      <c r="G9" s="1838"/>
      <c r="H9" s="340"/>
      <c r="I9" s="3322"/>
      <c r="J9" s="342"/>
      <c r="K9" s="343"/>
      <c r="L9" s="349" t="s">
        <v>1408</v>
      </c>
      <c r="M9" s="350">
        <f ca="1">INDIRECT("'数据-取费表'!ab"&amp;$G$1)</f>
        <v>0</v>
      </c>
    </row>
    <row r="10" spans="1:37" ht="18" customHeight="1">
      <c r="A10" s="1279" t="s">
        <v>1039</v>
      </c>
      <c r="B10" s="1810" t="s">
        <v>1409</v>
      </c>
      <c r="C10" s="352">
        <f ca="1">ROUND(IF(F10="押一",C6/12*F11,IF(F10="押二",C6/12*2*F11,IF(F10="押三",C6/12*3*F11,C11*F11))),0)</f>
        <v>4</v>
      </c>
      <c r="D10" s="1811" t="s">
        <v>3029</v>
      </c>
      <c r="E10" s="349" t="s">
        <v>1410</v>
      </c>
      <c r="F10" s="1354" t="s">
        <v>3886</v>
      </c>
      <c r="G10" s="1838"/>
      <c r="H10" s="1279" t="s">
        <v>1039</v>
      </c>
      <c r="I10" s="1810" t="s">
        <v>1409</v>
      </c>
      <c r="J10" s="337">
        <f ca="1">ROUND(IF(M10="押一",J6/12*M11,IF(M10="押二",J6/12*2*M11,IF(M10="押三",J6/12*3*M11,J11*M11))),0)</f>
        <v>0</v>
      </c>
      <c r="K10" s="1811" t="s">
        <v>3029</v>
      </c>
      <c r="L10" s="349" t="s">
        <v>1410</v>
      </c>
      <c r="M10" s="1354" t="s">
        <v>1411</v>
      </c>
    </row>
    <row r="11" spans="1:37" ht="18" customHeight="1">
      <c r="A11" s="344"/>
      <c r="B11" s="1812" t="s">
        <v>1388</v>
      </c>
      <c r="C11" s="1166"/>
      <c r="D11" s="1813"/>
      <c r="E11" s="349" t="s">
        <v>1412</v>
      </c>
      <c r="F11" s="350">
        <f ca="1">'数据-取费表'!B39</f>
        <v>1.4999999999999999E-2</v>
      </c>
      <c r="G11" s="1838"/>
      <c r="H11" s="1287"/>
      <c r="I11" s="1812" t="s">
        <v>1388</v>
      </c>
      <c r="J11" s="1166"/>
      <c r="K11" s="739"/>
      <c r="L11" s="349" t="s">
        <v>1412</v>
      </c>
      <c r="M11" s="1044">
        <f ca="1">'数据-取费表'!B39</f>
        <v>1.4999999999999999E-2</v>
      </c>
    </row>
    <row r="12" spans="1:37" ht="18" customHeight="1" thickBot="1">
      <c r="A12" s="1321" t="s">
        <v>1075</v>
      </c>
      <c r="B12" s="1814" t="s">
        <v>1413</v>
      </c>
      <c r="C12" s="1322"/>
      <c r="D12" s="1323"/>
      <c r="E12" s="1328"/>
      <c r="F12" s="1324"/>
      <c r="G12" s="1838"/>
      <c r="H12" s="1321" t="s">
        <v>1075</v>
      </c>
      <c r="I12" s="1814" t="s">
        <v>1413</v>
      </c>
      <c r="J12" s="1322"/>
      <c r="K12" s="1336"/>
      <c r="L12" s="1328"/>
      <c r="M12" s="1337"/>
    </row>
    <row r="13" spans="1:37" ht="18" customHeight="1" thickTop="1">
      <c r="A13" s="1317">
        <v>2</v>
      </c>
      <c r="B13" s="1318" t="s">
        <v>1414</v>
      </c>
      <c r="C13" s="346">
        <f ca="1">ROUND(C29*F13,0)</f>
        <v>8316</v>
      </c>
      <c r="D13" s="1319" t="s">
        <v>1415</v>
      </c>
      <c r="E13" s="1319" t="s">
        <v>1416</v>
      </c>
      <c r="F13" s="1320">
        <f ca="1">INDIRECT("'数据-取费表'!y"&amp;$G$1)</f>
        <v>0.99</v>
      </c>
      <c r="G13" s="1838"/>
      <c r="H13" s="1317">
        <v>2</v>
      </c>
      <c r="I13" s="1318" t="s">
        <v>1414</v>
      </c>
      <c r="J13" s="1278">
        <f ca="1">ROUND(J14*J15,0)</f>
        <v>0</v>
      </c>
      <c r="K13" s="1325" t="s">
        <v>1415</v>
      </c>
      <c r="L13" s="1839"/>
      <c r="M13" s="1840"/>
    </row>
    <row r="14" spans="1:37" ht="18" customHeight="1">
      <c r="A14" s="1189" t="s">
        <v>1034</v>
      </c>
      <c r="B14" s="338" t="s">
        <v>1417</v>
      </c>
      <c r="C14" s="354">
        <f ca="1">INDIRECT("'数据-取费表'!m"&amp;$G$1)+INDIRECT("'数据-取费表'!t"&amp;$G$1)</f>
        <v>5720</v>
      </c>
      <c r="D14" s="2959" t="s">
        <v>1418</v>
      </c>
      <c r="E14" s="2957"/>
      <c r="F14" s="355"/>
      <c r="G14" s="1838"/>
      <c r="H14" s="1189" t="s">
        <v>1035</v>
      </c>
      <c r="I14" s="338" t="s">
        <v>1419</v>
      </c>
      <c r="J14" s="24">
        <f ca="1">C29</f>
        <v>8400</v>
      </c>
      <c r="K14" s="2964"/>
      <c r="L14" s="968"/>
      <c r="M14" s="969"/>
    </row>
    <row r="15" spans="1:37" s="1845" customFormat="1" ht="18" customHeight="1" thickBot="1">
      <c r="A15" s="1189" t="s">
        <v>1036</v>
      </c>
      <c r="B15" s="338" t="s">
        <v>1420</v>
      </c>
      <c r="C15" s="24">
        <f ca="1">ROUND(C14*F15,0)</f>
        <v>172</v>
      </c>
      <c r="D15" s="356" t="s">
        <v>1421</v>
      </c>
      <c r="E15" s="356" t="s">
        <v>1422</v>
      </c>
      <c r="F15" s="357">
        <f>'数据-取费表'!B33</f>
        <v>0.03</v>
      </c>
      <c r="G15" s="1841"/>
      <c r="H15" s="1327" t="s">
        <v>1039</v>
      </c>
      <c r="I15" s="1328" t="s">
        <v>1416</v>
      </c>
      <c r="J15" s="1337">
        <f ca="1">INDIRECT("'数据-取费表'!ad"&amp;$G$1)</f>
        <v>0</v>
      </c>
      <c r="K15" s="1338"/>
      <c r="L15" s="1842"/>
      <c r="M15" s="1843"/>
      <c r="N15" s="1844"/>
      <c r="O15" s="1844"/>
      <c r="P15" s="1844"/>
      <c r="Q15" s="1844"/>
      <c r="R15" s="1844"/>
      <c r="S15" s="1844"/>
      <c r="T15" s="1844"/>
      <c r="U15" s="1844"/>
      <c r="V15" s="1844"/>
      <c r="W15" s="1844"/>
      <c r="X15" s="1844"/>
      <c r="Y15" s="1844"/>
      <c r="Z15" s="1844"/>
      <c r="AA15" s="1844"/>
      <c r="AB15" s="1844"/>
      <c r="AC15" s="1844"/>
      <c r="AD15" s="1844"/>
      <c r="AE15" s="1844"/>
      <c r="AF15" s="1844"/>
      <c r="AG15" s="1844"/>
      <c r="AH15" s="1844"/>
      <c r="AI15" s="1844"/>
      <c r="AJ15" s="1844"/>
      <c r="AK15" s="1844"/>
    </row>
    <row r="16" spans="1:37" ht="18" customHeight="1" thickTop="1">
      <c r="A16" s="1189" t="s">
        <v>1389</v>
      </c>
      <c r="B16" s="338" t="s">
        <v>1423</v>
      </c>
      <c r="C16" s="24">
        <f ca="1">ROUND(INDIRECT("'数据-取费表'!m"&amp;$G$1)*F16,0)</f>
        <v>0</v>
      </c>
      <c r="D16" s="338" t="s">
        <v>1421</v>
      </c>
      <c r="E16" s="338" t="s">
        <v>1422</v>
      </c>
      <c r="F16" s="358">
        <f ca="1">IF(INDIRECT("'数据-取费表'!c"&amp;$G$1)="住宅",'数据-取费表'!B34,0)</f>
        <v>0</v>
      </c>
      <c r="G16" s="1838"/>
      <c r="H16" s="1317" t="s">
        <v>1030</v>
      </c>
      <c r="I16" s="1318" t="s">
        <v>1424</v>
      </c>
      <c r="J16" s="346">
        <f ca="1">ROUND(J17+J22+J23+J24,0)</f>
        <v>202</v>
      </c>
      <c r="K16" s="1325" t="s">
        <v>1425</v>
      </c>
      <c r="L16" s="2960"/>
      <c r="M16" s="1282"/>
    </row>
    <row r="17" spans="1:37" s="1845" customFormat="1" ht="18" customHeight="1">
      <c r="A17" s="1189" t="s">
        <v>1390</v>
      </c>
      <c r="B17" s="338" t="s">
        <v>1426</v>
      </c>
      <c r="C17" s="24">
        <f ca="1">ROUND(F17*(F43+INDIRECT("'数据-取费表'!S"&amp;$G$1))/10000,0)</f>
        <v>409</v>
      </c>
      <c r="D17" s="338" t="s">
        <v>1427</v>
      </c>
      <c r="E17" s="338" t="s">
        <v>1428</v>
      </c>
      <c r="F17" s="26">
        <f>'数据-取费表'!B35</f>
        <v>200</v>
      </c>
      <c r="G17" s="1841"/>
      <c r="H17" s="1189" t="s">
        <v>1035</v>
      </c>
      <c r="I17" s="338" t="s">
        <v>1429</v>
      </c>
      <c r="J17" s="24">
        <f ca="1">ROUND(IF(项目基本情况!B11="自然人",J5*M17,J18+J19+J20),1)</f>
        <v>75.7</v>
      </c>
      <c r="K17" s="2959" t="s">
        <v>1430</v>
      </c>
      <c r="L17" s="2958" t="s">
        <v>1431</v>
      </c>
      <c r="M17" s="359">
        <f ca="1">IF(项目基本情况!B11="企业","",IF(INDIRECT("'数据-取费表'!c"&amp;$G$1)="住宅",5%,IF(M6*M7*M8/12/(1+'数据-取费表'!C42)&gt;20000,12%,7%)))</f>
        <v>7.0000000000000007E-2</v>
      </c>
      <c r="N17" s="1844"/>
      <c r="O17" s="1844"/>
      <c r="P17" s="1844"/>
      <c r="Q17" s="1844"/>
      <c r="R17" s="1844"/>
      <c r="S17" s="1844"/>
      <c r="T17" s="1844"/>
      <c r="U17" s="1844"/>
      <c r="V17" s="1844"/>
      <c r="W17" s="1844"/>
      <c r="X17" s="1844"/>
      <c r="Y17" s="1844"/>
      <c r="Z17" s="1844"/>
      <c r="AA17" s="1844"/>
      <c r="AB17" s="1844"/>
      <c r="AC17" s="1844"/>
      <c r="AD17" s="1844"/>
      <c r="AE17" s="1844"/>
      <c r="AF17" s="1844"/>
      <c r="AG17" s="1844"/>
      <c r="AH17" s="1844"/>
      <c r="AI17" s="1844"/>
      <c r="AJ17" s="1844"/>
      <c r="AK17" s="1844"/>
    </row>
    <row r="18" spans="1:37" s="1845" customFormat="1" ht="18" customHeight="1">
      <c r="A18" s="1189" t="s">
        <v>1391</v>
      </c>
      <c r="B18" s="338" t="s">
        <v>1432</v>
      </c>
      <c r="C18" s="24">
        <f ca="1">ROUND(C14*F18,0)</f>
        <v>86</v>
      </c>
      <c r="D18" s="338" t="s">
        <v>1421</v>
      </c>
      <c r="E18" s="338" t="s">
        <v>1422</v>
      </c>
      <c r="F18" s="358">
        <f>'数据-取费表'!B36</f>
        <v>1.4999999999999999E-2</v>
      </c>
      <c r="G18" s="1841"/>
      <c r="H18" s="1189" t="s">
        <v>1034</v>
      </c>
      <c r="I18" s="338" t="s">
        <v>1433</v>
      </c>
      <c r="J18" s="24">
        <f ca="1">ROUND(J5*M18/(1+'数据-取费表'!C42),2)</f>
        <v>0</v>
      </c>
      <c r="K18" s="2958" t="s">
        <v>1434</v>
      </c>
      <c r="L18" s="338" t="s">
        <v>1422</v>
      </c>
      <c r="M18" s="358">
        <f>'数据-取费表'!B41</f>
        <v>5.6000000000000001E-2</v>
      </c>
      <c r="N18" s="1844"/>
      <c r="O18" s="1844"/>
      <c r="P18" s="1844"/>
      <c r="Q18" s="1844"/>
      <c r="R18" s="1844"/>
      <c r="S18" s="1844"/>
      <c r="T18" s="1844"/>
      <c r="U18" s="1844"/>
      <c r="V18" s="1844"/>
      <c r="W18" s="1844"/>
      <c r="X18" s="1844"/>
      <c r="Y18" s="1844"/>
      <c r="Z18" s="1844"/>
      <c r="AA18" s="1844"/>
      <c r="AB18" s="1844"/>
      <c r="AC18" s="1844"/>
      <c r="AD18" s="1844"/>
      <c r="AE18" s="1844"/>
      <c r="AF18" s="1844"/>
      <c r="AG18" s="1844"/>
      <c r="AH18" s="1844"/>
      <c r="AI18" s="1844"/>
      <c r="AJ18" s="1844"/>
      <c r="AK18" s="1844"/>
    </row>
    <row r="19" spans="1:37" ht="18" customHeight="1">
      <c r="A19" s="1189" t="s">
        <v>1035</v>
      </c>
      <c r="B19" s="338" t="s">
        <v>1435</v>
      </c>
      <c r="C19" s="24">
        <f ca="1">SUM(C14:C18)</f>
        <v>6387</v>
      </c>
      <c r="D19" s="131" t="s">
        <v>1436</v>
      </c>
      <c r="E19" s="2963"/>
      <c r="F19" s="26"/>
      <c r="G19" s="1838"/>
      <c r="H19" s="1189" t="s">
        <v>1036</v>
      </c>
      <c r="I19" s="338" t="s">
        <v>1437</v>
      </c>
      <c r="J19" s="24">
        <f ca="1">IF(K19="按租金收入计税",ROUND(J5*M19,2),ROUND(C29*M19*0.7,2))</f>
        <v>70.56</v>
      </c>
      <c r="K19" s="1815" t="s">
        <v>1438</v>
      </c>
      <c r="L19" s="338" t="s">
        <v>1422</v>
      </c>
      <c r="M19" s="358">
        <f>IF(K19="按租金收入计税",'数据-取费表'!B51,'数据-取费表'!B50)</f>
        <v>1.2E-2</v>
      </c>
    </row>
    <row r="20" spans="1:37" s="1845" customFormat="1" ht="18" customHeight="1">
      <c r="A20" s="1189" t="s">
        <v>1039</v>
      </c>
      <c r="B20" s="338" t="s">
        <v>1439</v>
      </c>
      <c r="C20" s="24">
        <f ca="1">ROUND(C19*F20,0)</f>
        <v>128</v>
      </c>
      <c r="D20" s="360" t="s">
        <v>1440</v>
      </c>
      <c r="E20" s="338" t="s">
        <v>1422</v>
      </c>
      <c r="F20" s="358">
        <f>'数据-取费表'!B37</f>
        <v>0.02</v>
      </c>
      <c r="G20" s="1841"/>
      <c r="H20" s="1189" t="s">
        <v>1389</v>
      </c>
      <c r="I20" s="155" t="s">
        <v>1441</v>
      </c>
      <c r="J20" s="25">
        <f ca="1">ROUND(M20*M21/10000,2)</f>
        <v>5.14</v>
      </c>
      <c r="K20" s="361" t="s">
        <v>1442</v>
      </c>
      <c r="L20" s="338" t="s">
        <v>1443</v>
      </c>
      <c r="M20" s="362">
        <f>'数据-取费表'!B52</f>
        <v>6</v>
      </c>
      <c r="N20" s="1844"/>
      <c r="O20" s="1844"/>
      <c r="P20" s="1844"/>
      <c r="Q20" s="1844"/>
      <c r="R20" s="1844"/>
      <c r="S20" s="1844"/>
      <c r="T20" s="1844"/>
      <c r="U20" s="1844"/>
      <c r="V20" s="1844"/>
      <c r="W20" s="1844"/>
      <c r="X20" s="1844"/>
      <c r="Y20" s="1844"/>
      <c r="Z20" s="1844"/>
      <c r="AA20" s="1844"/>
      <c r="AB20" s="1844"/>
      <c r="AC20" s="1844"/>
      <c r="AD20" s="1844"/>
      <c r="AE20" s="1844"/>
      <c r="AF20" s="1844"/>
      <c r="AG20" s="1844"/>
      <c r="AH20" s="1844"/>
      <c r="AI20" s="1844"/>
      <c r="AJ20" s="1844"/>
      <c r="AK20" s="1844"/>
    </row>
    <row r="21" spans="1:37" s="1845" customFormat="1" ht="18" customHeight="1">
      <c r="A21" s="1189" t="s">
        <v>1075</v>
      </c>
      <c r="B21" s="338" t="s">
        <v>1444</v>
      </c>
      <c r="C21" s="24" t="s">
        <v>18</v>
      </c>
      <c r="D21" s="360" t="s">
        <v>1445</v>
      </c>
      <c r="E21" s="338" t="s">
        <v>1446</v>
      </c>
      <c r="F21" s="358">
        <f>'数据-取费表'!B38</f>
        <v>1.4999999999999999E-2</v>
      </c>
      <c r="G21" s="1841"/>
      <c r="H21" s="363"/>
      <c r="I21" s="347"/>
      <c r="J21" s="29"/>
      <c r="K21" s="364"/>
      <c r="L21" s="338" t="s">
        <v>1447</v>
      </c>
      <c r="M21" s="339">
        <f ca="1">INDIRECT("'数据-取费表'!r"&amp;$G$1)</f>
        <v>8573.39</v>
      </c>
      <c r="N21" s="1844"/>
      <c r="O21" s="1844"/>
      <c r="P21" s="1844"/>
      <c r="Q21" s="1844"/>
      <c r="R21" s="1844"/>
      <c r="S21" s="1844"/>
      <c r="T21" s="1844"/>
      <c r="U21" s="1844"/>
      <c r="V21" s="1844"/>
      <c r="W21" s="1844"/>
      <c r="X21" s="1844"/>
      <c r="Y21" s="1844"/>
      <c r="Z21" s="1844"/>
      <c r="AA21" s="1844"/>
      <c r="AB21" s="1844"/>
      <c r="AC21" s="1844"/>
      <c r="AD21" s="1844"/>
      <c r="AE21" s="1844"/>
      <c r="AF21" s="1844"/>
      <c r="AG21" s="1844"/>
      <c r="AH21" s="1844"/>
      <c r="AI21" s="1844"/>
      <c r="AJ21" s="1844"/>
      <c r="AK21" s="1844"/>
    </row>
    <row r="22" spans="1:37" ht="18" customHeight="1">
      <c r="A22" s="1189" t="s">
        <v>1392</v>
      </c>
      <c r="B22" s="338" t="s">
        <v>1448</v>
      </c>
      <c r="C22" s="24"/>
      <c r="D22" s="131" t="str">
        <f>IF(F23&lt;=1,"单利计息。","复利计息。")&amp;"建造成本、管理费用、销售费用产生的利息。"</f>
        <v>复利计息。建造成本、管理费用、销售费用产生的利息。</v>
      </c>
      <c r="E22" s="2963"/>
      <c r="F22" s="26"/>
      <c r="G22" s="1838"/>
      <c r="H22" s="1189" t="s">
        <v>1039</v>
      </c>
      <c r="I22" s="338" t="s">
        <v>1449</v>
      </c>
      <c r="J22" s="24">
        <f ca="1">ROUND(J14*M22,1)</f>
        <v>126</v>
      </c>
      <c r="K22" s="2958" t="s">
        <v>1450</v>
      </c>
      <c r="L22" s="338" t="s">
        <v>1422</v>
      </c>
      <c r="M22" s="365">
        <f ca="1">INDIRECT("'数据-取费表'!Ak"&amp;$G$1)</f>
        <v>1.4999999999999999E-2</v>
      </c>
    </row>
    <row r="23" spans="1:37" s="1845" customFormat="1" ht="18" customHeight="1">
      <c r="A23" s="1189" t="s">
        <v>1034</v>
      </c>
      <c r="B23" s="338" t="s">
        <v>1451</v>
      </c>
      <c r="C23" s="24">
        <f ca="1">IF('数据-取费表'!B22&lt;=1,ROUND(C19*F24*F23/2,0)+ROUND(C20*F24*F23/2,0),ROUND(C19*(POWER((1+F24),F23/2)-1),0)+ROUND(C20*(POWER((1+F24),F23/2)-1),0))</f>
        <v>309</v>
      </c>
      <c r="D23" s="366" t="str">
        <f>IF(F23&lt;=1,"(建造成本+管理费用)×利率×(建设周期÷2)","(建造成本+管理费用)×((1+利率)^(建设周期÷2)-1)")</f>
        <v>(建造成本+管理费用)×((1+利率)^(建设周期÷2)-1)</v>
      </c>
      <c r="E23" s="338" t="s">
        <v>1452</v>
      </c>
      <c r="F23" s="362">
        <f>'数据-取费表'!B20</f>
        <v>2</v>
      </c>
      <c r="G23" s="1841"/>
      <c r="H23" s="1189" t="s">
        <v>1075</v>
      </c>
      <c r="I23" s="338" t="s">
        <v>1453</v>
      </c>
      <c r="J23" s="24">
        <f ca="1">ROUND(J13*M23,1)</f>
        <v>0</v>
      </c>
      <c r="K23" s="2958" t="s">
        <v>1454</v>
      </c>
      <c r="L23" s="338" t="s">
        <v>1422</v>
      </c>
      <c r="M23" s="367">
        <f ca="1">INDIRECT("'数据-取费表'!Al"&amp;$G$1)</f>
        <v>1.5E-3</v>
      </c>
      <c r="N23" s="1844"/>
      <c r="O23" s="1844"/>
      <c r="P23" s="1844"/>
      <c r="Q23" s="1844"/>
      <c r="R23" s="1844"/>
      <c r="S23" s="1844"/>
      <c r="T23" s="1844"/>
      <c r="U23" s="1844"/>
      <c r="V23" s="1844"/>
      <c r="W23" s="1844"/>
      <c r="X23" s="1844"/>
      <c r="Y23" s="1844"/>
      <c r="Z23" s="1844"/>
      <c r="AA23" s="1844"/>
      <c r="AB23" s="1844"/>
      <c r="AC23" s="1844"/>
      <c r="AD23" s="1844"/>
      <c r="AE23" s="1844"/>
      <c r="AF23" s="1844"/>
      <c r="AG23" s="1844"/>
      <c r="AH23" s="1844"/>
      <c r="AI23" s="1844"/>
      <c r="AJ23" s="1844"/>
      <c r="AK23" s="1844"/>
    </row>
    <row r="24" spans="1:37" s="1845" customFormat="1" ht="18" customHeight="1" thickBot="1">
      <c r="A24" s="1189" t="s">
        <v>1036</v>
      </c>
      <c r="B24" s="338" t="s">
        <v>1457</v>
      </c>
      <c r="C24" s="24">
        <f ca="1">ROUND(IF('数据-取费表'!B22&lt;=1,F21*F24*F23/2,F21*(POWER((1+F24),F23/2)-1)),4)</f>
        <v>6.9999999999999999E-4</v>
      </c>
      <c r="D24" s="366" t="str">
        <f>IF(F23&lt;=1,"销售费用×利率×(建设周期÷2)","销售费用×((1+利率)^(建设周期÷2)-1)")</f>
        <v>销售费用×((1+利率)^(建设周期÷2)-1)</v>
      </c>
      <c r="E24" s="338" t="s">
        <v>1458</v>
      </c>
      <c r="F24" s="368">
        <f ca="1">'数据-取费表'!B40</f>
        <v>4.7500000000000001E-2</v>
      </c>
      <c r="G24" s="1841"/>
      <c r="H24" s="1327" t="s">
        <v>1392</v>
      </c>
      <c r="I24" s="1328" t="s">
        <v>1439</v>
      </c>
      <c r="J24" s="1329">
        <f ca="1">ROUND(J5*M24,1)</f>
        <v>0</v>
      </c>
      <c r="K24" s="1330" t="s">
        <v>1459</v>
      </c>
      <c r="L24" s="1328" t="s">
        <v>1422</v>
      </c>
      <c r="M24" s="1324">
        <f ca="1">INDIRECT("'数据-取费表'!Am"&amp;$G$1)</f>
        <v>0.01</v>
      </c>
      <c r="N24" s="1844"/>
      <c r="O24" s="1844"/>
      <c r="P24" s="1844"/>
      <c r="Q24" s="1844"/>
      <c r="R24" s="1844"/>
      <c r="S24" s="1844"/>
      <c r="T24" s="1844"/>
      <c r="U24" s="1844"/>
      <c r="V24" s="1844"/>
      <c r="W24" s="1844"/>
      <c r="X24" s="1844"/>
      <c r="Y24" s="1844"/>
      <c r="Z24" s="1844"/>
      <c r="AA24" s="1844"/>
      <c r="AB24" s="1844"/>
      <c r="AC24" s="1844"/>
      <c r="AD24" s="1844"/>
      <c r="AE24" s="1844"/>
      <c r="AF24" s="1844"/>
      <c r="AG24" s="1844"/>
      <c r="AH24" s="1844"/>
      <c r="AI24" s="1844"/>
      <c r="AJ24" s="1844"/>
      <c r="AK24" s="1844"/>
    </row>
    <row r="25" spans="1:37" ht="24" customHeight="1" thickTop="1">
      <c r="A25" s="1189" t="s">
        <v>1460</v>
      </c>
      <c r="B25" s="338" t="s">
        <v>1461</v>
      </c>
      <c r="C25" s="24"/>
      <c r="D25" s="131" t="s">
        <v>1462</v>
      </c>
      <c r="E25" s="2963"/>
      <c r="F25" s="26"/>
      <c r="G25" s="1838"/>
      <c r="H25" s="1317" t="s">
        <v>1031</v>
      </c>
      <c r="I25" s="1332" t="s">
        <v>1463</v>
      </c>
      <c r="J25" s="346">
        <f ca="1">J5-J16</f>
        <v>-202</v>
      </c>
      <c r="K25" s="1333" t="s">
        <v>1464</v>
      </c>
      <c r="L25" s="1334"/>
      <c r="M25" s="1335"/>
    </row>
    <row r="26" spans="1:37">
      <c r="A26" s="1189" t="s">
        <v>1034</v>
      </c>
      <c r="B26" s="338" t="s">
        <v>1465</v>
      </c>
      <c r="C26" s="24">
        <f ca="1">ROUND((C19+C20)*F26,0)</f>
        <v>977</v>
      </c>
      <c r="D26" s="360" t="s">
        <v>1466</v>
      </c>
      <c r="E26" s="349" t="s">
        <v>1467</v>
      </c>
      <c r="F26" s="348">
        <f ca="1">INDIRECT("'数据-取费表'!q"&amp;$G$1)</f>
        <v>0.15</v>
      </c>
      <c r="G26" s="1838"/>
      <c r="H26" s="335" t="s">
        <v>1032</v>
      </c>
      <c r="I26" s="336" t="s">
        <v>1468</v>
      </c>
      <c r="J26" s="337">
        <f ca="1">IF(J5&lt;&gt;0,ROUND(J25*(1-((1+M28)/(1+M26))^M27)/(M26-M28),0),0)</f>
        <v>0</v>
      </c>
      <c r="K26" s="361" t="s">
        <v>1469</v>
      </c>
      <c r="L26" s="338" t="s">
        <v>1470</v>
      </c>
      <c r="M26" s="348">
        <f ca="1">INDIRECT("'数据-取费表'!I"&amp;$G$1)</f>
        <v>5.5E-2</v>
      </c>
    </row>
    <row r="27" spans="1:37" ht="18" customHeight="1">
      <c r="A27" s="1189" t="s">
        <v>1036</v>
      </c>
      <c r="B27" s="338" t="s">
        <v>1471</v>
      </c>
      <c r="C27" s="24">
        <f ca="1">ROUND(F21*F26,4)</f>
        <v>2.3E-3</v>
      </c>
      <c r="D27" s="360" t="s">
        <v>1472</v>
      </c>
      <c r="E27" s="356"/>
      <c r="F27" s="357"/>
      <c r="G27" s="1838"/>
      <c r="H27" s="340"/>
      <c r="I27" s="341"/>
      <c r="J27" s="342"/>
      <c r="K27" s="369" t="s">
        <v>1473</v>
      </c>
      <c r="L27" s="338" t="s">
        <v>1474</v>
      </c>
      <c r="M27" s="370">
        <f ca="1">INDIRECT("'数据-取费表'!ag"&amp;$G$1)</f>
        <v>0</v>
      </c>
    </row>
    <row r="28" spans="1:37" s="1845" customFormat="1" ht="18" customHeight="1">
      <c r="A28" s="1189" t="s">
        <v>1037</v>
      </c>
      <c r="B28" s="338" t="s">
        <v>1475</v>
      </c>
      <c r="C28" s="24">
        <f>ROUND(F28/(1+'数据-取费表'!C42),4)</f>
        <v>5.33E-2</v>
      </c>
      <c r="D28" s="360" t="s">
        <v>1476</v>
      </c>
      <c r="E28" s="338" t="s">
        <v>1422</v>
      </c>
      <c r="F28" s="358">
        <f>'数据-取费表'!B41</f>
        <v>5.6000000000000001E-2</v>
      </c>
      <c r="G28" s="1841"/>
      <c r="H28" s="344"/>
      <c r="I28" s="345"/>
      <c r="J28" s="346"/>
      <c r="K28" s="364"/>
      <c r="L28" s="338" t="s">
        <v>1477</v>
      </c>
      <c r="M28" s="348">
        <f ca="1">INDIRECT("'数据-取费表'!aa"&amp;$G$1)</f>
        <v>0</v>
      </c>
      <c r="N28" s="1844"/>
      <c r="O28" s="1844"/>
      <c r="P28" s="1844"/>
      <c r="Q28" s="1844"/>
      <c r="R28" s="1844"/>
      <c r="S28" s="1844"/>
      <c r="T28" s="1844"/>
      <c r="U28" s="1844"/>
      <c r="V28" s="1844"/>
      <c r="W28" s="1844"/>
      <c r="X28" s="1844"/>
      <c r="Y28" s="1844"/>
      <c r="Z28" s="1844"/>
      <c r="AA28" s="1844"/>
      <c r="AB28" s="1844"/>
      <c r="AC28" s="1844"/>
      <c r="AD28" s="1844"/>
      <c r="AE28" s="1844"/>
      <c r="AF28" s="1844"/>
      <c r="AG28" s="1844"/>
      <c r="AH28" s="1844"/>
      <c r="AI28" s="1844"/>
      <c r="AJ28" s="1844"/>
      <c r="AK28" s="1844"/>
    </row>
    <row r="29" spans="1:37" s="1845" customFormat="1" ht="18" customHeight="1" thickBot="1">
      <c r="A29" s="1327" t="s">
        <v>1038</v>
      </c>
      <c r="B29" s="1328" t="s">
        <v>1478</v>
      </c>
      <c r="C29" s="1329">
        <f ca="1">ROUND((C19+C20+C23+C26)/(1-F21-C24-C27-C28),0)</f>
        <v>8400</v>
      </c>
      <c r="D29" s="1330"/>
      <c r="E29" s="1328"/>
      <c r="F29" s="1331"/>
      <c r="G29" s="1841"/>
      <c r="H29" s="371" t="s">
        <v>1033</v>
      </c>
      <c r="I29" s="372" t="s">
        <v>1479</v>
      </c>
      <c r="J29" s="373">
        <f ca="1">ROUND(J26/(1+F40)^F41,0)</f>
        <v>0</v>
      </c>
      <c r="K29" s="374" t="s">
        <v>1480</v>
      </c>
      <c r="L29" s="375"/>
      <c r="M29" s="376">
        <f ca="1">INDIRECT("'数据-取费表'!k"&amp;$G$1)</f>
        <v>20428.607999999997</v>
      </c>
      <c r="N29" s="1844"/>
      <c r="O29" s="1844"/>
      <c r="P29" s="1844"/>
      <c r="Q29" s="1844"/>
      <c r="R29" s="1844"/>
      <c r="S29" s="1844"/>
      <c r="T29" s="1844"/>
      <c r="U29" s="1844"/>
      <c r="V29" s="1844"/>
      <c r="W29" s="1844"/>
      <c r="X29" s="1844"/>
      <c r="Y29" s="1844"/>
      <c r="Z29" s="1844"/>
      <c r="AA29" s="1844"/>
      <c r="AB29" s="1844"/>
      <c r="AC29" s="1844"/>
      <c r="AD29" s="1844"/>
      <c r="AE29" s="1844"/>
      <c r="AF29" s="1844"/>
      <c r="AG29" s="1844"/>
      <c r="AH29" s="1844"/>
      <c r="AI29" s="1844"/>
      <c r="AJ29" s="1844"/>
      <c r="AK29" s="1844"/>
    </row>
    <row r="30" spans="1:37" ht="18" customHeight="1" thickTop="1">
      <c r="A30" s="1317" t="s">
        <v>1030</v>
      </c>
      <c r="B30" s="1318" t="s">
        <v>1424</v>
      </c>
      <c r="C30" s="346">
        <f ca="1">ROUND(C31+C36+C37+C38,0)</f>
        <v>403</v>
      </c>
      <c r="D30" s="1325" t="s">
        <v>1425</v>
      </c>
      <c r="E30" s="2960"/>
      <c r="F30" s="1282"/>
      <c r="G30" s="1838"/>
      <c r="H30" s="736"/>
      <c r="I30" s="737"/>
      <c r="J30" s="738"/>
      <c r="K30" s="739"/>
      <c r="L30" s="740"/>
      <c r="M30" s="741"/>
    </row>
    <row r="31" spans="1:37" ht="18" customHeight="1">
      <c r="A31" s="1189" t="s">
        <v>1035</v>
      </c>
      <c r="B31" s="338" t="s">
        <v>1429</v>
      </c>
      <c r="C31" s="24">
        <f ca="1">ROUND(IF(项目基本情况!B11="自然人",C5*F31,C32+C33+C34),1)</f>
        <v>250.1</v>
      </c>
      <c r="D31" s="2959" t="s">
        <v>1430</v>
      </c>
      <c r="E31" s="2958" t="s">
        <v>1481</v>
      </c>
      <c r="F31" s="359">
        <f ca="1">IF(项目基本情况!B11="企业","",IF(INDIRECT("'数据-取费表'!c"&amp;$G$1)="住宅",5%,IF(F6*F7*F8/12/(1+'数据-取费表'!C42)&gt;20000,12%,7%)))</f>
        <v>0.12</v>
      </c>
      <c r="G31" s="1838"/>
      <c r="H31" s="736"/>
      <c r="I31" s="737"/>
      <c r="J31" s="738"/>
      <c r="K31" s="739"/>
      <c r="L31" s="740"/>
      <c r="M31" s="741"/>
    </row>
    <row r="32" spans="1:37" ht="18" customHeight="1">
      <c r="A32" s="1189" t="s">
        <v>1034</v>
      </c>
      <c r="B32" s="338" t="s">
        <v>1433</v>
      </c>
      <c r="C32" s="24">
        <f ca="1">IF(项目基本情况!B11="自然人","——",ROUND(C5*F32/(1+'数据-取费表'!C42),2))</f>
        <v>75.36</v>
      </c>
      <c r="D32" s="2958" t="s">
        <v>1434</v>
      </c>
      <c r="E32" s="338" t="s">
        <v>1422</v>
      </c>
      <c r="F32" s="368">
        <f>'数据-取费表'!B41</f>
        <v>5.6000000000000001E-2</v>
      </c>
      <c r="G32" s="1838"/>
      <c r="H32" s="736"/>
      <c r="I32" s="737"/>
      <c r="J32" s="738"/>
      <c r="K32" s="739"/>
      <c r="L32" s="740"/>
      <c r="M32" s="741"/>
    </row>
    <row r="33" spans="1:18" ht="18" customHeight="1">
      <c r="A33" s="1189" t="s">
        <v>1036</v>
      </c>
      <c r="B33" s="338" t="s">
        <v>1437</v>
      </c>
      <c r="C33" s="24">
        <f ca="1">IF(项目基本情况!B11="自然人","——",IF(D33="按租金收入计税",ROUND(C5*F33,2),IF(D33="按房产原值计税",ROUND(C29*F33*0.7,2),INDIRECT("'数据-取费表'!Aj"&amp;$G$1))))</f>
        <v>169.56</v>
      </c>
      <c r="D33" s="2966" t="s">
        <v>3139</v>
      </c>
      <c r="E33" s="338" t="s">
        <v>1422</v>
      </c>
      <c r="F33" s="358">
        <f>IF(D33="按票据","——",IF(D33="按租金收入计税",'数据-取费表'!B51,'数据-取费表'!B50))</f>
        <v>0.12</v>
      </c>
      <c r="G33" s="1838"/>
      <c r="H33" s="1846"/>
      <c r="I33" s="1847"/>
      <c r="J33" s="1848"/>
      <c r="K33" s="1849"/>
      <c r="L33" s="1846"/>
      <c r="M33" s="1846"/>
    </row>
    <row r="34" spans="1:18" ht="18" customHeight="1">
      <c r="A34" s="1279" t="s">
        <v>1389</v>
      </c>
      <c r="B34" s="155" t="s">
        <v>1441</v>
      </c>
      <c r="C34" s="25">
        <f ca="1">IF(项目基本情况!B11="自然人","——",ROUND(F34*F35/10000,2))</f>
        <v>5.14</v>
      </c>
      <c r="D34" s="361" t="s">
        <v>1442</v>
      </c>
      <c r="E34" s="338" t="s">
        <v>1443</v>
      </c>
      <c r="F34" s="362">
        <f>'数据-取费表'!B52</f>
        <v>6</v>
      </c>
      <c r="G34" s="1838"/>
      <c r="H34" s="736"/>
      <c r="I34" s="1847"/>
      <c r="J34" s="1848"/>
      <c r="K34" s="1850"/>
      <c r="L34" s="1851"/>
      <c r="M34" s="1851"/>
    </row>
    <row r="35" spans="1:18" ht="18" customHeight="1">
      <c r="A35" s="1341"/>
      <c r="B35" s="1339"/>
      <c r="C35" s="29"/>
      <c r="D35" s="364"/>
      <c r="E35" s="338" t="s">
        <v>1447</v>
      </c>
      <c r="F35" s="339">
        <f ca="1">INDIRECT("'数据-取费表'!r"&amp;$G$1)</f>
        <v>8573.39</v>
      </c>
      <c r="G35" s="1838"/>
      <c r="H35" s="736"/>
      <c r="I35" s="1847"/>
      <c r="J35" s="1848"/>
      <c r="K35" s="1849"/>
      <c r="L35" s="1846"/>
      <c r="M35" s="1846"/>
    </row>
    <row r="36" spans="1:18" ht="18" customHeight="1">
      <c r="A36" s="1340" t="s">
        <v>1039</v>
      </c>
      <c r="B36" s="338" t="s">
        <v>1449</v>
      </c>
      <c r="C36" s="24">
        <f ca="1">ROUND(C29*F36,1)</f>
        <v>126</v>
      </c>
      <c r="D36" s="2958" t="s">
        <v>1482</v>
      </c>
      <c r="E36" s="338" t="s">
        <v>1422</v>
      </c>
      <c r="F36" s="365">
        <f ca="1">INDIRECT("'数据-取费表'!Ak"&amp;$G$1)</f>
        <v>1.4999999999999999E-2</v>
      </c>
      <c r="G36" s="1838"/>
      <c r="H36" s="1846"/>
      <c r="I36" s="1847"/>
      <c r="J36" s="1848"/>
      <c r="K36" s="742"/>
      <c r="L36" s="1846"/>
      <c r="M36" s="1846"/>
    </row>
    <row r="37" spans="1:18" ht="18" customHeight="1">
      <c r="A37" s="1189" t="s">
        <v>1075</v>
      </c>
      <c r="B37" s="338" t="s">
        <v>1453</v>
      </c>
      <c r="C37" s="24">
        <f ca="1">ROUND(C13*F37,1)</f>
        <v>12.5</v>
      </c>
      <c r="D37" s="2958" t="s">
        <v>1454</v>
      </c>
      <c r="E37" s="338" t="s">
        <v>1422</v>
      </c>
      <c r="F37" s="367">
        <f ca="1">INDIRECT("'数据-取费表'!Al"&amp;$G$1)</f>
        <v>1.5E-3</v>
      </c>
      <c r="G37" s="1838"/>
      <c r="H37" s="1846"/>
      <c r="I37" s="1847"/>
      <c r="J37" s="1848"/>
      <c r="K37" s="742"/>
      <c r="L37" s="1846"/>
      <c r="M37" s="1846"/>
    </row>
    <row r="38" spans="1:18" ht="18" customHeight="1" thickBot="1">
      <c r="A38" s="1327" t="s">
        <v>1392</v>
      </c>
      <c r="B38" s="1328" t="s">
        <v>1439</v>
      </c>
      <c r="C38" s="1329">
        <f ca="1">ROUND(C5*F38,1)</f>
        <v>14.1</v>
      </c>
      <c r="D38" s="1330" t="s">
        <v>1459</v>
      </c>
      <c r="E38" s="1328" t="s">
        <v>1422</v>
      </c>
      <c r="F38" s="1324">
        <f ca="1">INDIRECT("'数据-取费表'!Am"&amp;$G$1)</f>
        <v>0.01</v>
      </c>
      <c r="G38" s="1838"/>
      <c r="H38" s="1846"/>
      <c r="I38" s="1847"/>
      <c r="J38" s="1848"/>
      <c r="K38" s="1852"/>
      <c r="L38" s="1846"/>
      <c r="M38" s="1846"/>
    </row>
    <row r="39" spans="1:18" ht="24.6" customHeight="1" thickTop="1">
      <c r="A39" s="1317" t="s">
        <v>1031</v>
      </c>
      <c r="B39" s="1332" t="s">
        <v>1463</v>
      </c>
      <c r="C39" s="346">
        <f ca="1">C5-C30</f>
        <v>1010</v>
      </c>
      <c r="D39" s="1333" t="s">
        <v>1464</v>
      </c>
      <c r="E39" s="1334"/>
      <c r="F39" s="1335"/>
      <c r="G39" s="1838"/>
      <c r="H39" s="1846"/>
      <c r="I39" s="1847"/>
      <c r="J39" s="1848"/>
      <c r="K39" s="1852"/>
      <c r="L39" s="1846"/>
      <c r="M39" s="1846"/>
    </row>
    <row r="40" spans="1:18" ht="18" customHeight="1">
      <c r="A40" s="335" t="s">
        <v>1032</v>
      </c>
      <c r="B40" s="336" t="s">
        <v>1485</v>
      </c>
      <c r="C40" s="337">
        <f ca="1">ROUND(C39*(1-((1+F42)/(1+F40))^F41)/(F40-F42),0)</f>
        <v>22361</v>
      </c>
      <c r="D40" s="361" t="s">
        <v>1469</v>
      </c>
      <c r="E40" s="338" t="s">
        <v>1470</v>
      </c>
      <c r="F40" s="348">
        <f ca="1">INDIRECT("'数据-取费表'!I"&amp;$G$1)</f>
        <v>5.5E-2</v>
      </c>
      <c r="G40" s="1838"/>
      <c r="H40" s="1826"/>
      <c r="I40" s="1847"/>
      <c r="J40" s="1848"/>
      <c r="K40" s="1852"/>
      <c r="L40" s="1826"/>
      <c r="M40" s="1826"/>
    </row>
    <row r="41" spans="1:18" ht="18" customHeight="1">
      <c r="A41" s="340"/>
      <c r="B41" s="341"/>
      <c r="C41" s="342"/>
      <c r="D41" s="369" t="s">
        <v>1486</v>
      </c>
      <c r="E41" s="338" t="s">
        <v>1474</v>
      </c>
      <c r="F41" s="370">
        <f ca="1">IF(INDIRECT("'数据-取费表'!af"&amp;$G$1)=0,INDIRECT("'数据-取费表'!ae"&amp;$G$1),INDIRECT("'数据-取费表'!af"&amp;$G$1))</f>
        <v>33.619999999999997</v>
      </c>
      <c r="G41" s="1838"/>
      <c r="H41" s="723"/>
      <c r="I41" s="1847"/>
      <c r="J41" s="1848"/>
      <c r="K41" s="742"/>
      <c r="L41" s="723"/>
      <c r="M41" s="723"/>
    </row>
    <row r="42" spans="1:18" ht="18" customHeight="1">
      <c r="A42" s="344"/>
      <c r="B42" s="345"/>
      <c r="C42" s="346"/>
      <c r="D42" s="364"/>
      <c r="E42" s="338" t="s">
        <v>1477</v>
      </c>
      <c r="F42" s="348">
        <f ca="1">INDIRECT("'数据-取费表'!v"&amp;$G$1)</f>
        <v>0.03</v>
      </c>
      <c r="G42" s="1838"/>
      <c r="H42" s="723"/>
      <c r="I42" s="1847"/>
      <c r="J42" s="1848"/>
      <c r="K42" s="742"/>
      <c r="L42" s="723"/>
      <c r="M42" s="723"/>
    </row>
    <row r="43" spans="1:18" ht="18" customHeight="1" thickBot="1">
      <c r="A43" s="371" t="s">
        <v>1033</v>
      </c>
      <c r="B43" s="372" t="s">
        <v>1487</v>
      </c>
      <c r="C43" s="373">
        <f ca="1">ROUND(C40*10000/F43,0)</f>
        <v>10946</v>
      </c>
      <c r="D43" s="374" t="s">
        <v>1488</v>
      </c>
      <c r="E43" s="375" t="s">
        <v>1489</v>
      </c>
      <c r="F43" s="376">
        <f ca="1">INDIRECT("'数据-取费表'!k"&amp;$G$1)</f>
        <v>20428.607999999997</v>
      </c>
      <c r="G43" s="1838"/>
      <c r="H43" s="723"/>
      <c r="I43" s="723"/>
      <c r="J43" s="723"/>
      <c r="K43" s="742"/>
      <c r="L43" s="723"/>
      <c r="M43" s="723"/>
    </row>
    <row r="44" spans="1:18" s="1829" customFormat="1" ht="18" customHeight="1">
      <c r="A44" s="1853"/>
      <c r="B44" s="1853"/>
      <c r="C44" s="1854"/>
      <c r="D44" s="1853"/>
      <c r="E44" s="1853"/>
      <c r="F44" s="1853"/>
      <c r="K44" s="1855"/>
    </row>
    <row r="45" spans="1:18" s="1829" customFormat="1" ht="18" customHeight="1" thickBot="1">
      <c r="A45" s="1853"/>
      <c r="B45" s="1853"/>
      <c r="C45" s="1854"/>
      <c r="D45" s="1853"/>
      <c r="E45" s="1853"/>
      <c r="F45" s="1853"/>
      <c r="J45" s="787"/>
      <c r="O45" s="1856" t="s">
        <v>1519</v>
      </c>
      <c r="P45" s="1826"/>
      <c r="Q45" s="1826"/>
      <c r="R45" s="1826"/>
    </row>
    <row r="46" spans="1:18" s="1829" customFormat="1" ht="13.5" thickBot="1">
      <c r="A46" s="1857" t="s">
        <v>1520</v>
      </c>
      <c r="C46" s="1858">
        <f ca="1">C68-C40</f>
        <v>-35246</v>
      </c>
      <c r="D46" s="1859" t="str">
        <f>C2</f>
        <v>万元</v>
      </c>
      <c r="E46" s="1853"/>
      <c r="F46" s="1853"/>
      <c r="I46" s="1860" t="s">
        <v>1521</v>
      </c>
      <c r="J46" s="1861"/>
      <c r="K46" s="1862"/>
      <c r="L46" s="2983" t="str">
        <f ca="1">IF(M47="住宅",0,IF(L48&gt;J51,L60,J60))</f>
        <v>0</v>
      </c>
      <c r="O46" s="1864" t="s">
        <v>1522</v>
      </c>
      <c r="P46" s="1865" t="s">
        <v>1523</v>
      </c>
      <c r="Q46" s="1866" t="s">
        <v>1524</v>
      </c>
      <c r="R46" s="1866" t="s">
        <v>1525</v>
      </c>
    </row>
    <row r="47" spans="1:18" s="1829" customFormat="1" ht="13.5" thickBot="1">
      <c r="A47" s="1153" t="s">
        <v>1396</v>
      </c>
      <c r="B47" s="1185" t="s">
        <v>1397</v>
      </c>
      <c r="C47" s="1355" t="s">
        <v>1398</v>
      </c>
      <c r="D47" s="1185" t="s">
        <v>1399</v>
      </c>
      <c r="E47" s="1267" t="s">
        <v>1400</v>
      </c>
      <c r="F47" s="1268"/>
      <c r="G47" s="783"/>
      <c r="I47" s="1867" t="s">
        <v>1526</v>
      </c>
      <c r="J47" s="1868" t="s">
        <v>3106</v>
      </c>
      <c r="K47" s="1869" t="s">
        <v>1527</v>
      </c>
      <c r="L47" s="1870">
        <f ca="1">INDIRECT("'数据-取费表'!d"&amp;$G$1)</f>
        <v>40</v>
      </c>
      <c r="M47" s="1825" t="str">
        <f>IF(ISNUMBER(FIND("住宅",C1)),"住宅","非住宅")</f>
        <v>非住宅</v>
      </c>
      <c r="O47" s="1871" t="s">
        <v>1040</v>
      </c>
      <c r="P47" s="1872" t="s">
        <v>1528</v>
      </c>
      <c r="Q47" s="1873">
        <f ca="1">C40+J29</f>
        <v>22361</v>
      </c>
      <c r="R47" s="1873" t="s">
        <v>1529</v>
      </c>
    </row>
    <row r="48" spans="1:18" s="1829" customFormat="1" ht="28.5" thickBot="1">
      <c r="A48" s="1348" t="s">
        <v>1135</v>
      </c>
      <c r="B48" s="336" t="s">
        <v>1401</v>
      </c>
      <c r="C48" s="2962">
        <f ca="1">C49+C53+C55</f>
        <v>0</v>
      </c>
      <c r="D48" s="1350"/>
      <c r="E48" s="1351"/>
      <c r="F48" s="1169"/>
      <c r="G48" s="783"/>
      <c r="H48" s="784"/>
      <c r="I48" s="1874" t="s">
        <v>1530</v>
      </c>
      <c r="J48" s="1875" t="s">
        <v>3112</v>
      </c>
      <c r="K48" s="1876" t="s">
        <v>1531</v>
      </c>
      <c r="L48" s="1877">
        <f ca="1">INDIRECT("'数据-取费表'!f"&amp;$G$1)</f>
        <v>33.72</v>
      </c>
      <c r="O48" s="1871" t="s">
        <v>1041</v>
      </c>
      <c r="P48" s="1872" t="s">
        <v>1532</v>
      </c>
      <c r="Q48" s="1873" t="str">
        <f ca="1">J60</f>
        <v>0</v>
      </c>
      <c r="R48" s="1873" t="s">
        <v>1533</v>
      </c>
    </row>
    <row r="49" spans="1:18" s="1829" customFormat="1" ht="13.5" thickBot="1">
      <c r="A49" s="1182" t="s">
        <v>1136</v>
      </c>
      <c r="B49" s="1816" t="s">
        <v>1490</v>
      </c>
      <c r="C49" s="1352">
        <f ca="1">ROUND(F49*F51*F50*(1-F52)/10000,0)</f>
        <v>0</v>
      </c>
      <c r="D49" s="1264" t="s">
        <v>3021</v>
      </c>
      <c r="E49" s="1817" t="s">
        <v>1491</v>
      </c>
      <c r="F49" s="1269"/>
      <c r="G49" s="1878"/>
      <c r="H49" s="784"/>
      <c r="I49" s="1874" t="s">
        <v>1534</v>
      </c>
      <c r="J49" s="1879"/>
      <c r="K49" s="1876" t="s">
        <v>1535</v>
      </c>
      <c r="L49" s="1880"/>
      <c r="O49" s="1881" t="s">
        <v>1042</v>
      </c>
      <c r="P49" s="1872" t="s">
        <v>1536</v>
      </c>
      <c r="Q49" s="1873">
        <f ca="1">C29</f>
        <v>8400</v>
      </c>
      <c r="R49" s="1873" t="s">
        <v>1529</v>
      </c>
    </row>
    <row r="50" spans="1:18" s="1829" customFormat="1" ht="13.5" thickBot="1">
      <c r="A50" s="1183"/>
      <c r="B50" s="1186"/>
      <c r="C50" s="1356"/>
      <c r="D50" s="1160"/>
      <c r="E50" s="1265" t="s">
        <v>1406</v>
      </c>
      <c r="F50" s="1266">
        <f ca="1">F7</f>
        <v>20428.607999999997</v>
      </c>
      <c r="H50" s="784"/>
      <c r="I50" s="1874" t="s">
        <v>1537</v>
      </c>
      <c r="J50" s="1882">
        <f>SUMPRODUCT((I63:I65=J47)*(J62:L62=J48)*(J63:L65))</f>
        <v>60</v>
      </c>
      <c r="K50" s="1876" t="s">
        <v>1538</v>
      </c>
      <c r="L50" s="1880"/>
      <c r="M50" s="1883"/>
      <c r="O50" s="1881" t="s">
        <v>1043</v>
      </c>
      <c r="P50" s="1872" t="s">
        <v>1539</v>
      </c>
      <c r="Q50" s="1884" t="e">
        <f ca="1">J58</f>
        <v>#VALUE!</v>
      </c>
      <c r="R50" s="1873"/>
    </row>
    <row r="51" spans="1:18" s="1829" customFormat="1" ht="13.5" thickBot="1">
      <c r="A51" s="1184"/>
      <c r="B51" s="1186"/>
      <c r="C51" s="1187"/>
      <c r="D51" s="1160"/>
      <c r="E51" s="1188" t="s">
        <v>1407</v>
      </c>
      <c r="F51" s="339">
        <f ca="1">F8</f>
        <v>365</v>
      </c>
      <c r="I51" s="1885" t="s">
        <v>1540</v>
      </c>
      <c r="J51" s="1886">
        <f>IF(J49="",J50,J49+J50-YEAR('数据-取费表'!B2))</f>
        <v>60</v>
      </c>
      <c r="K51" s="1887" t="s">
        <v>1541</v>
      </c>
      <c r="L51" s="1888">
        <f ca="1">ROUND(-PV(INDIRECT("'数据-取费表'!h"&amp;$G$1),L48,(C39-C13*C76),0),0)</f>
        <v>4893</v>
      </c>
      <c r="M51" s="1889"/>
      <c r="O51" s="1881" t="s">
        <v>1044</v>
      </c>
      <c r="P51" s="1872" t="s">
        <v>1542</v>
      </c>
      <c r="Q51" s="1884">
        <f>J52</f>
        <v>0</v>
      </c>
      <c r="R51" s="1873"/>
    </row>
    <row r="52" spans="1:18" s="1829" customFormat="1" ht="13.5" thickBot="1">
      <c r="A52" s="1184"/>
      <c r="B52" s="1186"/>
      <c r="C52" s="1187"/>
      <c r="D52" s="1160"/>
      <c r="E52" s="1188" t="s">
        <v>1408</v>
      </c>
      <c r="F52" s="1263"/>
      <c r="I52" s="1890" t="s">
        <v>1543</v>
      </c>
      <c r="J52" s="1891"/>
      <c r="K52" s="1890" t="s">
        <v>1544</v>
      </c>
      <c r="L52" s="1891"/>
      <c r="O52" s="1881" t="s">
        <v>1045</v>
      </c>
      <c r="P52" s="1872" t="s">
        <v>1545</v>
      </c>
      <c r="Q52" s="1873">
        <f ca="1">J53</f>
        <v>33.619999999999997</v>
      </c>
      <c r="R52" s="1873" t="s">
        <v>1546</v>
      </c>
    </row>
    <row r="53" spans="1:18" s="1829" customFormat="1" ht="24.75" thickBot="1">
      <c r="A53" s="1393" t="s">
        <v>1137</v>
      </c>
      <c r="B53" s="1818" t="s">
        <v>1409</v>
      </c>
      <c r="C53" s="352">
        <f ca="1">ROUND(IF(F53="押一",C49/12*F11,IF(F53="押二",C49/12*2*F11,IF(F53="押三",C49/12*3*F11,C54*F11))),0)</f>
        <v>0</v>
      </c>
      <c r="D53" s="1811" t="s">
        <v>3029</v>
      </c>
      <c r="E53" s="349" t="s">
        <v>1410</v>
      </c>
      <c r="F53" s="1354"/>
      <c r="I53" s="1892" t="s">
        <v>1547</v>
      </c>
      <c r="J53" s="1893">
        <f ca="1">IF(M47="住宅",IF(D1="——",MAX(J51,L48),IF(D1="在建（套用方法）",MAX(J51,L48-'数据-取费表'!B24),MAX(J51,L48-'数据-取费表'!B20))),IF(D1="——",MIN(J51,L48),IF(D1="在建（套用方法）",MIN(J51,L48-'数据-取费表'!B24),IF(D1="土地（套用方法）",MIN(J51,L48-'数据-取费表'!B20)))))</f>
        <v>33.619999999999997</v>
      </c>
      <c r="K53" s="3323" t="s">
        <v>1548</v>
      </c>
      <c r="L53" s="3324"/>
      <c r="O53" s="1871" t="s">
        <v>1046</v>
      </c>
      <c r="P53" s="1872" t="s">
        <v>1549</v>
      </c>
      <c r="Q53" s="1873">
        <f ca="1">Q47+Q48</f>
        <v>22361</v>
      </c>
      <c r="R53" s="1873" t="s">
        <v>1047</v>
      </c>
    </row>
    <row r="54" spans="1:18" s="1829" customFormat="1" ht="13.5" thickBot="1">
      <c r="A54" s="1394"/>
      <c r="B54" s="1812" t="s">
        <v>1388</v>
      </c>
      <c r="C54" s="1166"/>
      <c r="D54" s="1811"/>
      <c r="E54" s="2961"/>
      <c r="F54" s="1894"/>
      <c r="I54" s="18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6"/>
      <c r="K54" s="1896"/>
      <c r="L54" s="1896"/>
      <c r="M54" s="1878"/>
      <c r="O54" s="1856" t="s">
        <v>1550</v>
      </c>
      <c r="P54" s="1826"/>
      <c r="Q54" s="1826"/>
      <c r="R54" s="1826"/>
    </row>
    <row r="55" spans="1:18" s="1829" customFormat="1" ht="13.5" thickBot="1">
      <c r="A55" s="1321" t="s">
        <v>1075</v>
      </c>
      <c r="B55" s="1814" t="s">
        <v>1413</v>
      </c>
      <c r="C55" s="1322"/>
      <c r="D55" s="1811"/>
      <c r="E55" s="2961"/>
      <c r="F55" s="1894"/>
      <c r="I55" s="1897" t="s">
        <v>1551</v>
      </c>
      <c r="J55" s="1898" t="e">
        <f ca="1">ROUND(IF(J47="钢混",J57/J50,1-(1-2%)*(J50-J57)/J50),3)</f>
        <v>#VALUE!</v>
      </c>
      <c r="K55" s="1899" t="s">
        <v>1552</v>
      </c>
      <c r="L55" s="1900" t="s">
        <v>1553</v>
      </c>
      <c r="O55" s="1864" t="s">
        <v>1522</v>
      </c>
      <c r="P55" s="1865" t="s">
        <v>1523</v>
      </c>
      <c r="Q55" s="1866" t="s">
        <v>1524</v>
      </c>
      <c r="R55" s="1866" t="s">
        <v>1525</v>
      </c>
    </row>
    <row r="56" spans="1:18" s="1829" customFormat="1" ht="25.5" thickTop="1" thickBot="1">
      <c r="A56" s="1164">
        <v>2</v>
      </c>
      <c r="B56" s="1165" t="s">
        <v>1414</v>
      </c>
      <c r="C56" s="267">
        <f ca="1">C13</f>
        <v>8316</v>
      </c>
      <c r="D56" s="1901"/>
      <c r="E56" s="1902"/>
      <c r="F56" s="1894"/>
      <c r="I56" s="1903" t="s">
        <v>1554</v>
      </c>
      <c r="J56" s="1904" t="s">
        <v>3039</v>
      </c>
      <c r="K56" s="1874" t="s">
        <v>1555</v>
      </c>
      <c r="L56" s="1877" t="str">
        <f ca="1">IF(L48&lt;J51,"——",L48-J53)</f>
        <v>——</v>
      </c>
      <c r="O56" s="1871" t="s">
        <v>1040</v>
      </c>
      <c r="P56" s="1872" t="s">
        <v>1528</v>
      </c>
      <c r="Q56" s="1873">
        <f ca="1">C40+J29</f>
        <v>22361</v>
      </c>
      <c r="R56" s="1873" t="s">
        <v>1529</v>
      </c>
    </row>
    <row r="57" spans="1:18" s="1829" customFormat="1" ht="24.75" thickBot="1">
      <c r="A57" s="1905"/>
      <c r="B57" s="1157" t="s">
        <v>1478</v>
      </c>
      <c r="C57" s="273">
        <f ca="1">C29</f>
        <v>8400</v>
      </c>
      <c r="D57" s="1906"/>
      <c r="E57" s="1907"/>
      <c r="F57" s="1908"/>
      <c r="I57" s="1909" t="s">
        <v>1556</v>
      </c>
      <c r="J57" s="1910" t="str">
        <f ca="1">IF(OR(M47="住宅",J51&lt;L48,J56="是"),"——",J51-L48)</f>
        <v>——</v>
      </c>
      <c r="K57" s="1874" t="s">
        <v>1557</v>
      </c>
      <c r="L57" s="1877" t="str">
        <f ca="1">IF(L48&lt;J51,"——",IF(L55="比较法",L49,IF(L55="基准地价",L50,L51)))</f>
        <v>——</v>
      </c>
      <c r="O57" s="1871" t="s">
        <v>1041</v>
      </c>
      <c r="P57" s="1872" t="s">
        <v>1558</v>
      </c>
      <c r="Q57" s="1873">
        <f ca="1">L60</f>
        <v>0</v>
      </c>
      <c r="R57" s="1873" t="s">
        <v>1559</v>
      </c>
    </row>
    <row r="58" spans="1:18" s="1829" customFormat="1" ht="24.75" thickBot="1">
      <c r="A58" s="351" t="s">
        <v>1030</v>
      </c>
      <c r="B58" s="1165" t="s">
        <v>1424</v>
      </c>
      <c r="C58" s="352">
        <f ca="1">ROUND(C59+C64+C65+C66,0)</f>
        <v>849</v>
      </c>
      <c r="D58" s="1167" t="s">
        <v>1425</v>
      </c>
      <c r="E58" s="1168"/>
      <c r="F58" s="1169"/>
      <c r="I58" s="1909" t="s">
        <v>1560</v>
      </c>
      <c r="J58" s="1911" t="e">
        <f ca="1">IF(J55&lt;0.4,0.4,J55)</f>
        <v>#VALUE!</v>
      </c>
      <c r="K58" s="1887" t="s">
        <v>1561</v>
      </c>
      <c r="L58" s="1877" t="e">
        <f ca="1">ROUND(POWER(1+L52,L47-L48)*(POWER(1+L52,L48)-1)/(POWER(1+L52,L47)-1),4)</f>
        <v>#DIV/0!</v>
      </c>
      <c r="O58" s="1881" t="s">
        <v>1042</v>
      </c>
      <c r="P58" s="1872" t="s">
        <v>1562</v>
      </c>
      <c r="Q58" s="1873">
        <f>IF(L55="比较法",L49,IF(L55="基准地价",L50,0))</f>
        <v>0</v>
      </c>
      <c r="R58" s="1873" t="s">
        <v>1529</v>
      </c>
    </row>
    <row r="59" spans="1:18" s="1829" customFormat="1" ht="24.75" thickBot="1">
      <c r="A59" s="1189" t="s">
        <v>1035</v>
      </c>
      <c r="B59" s="1157" t="s">
        <v>1429</v>
      </c>
      <c r="C59" s="24">
        <f ca="1">ROUND(IF(项目基本情况!B11="自然人",C48*F59,C60+C61+C62),1)</f>
        <v>710.7</v>
      </c>
      <c r="D59" s="1170" t="s">
        <v>1430</v>
      </c>
      <c r="E59" s="1171" t="s">
        <v>1431</v>
      </c>
      <c r="F59" s="359">
        <f ca="1">IF(项目基本情况!B11="企业","",IF(INDIRECT("'数据-取费表'!c"&amp;$G$1)="住宅",5%,IF(F49*F50*F51/12/(1+'数据-取费表'!C42)&gt;20000,12%,7%)))</f>
        <v>7.0000000000000007E-2</v>
      </c>
      <c r="I59" s="1909" t="s">
        <v>1563</v>
      </c>
      <c r="J59" s="1910" t="str">
        <f ca="1">IF(OR(M47="住宅",J51&lt;L48,J56="是"),"——",ROUND(C29*J58,0))</f>
        <v>——</v>
      </c>
      <c r="K59" s="187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77" t="e">
        <f ca="1">ROUND(IF(D1="在建（套用方法）",M59,IF(D1="土地（套用方法）",N59,POWER(1+L52,L47-J51)*(POWER(1+L52,J51)-1)/(POWER(1+L52,L47)-1))),4)</f>
        <v>#DIV/0!</v>
      </c>
      <c r="M59" s="1825" t="e">
        <f ca="1">ROUND(POWER(1+L52,L47-(J51+'数据-取费表'!B24))*(POWER(1+L52,(J51+'数据-取费表'!B24))-1)/(POWER(1+L52,L47)-1),4)</f>
        <v>#DIV/0!</v>
      </c>
      <c r="N59" s="1825" t="e">
        <f ca="1">ROUND(POWER(1+L52,L47-(J51+'数据-取费表'!B20))*(POWER(1+L52,(J51+'数据-取费表'!B20))-1)/(POWER(1+L52,L47)-1),4)</f>
        <v>#DIV/0!</v>
      </c>
      <c r="O59" s="1881" t="s">
        <v>1043</v>
      </c>
      <c r="P59" s="1872" t="s">
        <v>1564</v>
      </c>
      <c r="Q59" s="1884">
        <f>L52</f>
        <v>0</v>
      </c>
      <c r="R59" s="1873"/>
    </row>
    <row r="60" spans="1:18" s="1829" customFormat="1" ht="16.5" thickBot="1">
      <c r="A60" s="1189" t="s">
        <v>1034</v>
      </c>
      <c r="B60" s="1157" t="s">
        <v>1433</v>
      </c>
      <c r="C60" s="24">
        <f ca="1">IF(项目基本情况!B11="自然人","——",ROUND(C48*F60/(1+'数据-取费表'!C42),2))</f>
        <v>0</v>
      </c>
      <c r="D60" s="1171" t="s">
        <v>1434</v>
      </c>
      <c r="E60" s="1157" t="s">
        <v>1422</v>
      </c>
      <c r="F60" s="368">
        <f t="shared" ref="F60:F66" si="0">F32</f>
        <v>5.6000000000000001E-2</v>
      </c>
      <c r="I60" s="1912" t="s">
        <v>1565</v>
      </c>
      <c r="J60" s="1913" t="str">
        <f ca="1">IF(OR(M47="住宅",J51&lt;L48,J56="是"),"0",ROUND(J59/(1+J52)^J53,0))</f>
        <v>0</v>
      </c>
      <c r="K60" s="1914" t="s">
        <v>1566</v>
      </c>
      <c r="L60" s="1913">
        <f ca="1">IF(OR(M47="住宅",L48&lt;J51),0,ROUND(L57*(L58/L59-1),0))</f>
        <v>0</v>
      </c>
      <c r="O60" s="1881" t="s">
        <v>1044</v>
      </c>
      <c r="P60" s="1872" t="s">
        <v>1567</v>
      </c>
      <c r="Q60" s="1873" t="e">
        <f ca="1">L58</f>
        <v>#DIV/0!</v>
      </c>
      <c r="R60" s="1873" t="s">
        <v>1568</v>
      </c>
    </row>
    <row r="61" spans="1:18" s="1829" customFormat="1" ht="13.5" thickBot="1">
      <c r="A61" s="1189" t="s">
        <v>1492</v>
      </c>
      <c r="B61" s="1157" t="s">
        <v>1437</v>
      </c>
      <c r="C61" s="24">
        <f ca="1">IF(项目基本情况!B11="自然人","——",IF(D61="按租金收入计税",ROUND(C48*F61,2),IF(D61="按房产原值计税",ROUND(C57*F61*0.7,2),INDIRECT("'数据-取费表'!Aj"&amp;$G$1))))</f>
        <v>705.6</v>
      </c>
      <c r="D61" s="1815" t="s">
        <v>1438</v>
      </c>
      <c r="E61" s="1157" t="s">
        <v>1422</v>
      </c>
      <c r="F61" s="358">
        <f t="shared" si="0"/>
        <v>0.12</v>
      </c>
      <c r="I61" s="1915"/>
      <c r="J61" s="1915"/>
      <c r="K61" s="1915"/>
      <c r="L61" s="1915"/>
      <c r="O61" s="1881" t="s">
        <v>1045</v>
      </c>
      <c r="P61" s="1872" t="str">
        <f>K59</f>
        <v>续建工期及建筑物耐用年限下的土地年期修正系数Kn</v>
      </c>
      <c r="Q61" s="1873" t="e">
        <f ca="1">L59</f>
        <v>#DIV/0!</v>
      </c>
      <c r="R61" s="1873" t="s">
        <v>1569</v>
      </c>
    </row>
    <row r="62" spans="1:18" s="1829" customFormat="1" ht="13.5" thickBot="1">
      <c r="A62" s="1189" t="s">
        <v>1495</v>
      </c>
      <c r="B62" s="1156" t="s">
        <v>1441</v>
      </c>
      <c r="C62" s="25">
        <f ca="1">IF(项目基本情况!B11="自然人","——",ROUND(F62*F63/10000,2))</f>
        <v>5.14</v>
      </c>
      <c r="D62" s="1172" t="s">
        <v>1442</v>
      </c>
      <c r="E62" s="1157" t="s">
        <v>1443</v>
      </c>
      <c r="F62" s="362">
        <f t="shared" si="0"/>
        <v>6</v>
      </c>
      <c r="I62" s="1916" t="s">
        <v>1570</v>
      </c>
      <c r="J62" s="1917" t="s">
        <v>1571</v>
      </c>
      <c r="K62" s="1917" t="s">
        <v>1572</v>
      </c>
      <c r="L62" s="1917" t="s">
        <v>1573</v>
      </c>
      <c r="M62" s="1918" t="s">
        <v>1574</v>
      </c>
      <c r="O62" s="1871" t="s">
        <v>1046</v>
      </c>
      <c r="P62" s="1872" t="s">
        <v>1549</v>
      </c>
      <c r="Q62" s="1873">
        <f ca="1">Q56+Q57</f>
        <v>22361</v>
      </c>
      <c r="R62" s="1873" t="s">
        <v>1047</v>
      </c>
    </row>
    <row r="63" spans="1:18" s="1829" customFormat="1" ht="13.5" thickBot="1">
      <c r="A63" s="363"/>
      <c r="B63" s="1163"/>
      <c r="C63" s="29"/>
      <c r="D63" s="1173"/>
      <c r="E63" s="1157" t="s">
        <v>1447</v>
      </c>
      <c r="F63" s="339">
        <f t="shared" ca="1" si="0"/>
        <v>8573.39</v>
      </c>
      <c r="I63" s="1916" t="s">
        <v>1576</v>
      </c>
      <c r="J63" s="1917">
        <v>70</v>
      </c>
      <c r="K63" s="1917">
        <v>50</v>
      </c>
      <c r="L63" s="1917">
        <v>80</v>
      </c>
      <c r="M63" s="1919">
        <v>0.02</v>
      </c>
      <c r="O63" s="1856" t="s">
        <v>1577</v>
      </c>
      <c r="P63" s="1826"/>
      <c r="Q63" s="1826"/>
      <c r="R63" s="1826"/>
    </row>
    <row r="64" spans="1:18" s="1829" customFormat="1" ht="13.5" thickBot="1">
      <c r="A64" s="1189" t="s">
        <v>1039</v>
      </c>
      <c r="B64" s="1157" t="s">
        <v>1449</v>
      </c>
      <c r="C64" s="24">
        <f ca="1">ROUND(C57*F64,1)</f>
        <v>126</v>
      </c>
      <c r="D64" s="1171" t="s">
        <v>1482</v>
      </c>
      <c r="E64" s="1157" t="s">
        <v>1422</v>
      </c>
      <c r="F64" s="365">
        <f t="shared" ca="1" si="0"/>
        <v>1.4999999999999999E-2</v>
      </c>
      <c r="I64" s="1916" t="s">
        <v>1578</v>
      </c>
      <c r="J64" s="1917">
        <v>50</v>
      </c>
      <c r="K64" s="1917">
        <v>35</v>
      </c>
      <c r="L64" s="1917">
        <v>60</v>
      </c>
      <c r="M64" s="1918">
        <v>0</v>
      </c>
      <c r="O64" s="1864" t="s">
        <v>1522</v>
      </c>
      <c r="P64" s="1865" t="s">
        <v>1523</v>
      </c>
      <c r="Q64" s="1866" t="s">
        <v>1524</v>
      </c>
      <c r="R64" s="1866" t="s">
        <v>1525</v>
      </c>
    </row>
    <row r="65" spans="1:18" s="1829" customFormat="1" ht="13.5" thickBot="1">
      <c r="A65" s="1189" t="s">
        <v>1503</v>
      </c>
      <c r="B65" s="1157" t="s">
        <v>1453</v>
      </c>
      <c r="C65" s="24">
        <f ca="1">ROUND(C56*F65,1)</f>
        <v>12.5</v>
      </c>
      <c r="D65" s="1171" t="s">
        <v>1454</v>
      </c>
      <c r="E65" s="1157" t="s">
        <v>1422</v>
      </c>
      <c r="F65" s="367">
        <f t="shared" ca="1" si="0"/>
        <v>1.5E-3</v>
      </c>
      <c r="I65" s="1916" t="s">
        <v>1579</v>
      </c>
      <c r="J65" s="1917">
        <v>40</v>
      </c>
      <c r="K65" s="1917">
        <v>30</v>
      </c>
      <c r="L65" s="1917">
        <v>50</v>
      </c>
      <c r="M65" s="1919">
        <v>0.02</v>
      </c>
      <c r="O65" s="1871" t="s">
        <v>1040</v>
      </c>
      <c r="P65" s="1872" t="s">
        <v>1528</v>
      </c>
      <c r="Q65" s="1873">
        <f ca="1">C40+J29</f>
        <v>22361</v>
      </c>
      <c r="R65" s="1873" t="s">
        <v>1529</v>
      </c>
    </row>
    <row r="66" spans="1:18" s="1829" customFormat="1" ht="16.5" thickBot="1">
      <c r="A66" s="1189" t="s">
        <v>1504</v>
      </c>
      <c r="B66" s="1157" t="s">
        <v>1439</v>
      </c>
      <c r="C66" s="24">
        <f ca="1">ROUND(C48*F66,1)</f>
        <v>0</v>
      </c>
      <c r="D66" s="1171" t="s">
        <v>1459</v>
      </c>
      <c r="E66" s="1157" t="s">
        <v>1422</v>
      </c>
      <c r="F66" s="348">
        <f t="shared" ca="1" si="0"/>
        <v>0.01</v>
      </c>
      <c r="O66" s="1871" t="s">
        <v>1041</v>
      </c>
      <c r="P66" s="1872" t="s">
        <v>1558</v>
      </c>
      <c r="Q66" s="1873">
        <f ca="1">L60</f>
        <v>0</v>
      </c>
      <c r="R66" s="1873" t="s">
        <v>1581</v>
      </c>
    </row>
    <row r="67" spans="1:18" s="1829" customFormat="1" ht="16.5" thickBot="1">
      <c r="A67" s="1164" t="s">
        <v>1031</v>
      </c>
      <c r="B67" s="1174" t="s">
        <v>1463</v>
      </c>
      <c r="C67" s="352">
        <f ca="1">C48-C58</f>
        <v>-849</v>
      </c>
      <c r="D67" s="1170" t="s">
        <v>1464</v>
      </c>
      <c r="E67" s="1175"/>
      <c r="F67" s="1176"/>
      <c r="O67" s="1881" t="s">
        <v>1042</v>
      </c>
      <c r="P67" s="1872" t="s">
        <v>1562</v>
      </c>
      <c r="Q67" s="1920">
        <f ca="1">L51</f>
        <v>4893</v>
      </c>
      <c r="R67" s="1873" t="s">
        <v>1582</v>
      </c>
    </row>
    <row r="68" spans="1:18" s="1829" customFormat="1" ht="16.5" thickBot="1">
      <c r="A68" s="1154" t="s">
        <v>1032</v>
      </c>
      <c r="B68" s="1155" t="s">
        <v>1485</v>
      </c>
      <c r="C68" s="337">
        <f ca="1">ROUND(C67*(1-((1+F70)/(1+F68))^F69)/(F68-F70),0)</f>
        <v>-12885</v>
      </c>
      <c r="D68" s="1172" t="s">
        <v>1469</v>
      </c>
      <c r="E68" s="1157" t="s">
        <v>1470</v>
      </c>
      <c r="F68" s="348">
        <f ca="1">F40</f>
        <v>5.5E-2</v>
      </c>
      <c r="O68" s="1881" t="s">
        <v>1043</v>
      </c>
      <c r="P68" s="1921" t="s">
        <v>1583</v>
      </c>
      <c r="Q68" s="1873">
        <f ca="1">ROUND(Q69-Q70*Q71,0)</f>
        <v>303</v>
      </c>
      <c r="R68" s="1873" t="s">
        <v>1051</v>
      </c>
    </row>
    <row r="69" spans="1:18" s="1829" customFormat="1" ht="13.5" thickBot="1">
      <c r="A69" s="1158"/>
      <c r="B69" s="1159"/>
      <c r="C69" s="342"/>
      <c r="D69" s="1177" t="s">
        <v>1473</v>
      </c>
      <c r="E69" s="1157" t="s">
        <v>1474</v>
      </c>
      <c r="F69" s="370">
        <f ca="1">F41</f>
        <v>33.619999999999997</v>
      </c>
      <c r="O69" s="1881" t="s">
        <v>1048</v>
      </c>
      <c r="P69" s="1921" t="s">
        <v>1584</v>
      </c>
      <c r="Q69" s="1873">
        <f ca="1">C39</f>
        <v>1010</v>
      </c>
      <c r="R69" s="1873" t="s">
        <v>1529</v>
      </c>
    </row>
    <row r="70" spans="1:18" s="1829" customFormat="1" ht="13.5" thickBot="1">
      <c r="A70" s="1161"/>
      <c r="B70" s="1162"/>
      <c r="C70" s="346"/>
      <c r="D70" s="1173"/>
      <c r="E70" s="1157" t="s">
        <v>1477</v>
      </c>
      <c r="F70" s="1263"/>
      <c r="O70" s="1881" t="s">
        <v>1049</v>
      </c>
      <c r="P70" s="1921" t="s">
        <v>1585</v>
      </c>
      <c r="Q70" s="1873">
        <f ca="1">C13</f>
        <v>8316</v>
      </c>
      <c r="R70" s="1873" t="s">
        <v>1529</v>
      </c>
    </row>
    <row r="71" spans="1:18" s="1829" customFormat="1" ht="13.5" thickBot="1">
      <c r="A71" s="1178" t="s">
        <v>1033</v>
      </c>
      <c r="B71" s="1179" t="s">
        <v>1487</v>
      </c>
      <c r="C71" s="373">
        <f ca="1">ROUND(C68*10000/F71,0)</f>
        <v>-6307</v>
      </c>
      <c r="D71" s="1180" t="s">
        <v>1488</v>
      </c>
      <c r="E71" s="1181" t="s">
        <v>1489</v>
      </c>
      <c r="F71" s="376">
        <f ca="1">F43</f>
        <v>20428.607999999997</v>
      </c>
      <c r="O71" s="1881" t="s">
        <v>1050</v>
      </c>
      <c r="P71" s="1921" t="s">
        <v>1586</v>
      </c>
      <c r="Q71" s="1884">
        <f ca="1">C76</f>
        <v>8.5000000000000006E-2</v>
      </c>
      <c r="R71" s="1873"/>
    </row>
    <row r="72" spans="1:18" s="1829" customFormat="1" ht="13.5" thickBot="1">
      <c r="B72" s="787"/>
      <c r="C72" s="787"/>
      <c r="O72" s="1881" t="s">
        <v>1044</v>
      </c>
      <c r="P72" s="1872" t="s">
        <v>1564</v>
      </c>
      <c r="Q72" s="1884">
        <f>L52</f>
        <v>0</v>
      </c>
      <c r="R72" s="1873"/>
    </row>
    <row r="73" spans="1:18" ht="16.5" thickBot="1">
      <c r="A73" s="1829"/>
      <c r="B73" s="787"/>
      <c r="C73" s="787"/>
      <c r="D73" s="1829"/>
      <c r="E73" s="1829"/>
      <c r="F73" s="1829"/>
      <c r="O73" s="1881" t="s">
        <v>1045</v>
      </c>
      <c r="P73" s="1872" t="s">
        <v>1567</v>
      </c>
      <c r="Q73" s="1873" t="e">
        <f ca="1">L58</f>
        <v>#DIV/0!</v>
      </c>
      <c r="R73" s="1873" t="s">
        <v>1568</v>
      </c>
    </row>
    <row r="74" spans="1:18" ht="13.5" thickBot="1">
      <c r="A74" s="1829"/>
      <c r="B74" s="308" t="s">
        <v>1587</v>
      </c>
      <c r="C74" s="1923"/>
      <c r="D74" s="1829"/>
      <c r="E74" s="1829"/>
      <c r="F74" s="1829"/>
      <c r="O74" s="1881" t="s">
        <v>1052</v>
      </c>
      <c r="P74" s="1872" t="str">
        <f>K59</f>
        <v>续建工期及建筑物耐用年限下的土地年期修正系数Kn</v>
      </c>
      <c r="Q74" s="1873" t="e">
        <f ca="1">L59</f>
        <v>#DIV/0!</v>
      </c>
      <c r="R74" s="1873" t="s">
        <v>1569</v>
      </c>
    </row>
    <row r="75" spans="1:18" ht="13.5" thickBot="1">
      <c r="A75" s="1829"/>
      <c r="B75" s="377" t="s">
        <v>1506</v>
      </c>
      <c r="C75" s="378">
        <f ca="1">ROUND(C13*C76,0)</f>
        <v>707</v>
      </c>
      <c r="D75" s="1829"/>
      <c r="E75" s="1829"/>
      <c r="F75" s="1829"/>
      <c r="K75" s="1855"/>
      <c r="L75" s="1829"/>
      <c r="O75" s="1871" t="s">
        <v>1046</v>
      </c>
      <c r="P75" s="1872" t="s">
        <v>1549</v>
      </c>
      <c r="Q75" s="1873">
        <f ca="1">Q65+Q66</f>
        <v>22361</v>
      </c>
      <c r="R75" s="1873" t="s">
        <v>1047</v>
      </c>
    </row>
    <row r="76" spans="1:18">
      <c r="B76" s="379" t="s">
        <v>1507</v>
      </c>
      <c r="C76" s="380">
        <f ca="1">INDIRECT("'数据-取费表'!j"&amp;$G$1)</f>
        <v>8.5000000000000006E-2</v>
      </c>
      <c r="I76" s="1829"/>
      <c r="J76" s="1829"/>
      <c r="K76" s="1855"/>
      <c r="L76" s="1829"/>
    </row>
    <row r="77" spans="1:18">
      <c r="B77" s="381" t="s">
        <v>1508</v>
      </c>
      <c r="C77" s="382"/>
      <c r="I77" s="1829"/>
      <c r="J77" s="1829"/>
      <c r="K77" s="1855"/>
      <c r="L77" s="1829"/>
    </row>
    <row r="78" spans="1:18">
      <c r="B78" s="305" t="s">
        <v>1509</v>
      </c>
      <c r="C78" s="383"/>
    </row>
    <row r="79" spans="1:18">
      <c r="B79" s="377" t="s">
        <v>1510</v>
      </c>
      <c r="C79" s="309">
        <f ca="1">1-C80</f>
        <v>0.30000000000000004</v>
      </c>
    </row>
    <row r="80" spans="1:18">
      <c r="B80" s="377" t="s">
        <v>1511</v>
      </c>
      <c r="C80" s="309">
        <f ca="1">ROUND(C75/C39,3)</f>
        <v>0.7</v>
      </c>
    </row>
    <row r="81" spans="2:3">
      <c r="B81" s="305" t="s">
        <v>1512</v>
      </c>
      <c r="C81" s="273"/>
    </row>
    <row r="82" spans="2:3">
      <c r="B82" s="308" t="s">
        <v>1513</v>
      </c>
      <c r="C82" s="310">
        <f ca="1">1-C83</f>
        <v>0.628</v>
      </c>
    </row>
    <row r="83" spans="2:3">
      <c r="B83" s="308" t="s">
        <v>1514</v>
      </c>
      <c r="C83" s="309">
        <f ca="1">ROUND(C13/C40,3)</f>
        <v>0.372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9" priority="4">
      <formula>$L$48&gt;$J$51</formula>
    </cfRule>
  </conditionalFormatting>
  <conditionalFormatting sqref="I55 I60">
    <cfRule type="expression" dxfId="108" priority="5">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7" zoomScale="80" zoomScaleNormal="80" zoomScaleSheetLayoutView="90" workbookViewId="0">
      <selection activeCell="E25" sqref="E25"/>
    </sheetView>
  </sheetViews>
  <sheetFormatPr defaultRowHeight="12.75"/>
  <cols>
    <col min="1" max="1" width="9" style="293" customWidth="1"/>
    <col min="2" max="2" width="20.625" style="698" customWidth="1"/>
    <col min="3" max="3" width="11.875" style="698" customWidth="1"/>
    <col min="4" max="4" width="40.5" style="293" customWidth="1"/>
    <col min="5" max="5" width="15.75" style="293" customWidth="1"/>
    <col min="6" max="6" width="10.625" style="293" customWidth="1"/>
    <col min="7" max="7" width="4.875" style="293" customWidth="1"/>
    <col min="8" max="8" width="8.5" style="293" customWidth="1"/>
    <col min="9" max="9" width="21.25" style="293" customWidth="1"/>
    <col min="10" max="10" width="12.25" style="293" customWidth="1"/>
    <col min="11" max="11" width="45.125" style="1922" customWidth="1"/>
    <col min="12" max="12" width="16.375" style="293" customWidth="1"/>
    <col min="13" max="13" width="13" style="293" customWidth="1"/>
    <col min="14" max="14" width="13.75" style="1829" customWidth="1"/>
    <col min="15" max="15" width="5.125" style="1829" customWidth="1"/>
    <col min="16" max="16" width="25.75" style="1829" customWidth="1"/>
    <col min="17" max="17" width="13.75" style="1829" customWidth="1"/>
    <col min="18" max="18" width="20.5" style="1829" customWidth="1"/>
    <col min="19" max="19" width="13.25" style="1829" customWidth="1"/>
    <col min="20" max="37" width="9" style="1829"/>
    <col min="38" max="16384" width="9" style="293"/>
  </cols>
  <sheetData>
    <row r="1" spans="1:37" s="328" customFormat="1" ht="21">
      <c r="A1" s="1820" t="s">
        <v>1589</v>
      </c>
      <c r="B1" s="773"/>
      <c r="C1" s="1824" t="s">
        <v>48</v>
      </c>
      <c r="D1" s="1807" t="s">
        <v>3111</v>
      </c>
      <c r="E1" s="1808" t="s">
        <v>1387</v>
      </c>
      <c r="F1" s="1271" t="e">
        <f ca="1">J53</f>
        <v>#N/A</v>
      </c>
      <c r="G1" s="1823" t="e">
        <f>MATCH(C1,'数据-取费表'!A6:A16,0)+5</f>
        <v>#N/A</v>
      </c>
      <c r="H1" s="743"/>
      <c r="I1" s="330"/>
      <c r="J1" s="330"/>
      <c r="K1" s="744"/>
      <c r="L1" s="330"/>
      <c r="M1" s="330"/>
      <c r="N1" s="785"/>
      <c r="O1" s="785"/>
      <c r="P1" s="785"/>
      <c r="Q1" s="785"/>
      <c r="R1" s="785"/>
      <c r="S1" s="785"/>
      <c r="T1" s="785"/>
      <c r="U1" s="785"/>
      <c r="V1" s="785"/>
      <c r="W1" s="785"/>
      <c r="X1" s="785"/>
      <c r="Y1" s="785"/>
      <c r="Z1" s="785"/>
      <c r="AA1" s="785"/>
      <c r="AB1" s="785"/>
      <c r="AC1" s="785"/>
      <c r="AD1" s="785"/>
      <c r="AE1" s="785"/>
      <c r="AF1" s="785"/>
      <c r="AG1" s="785"/>
      <c r="AH1" s="785"/>
      <c r="AI1" s="785"/>
      <c r="AJ1" s="785"/>
      <c r="AK1" s="785"/>
    </row>
    <row r="2" spans="1:37" ht="18" customHeight="1">
      <c r="A2" s="1830" t="s">
        <v>1515</v>
      </c>
      <c r="B2" s="1831" t="e">
        <f ca="1">C40+J29+L46</f>
        <v>#N/A</v>
      </c>
      <c r="C2" s="1832" t="s">
        <v>1516</v>
      </c>
      <c r="D2" s="1832"/>
      <c r="E2" s="1833"/>
      <c r="F2" s="1834"/>
      <c r="G2" s="1835"/>
      <c r="H2" s="1827"/>
      <c r="I2" s="1827"/>
      <c r="J2" s="1827"/>
      <c r="K2" s="1828"/>
      <c r="L2" s="1827"/>
      <c r="M2" s="1827"/>
    </row>
    <row r="3" spans="1:37" ht="18" customHeight="1" thickBot="1">
      <c r="A3" s="1836" t="s">
        <v>1517</v>
      </c>
      <c r="B3" s="1837">
        <f ca="1">IF(ISERROR(B2*10000/F43),0,ROUND(B2*10000/F43,0))</f>
        <v>0</v>
      </c>
      <c r="C3" s="1832" t="s">
        <v>1518</v>
      </c>
      <c r="D3" s="1832"/>
      <c r="E3" s="1833"/>
      <c r="F3" s="1834"/>
      <c r="G3" s="1835"/>
      <c r="H3" s="735" t="s">
        <v>1588</v>
      </c>
      <c r="I3" s="1827"/>
      <c r="J3" s="1827"/>
      <c r="K3" s="1828"/>
      <c r="L3" s="1827"/>
      <c r="M3" s="1827"/>
    </row>
    <row r="4" spans="1:37" ht="18" customHeight="1">
      <c r="A4" s="331" t="s">
        <v>1396</v>
      </c>
      <c r="B4" s="332" t="s">
        <v>1397</v>
      </c>
      <c r="C4" s="332" t="s">
        <v>1398</v>
      </c>
      <c r="D4" s="332" t="s">
        <v>1399</v>
      </c>
      <c r="E4" s="333" t="s">
        <v>1400</v>
      </c>
      <c r="F4" s="334"/>
      <c r="G4" s="1838"/>
      <c r="H4" s="331" t="s">
        <v>1396</v>
      </c>
      <c r="I4" s="332" t="s">
        <v>1397</v>
      </c>
      <c r="J4" s="332" t="s">
        <v>1398</v>
      </c>
      <c r="K4" s="332" t="s">
        <v>1399</v>
      </c>
      <c r="L4" s="333" t="s">
        <v>1400</v>
      </c>
      <c r="M4" s="334"/>
    </row>
    <row r="5" spans="1:37" ht="18" customHeight="1">
      <c r="A5" s="335">
        <v>1</v>
      </c>
      <c r="B5" s="336" t="s">
        <v>1401</v>
      </c>
      <c r="C5" s="1280" t="e">
        <f ca="1">C6+C10+C12</f>
        <v>#N/A</v>
      </c>
      <c r="D5" s="1809" t="s">
        <v>1402</v>
      </c>
      <c r="E5" s="1281"/>
      <c r="F5" s="1282"/>
      <c r="G5" s="1838"/>
      <c r="H5" s="335">
        <v>1</v>
      </c>
      <c r="I5" s="336" t="s">
        <v>1401</v>
      </c>
      <c r="J5" s="1280" t="e">
        <f ca="1">J6+J10+J12</f>
        <v>#N/A</v>
      </c>
      <c r="K5" s="1809" t="s">
        <v>1402</v>
      </c>
      <c r="L5" s="1281"/>
      <c r="M5" s="1282"/>
    </row>
    <row r="6" spans="1:37" ht="18" customHeight="1">
      <c r="A6" s="1279" t="s">
        <v>1035</v>
      </c>
      <c r="B6" s="3320" t="s">
        <v>1403</v>
      </c>
      <c r="C6" s="1284" t="e">
        <f ca="1">ROUND(F6*F8*F7*(1-F9)/10000,0)</f>
        <v>#N/A</v>
      </c>
      <c r="D6" s="155" t="s">
        <v>3022</v>
      </c>
      <c r="E6" s="338" t="s">
        <v>1405</v>
      </c>
      <c r="F6" s="339" t="e">
        <f ca="1">INDIRECT("'数据-取费表'!u"&amp;$G$1)</f>
        <v>#N/A</v>
      </c>
      <c r="G6" s="1838"/>
      <c r="H6" s="1279" t="s">
        <v>1035</v>
      </c>
      <c r="I6" s="3320" t="s">
        <v>1403</v>
      </c>
      <c r="J6" s="337" t="e">
        <f ca="1">ROUND(M6*M8*M7*(1-M9)/10000,0)</f>
        <v>#N/A</v>
      </c>
      <c r="K6" s="155" t="s">
        <v>3021</v>
      </c>
      <c r="L6" s="338" t="s">
        <v>1405</v>
      </c>
      <c r="M6" s="339" t="e">
        <f ca="1">INDIRECT("'数据-取费表'!z"&amp;$G$1)</f>
        <v>#N/A</v>
      </c>
    </row>
    <row r="7" spans="1:37" ht="18" customHeight="1">
      <c r="A7" s="1283"/>
      <c r="B7" s="3321"/>
      <c r="C7" s="1285"/>
      <c r="D7" s="343"/>
      <c r="E7" s="2951" t="s">
        <v>1406</v>
      </c>
      <c r="F7" s="339" t="e">
        <f ca="1">IF(INDIRECT("'数据-取费表'!ah"&amp;$G$1)="",INDIRECT("'数据-取费表'!k"&amp;$G$1),INDIRECT("'数据-取费表'!ah"&amp;$G$1))</f>
        <v>#N/A</v>
      </c>
      <c r="G7" s="1838"/>
      <c r="H7" s="340"/>
      <c r="I7" s="3321"/>
      <c r="J7" s="342"/>
      <c r="K7" s="343"/>
      <c r="L7" s="338" t="s">
        <v>1406</v>
      </c>
      <c r="M7" s="339" t="e">
        <f ca="1">F7</f>
        <v>#N/A</v>
      </c>
    </row>
    <row r="8" spans="1:37" ht="18" customHeight="1">
      <c r="A8" s="340"/>
      <c r="B8" s="3321"/>
      <c r="C8" s="342"/>
      <c r="D8" s="343"/>
      <c r="E8" s="338" t="s">
        <v>1407</v>
      </c>
      <c r="F8" s="339" t="e">
        <f ca="1">INDIRECT("'数据-取费表'!ai"&amp;$G$1)</f>
        <v>#N/A</v>
      </c>
      <c r="G8" s="1838"/>
      <c r="H8" s="340"/>
      <c r="I8" s="3321"/>
      <c r="J8" s="342"/>
      <c r="K8" s="343"/>
      <c r="L8" s="338" t="s">
        <v>1407</v>
      </c>
      <c r="M8" s="339" t="e">
        <f ca="1">INDIRECT("'数据-取费表'!ai"&amp;$G$1)</f>
        <v>#N/A</v>
      </c>
    </row>
    <row r="9" spans="1:37" ht="18" customHeight="1">
      <c r="A9" s="340"/>
      <c r="B9" s="3322"/>
      <c r="C9" s="342"/>
      <c r="D9" s="343"/>
      <c r="E9" s="338" t="s">
        <v>1408</v>
      </c>
      <c r="F9" s="348" t="e">
        <f ca="1">INDIRECT("'数据-取费表'!w"&amp;$G$1)</f>
        <v>#N/A</v>
      </c>
      <c r="G9" s="1838"/>
      <c r="H9" s="340"/>
      <c r="I9" s="3322"/>
      <c r="J9" s="342"/>
      <c r="K9" s="343"/>
      <c r="L9" s="349" t="s">
        <v>1408</v>
      </c>
      <c r="M9" s="350" t="e">
        <f ca="1">INDIRECT("'数据-取费表'!ab"&amp;$G$1)</f>
        <v>#N/A</v>
      </c>
    </row>
    <row r="10" spans="1:37" ht="18" customHeight="1">
      <c r="A10" s="1279" t="s">
        <v>1039</v>
      </c>
      <c r="B10" s="1810" t="s">
        <v>1409</v>
      </c>
      <c r="C10" s="352">
        <f ca="1">ROUND(IF(F10="押一",C6/12*F11,IF(F10="押二",C6/12*2*F11,IF(F10="押三",C6/12*3*F11,C11*F11))),0)</f>
        <v>0</v>
      </c>
      <c r="D10" s="1811" t="s">
        <v>3030</v>
      </c>
      <c r="E10" s="349" t="s">
        <v>1410</v>
      </c>
      <c r="F10" s="1354"/>
      <c r="G10" s="1838"/>
      <c r="H10" s="1279" t="s">
        <v>1039</v>
      </c>
      <c r="I10" s="1810" t="s">
        <v>1409</v>
      </c>
      <c r="J10" s="337" t="e">
        <f ca="1">ROUND(IF(M10="押一",J6/12*M11,IF(M10="押二",J6/12*2*M11,IF(M10="押三",J6/12*3*M11,J11*M11))),0)</f>
        <v>#N/A</v>
      </c>
      <c r="K10" s="1811" t="s">
        <v>3029</v>
      </c>
      <c r="L10" s="349" t="s">
        <v>1410</v>
      </c>
      <c r="M10" s="1354" t="s">
        <v>1411</v>
      </c>
    </row>
    <row r="11" spans="1:37" ht="18" customHeight="1">
      <c r="A11" s="344"/>
      <c r="B11" s="1812" t="s">
        <v>1388</v>
      </c>
      <c r="C11" s="1166"/>
      <c r="D11" s="1813"/>
      <c r="E11" s="349" t="s">
        <v>1412</v>
      </c>
      <c r="F11" s="350">
        <f ca="1">'数据-取费表'!B39</f>
        <v>1.4999999999999999E-2</v>
      </c>
      <c r="G11" s="1838"/>
      <c r="H11" s="1287"/>
      <c r="I11" s="1812" t="s">
        <v>1388</v>
      </c>
      <c r="J11" s="1166"/>
      <c r="K11" s="739"/>
      <c r="L11" s="349" t="s">
        <v>1412</v>
      </c>
      <c r="M11" s="1044">
        <f ca="1">'数据-取费表'!B39</f>
        <v>1.4999999999999999E-2</v>
      </c>
    </row>
    <row r="12" spans="1:37" ht="18" customHeight="1" thickBot="1">
      <c r="A12" s="1321" t="s">
        <v>1075</v>
      </c>
      <c r="B12" s="1814" t="s">
        <v>1413</v>
      </c>
      <c r="C12" s="1322"/>
      <c r="D12" s="1323"/>
      <c r="E12" s="1328"/>
      <c r="F12" s="1324"/>
      <c r="G12" s="1838"/>
      <c r="H12" s="1321" t="s">
        <v>1075</v>
      </c>
      <c r="I12" s="1814" t="s">
        <v>1413</v>
      </c>
      <c r="J12" s="1322"/>
      <c r="K12" s="1336"/>
      <c r="L12" s="1328"/>
      <c r="M12" s="1337"/>
    </row>
    <row r="13" spans="1:37" ht="18" customHeight="1" thickTop="1">
      <c r="A13" s="1317">
        <v>2</v>
      </c>
      <c r="B13" s="1318" t="s">
        <v>1414</v>
      </c>
      <c r="C13" s="346" t="e">
        <f ca="1">ROUND(C29*F13,0)</f>
        <v>#N/A</v>
      </c>
      <c r="D13" s="1319" t="s">
        <v>1415</v>
      </c>
      <c r="E13" s="1319" t="s">
        <v>1416</v>
      </c>
      <c r="F13" s="1320" t="e">
        <f ca="1">INDIRECT("'数据-取费表'!y"&amp;$G$1)</f>
        <v>#N/A</v>
      </c>
      <c r="G13" s="1838"/>
      <c r="H13" s="1317">
        <v>2</v>
      </c>
      <c r="I13" s="1318" t="s">
        <v>1414</v>
      </c>
      <c r="J13" s="1278" t="e">
        <f ca="1">ROUND(J14*J15,0)</f>
        <v>#N/A</v>
      </c>
      <c r="K13" s="1325" t="s">
        <v>1415</v>
      </c>
      <c r="L13" s="1839"/>
      <c r="M13" s="1840"/>
    </row>
    <row r="14" spans="1:37" ht="18" customHeight="1">
      <c r="A14" s="1189" t="s">
        <v>1034</v>
      </c>
      <c r="B14" s="338" t="s">
        <v>1417</v>
      </c>
      <c r="C14" s="354" t="e">
        <f ca="1">INDIRECT("'数据-取费表'!m"&amp;$G$1)+INDIRECT("'数据-取费表'!t"&amp;$G$1)</f>
        <v>#N/A</v>
      </c>
      <c r="D14" s="2954" t="s">
        <v>1418</v>
      </c>
      <c r="E14" s="2953"/>
      <c r="F14" s="355"/>
      <c r="G14" s="1838"/>
      <c r="H14" s="1189" t="s">
        <v>1035</v>
      </c>
      <c r="I14" s="338" t="s">
        <v>1419</v>
      </c>
      <c r="J14" s="24" t="e">
        <f ca="1">C29</f>
        <v>#N/A</v>
      </c>
      <c r="K14" s="2950"/>
      <c r="L14" s="968"/>
      <c r="M14" s="969"/>
    </row>
    <row r="15" spans="1:37" s="1845" customFormat="1" ht="18" customHeight="1" thickBot="1">
      <c r="A15" s="1189" t="s">
        <v>1036</v>
      </c>
      <c r="B15" s="338" t="s">
        <v>1420</v>
      </c>
      <c r="C15" s="24" t="e">
        <f ca="1">ROUND(C14*F15,0)</f>
        <v>#N/A</v>
      </c>
      <c r="D15" s="356" t="s">
        <v>1421</v>
      </c>
      <c r="E15" s="356" t="s">
        <v>1422</v>
      </c>
      <c r="F15" s="357">
        <f>'数据-取费表'!B33</f>
        <v>0.03</v>
      </c>
      <c r="G15" s="1841"/>
      <c r="H15" s="1327" t="s">
        <v>1039</v>
      </c>
      <c r="I15" s="1328" t="s">
        <v>1416</v>
      </c>
      <c r="J15" s="1337" t="e">
        <f ca="1">INDIRECT("'数据-取费表'!ad"&amp;$G$1)</f>
        <v>#N/A</v>
      </c>
      <c r="K15" s="1338"/>
      <c r="L15" s="1842"/>
      <c r="M15" s="1843"/>
      <c r="N15" s="1844"/>
      <c r="O15" s="1844"/>
      <c r="P15" s="1844"/>
      <c r="Q15" s="1844"/>
      <c r="R15" s="1844"/>
      <c r="S15" s="1844"/>
      <c r="T15" s="1844"/>
      <c r="U15" s="1844"/>
      <c r="V15" s="1844"/>
      <c r="W15" s="1844"/>
      <c r="X15" s="1844"/>
      <c r="Y15" s="1844"/>
      <c r="Z15" s="1844"/>
      <c r="AA15" s="1844"/>
      <c r="AB15" s="1844"/>
      <c r="AC15" s="1844"/>
      <c r="AD15" s="1844"/>
      <c r="AE15" s="1844"/>
      <c r="AF15" s="1844"/>
      <c r="AG15" s="1844"/>
      <c r="AH15" s="1844"/>
      <c r="AI15" s="1844"/>
      <c r="AJ15" s="1844"/>
      <c r="AK15" s="1844"/>
    </row>
    <row r="16" spans="1:37" ht="18" customHeight="1" thickTop="1">
      <c r="A16" s="1189" t="s">
        <v>1389</v>
      </c>
      <c r="B16" s="338" t="s">
        <v>1423</v>
      </c>
      <c r="C16" s="24" t="e">
        <f ca="1">ROUND(INDIRECT("'数据-取费表'!m"&amp;$G$1)*F16,0)</f>
        <v>#N/A</v>
      </c>
      <c r="D16" s="338" t="s">
        <v>1421</v>
      </c>
      <c r="E16" s="338" t="s">
        <v>1422</v>
      </c>
      <c r="F16" s="358" t="e">
        <f ca="1">IF(INDIRECT("'数据-取费表'!c"&amp;$G$1)="住宅",'数据-取费表'!B34,0)</f>
        <v>#N/A</v>
      </c>
      <c r="G16" s="1838"/>
      <c r="H16" s="1317" t="s">
        <v>1030</v>
      </c>
      <c r="I16" s="1318" t="s">
        <v>1424</v>
      </c>
      <c r="J16" s="346" t="e">
        <f ca="1">ROUND(J17+J22+J23+J24,0)</f>
        <v>#N/A</v>
      </c>
      <c r="K16" s="1325" t="s">
        <v>1425</v>
      </c>
      <c r="L16" s="2956"/>
      <c r="M16" s="1282"/>
    </row>
    <row r="17" spans="1:37" s="1845" customFormat="1" ht="18" customHeight="1">
      <c r="A17" s="1189" t="s">
        <v>1390</v>
      </c>
      <c r="B17" s="338" t="s">
        <v>1426</v>
      </c>
      <c r="C17" s="24" t="e">
        <f ca="1">ROUND(F17*(F43+INDIRECT("'数据-取费表'!S"&amp;$G$1))/10000,0)</f>
        <v>#N/A</v>
      </c>
      <c r="D17" s="338" t="s">
        <v>1427</v>
      </c>
      <c r="E17" s="338" t="s">
        <v>1428</v>
      </c>
      <c r="F17" s="26">
        <f>'数据-取费表'!B35</f>
        <v>200</v>
      </c>
      <c r="G17" s="1841"/>
      <c r="H17" s="1189" t="s">
        <v>1035</v>
      </c>
      <c r="I17" s="338" t="s">
        <v>1429</v>
      </c>
      <c r="J17" s="24" t="e">
        <f ca="1">ROUND(IF(项目基本情况!B11="自然人",J5*M17,J18+J19+J20),1)</f>
        <v>#N/A</v>
      </c>
      <c r="K17" s="2954" t="s">
        <v>1430</v>
      </c>
      <c r="L17" s="2955" t="s">
        <v>1431</v>
      </c>
      <c r="M17" s="359" t="e">
        <f ca="1">IF(项目基本情况!B11="企业","",IF(INDIRECT("'数据-取费表'!c"&amp;$G$1)="住宅",5%,IF(M6*M7*M8/12/(1+'数据-取费表'!C42)&gt;20000,12%,7%)))</f>
        <v>#N/A</v>
      </c>
      <c r="N17" s="1844"/>
      <c r="O17" s="1844"/>
      <c r="P17" s="1844"/>
      <c r="Q17" s="1844"/>
      <c r="R17" s="1844"/>
      <c r="S17" s="1844"/>
      <c r="T17" s="1844"/>
      <c r="U17" s="1844"/>
      <c r="V17" s="1844"/>
      <c r="W17" s="1844"/>
      <c r="X17" s="1844"/>
      <c r="Y17" s="1844"/>
      <c r="Z17" s="1844"/>
      <c r="AA17" s="1844"/>
      <c r="AB17" s="1844"/>
      <c r="AC17" s="1844"/>
      <c r="AD17" s="1844"/>
      <c r="AE17" s="1844"/>
      <c r="AF17" s="1844"/>
      <c r="AG17" s="1844"/>
      <c r="AH17" s="1844"/>
      <c r="AI17" s="1844"/>
      <c r="AJ17" s="1844"/>
      <c r="AK17" s="1844"/>
    </row>
    <row r="18" spans="1:37" s="1845" customFormat="1" ht="18" customHeight="1">
      <c r="A18" s="1189" t="s">
        <v>1391</v>
      </c>
      <c r="B18" s="338" t="s">
        <v>1432</v>
      </c>
      <c r="C18" s="24" t="e">
        <f ca="1">ROUND(C14*F18,0)</f>
        <v>#N/A</v>
      </c>
      <c r="D18" s="338" t="s">
        <v>1421</v>
      </c>
      <c r="E18" s="338" t="s">
        <v>1422</v>
      </c>
      <c r="F18" s="358">
        <f>'数据-取费表'!B36</f>
        <v>1.4999999999999999E-2</v>
      </c>
      <c r="G18" s="1841"/>
      <c r="H18" s="1189" t="s">
        <v>1034</v>
      </c>
      <c r="I18" s="338" t="s">
        <v>1433</v>
      </c>
      <c r="J18" s="24" t="e">
        <f ca="1">ROUND(J5*M18/(1+'数据-取费表'!C42),2)</f>
        <v>#N/A</v>
      </c>
      <c r="K18" s="2955" t="s">
        <v>1434</v>
      </c>
      <c r="L18" s="338" t="s">
        <v>1422</v>
      </c>
      <c r="M18" s="358">
        <f>'数据-取费表'!B41</f>
        <v>5.6000000000000001E-2</v>
      </c>
      <c r="N18" s="1844"/>
      <c r="O18" s="1844"/>
      <c r="P18" s="1844"/>
      <c r="Q18" s="1844"/>
      <c r="R18" s="1844"/>
      <c r="S18" s="1844"/>
      <c r="T18" s="1844"/>
      <c r="U18" s="1844"/>
      <c r="V18" s="1844"/>
      <c r="W18" s="1844"/>
      <c r="X18" s="1844"/>
      <c r="Y18" s="1844"/>
      <c r="Z18" s="1844"/>
      <c r="AA18" s="1844"/>
      <c r="AB18" s="1844"/>
      <c r="AC18" s="1844"/>
      <c r="AD18" s="1844"/>
      <c r="AE18" s="1844"/>
      <c r="AF18" s="1844"/>
      <c r="AG18" s="1844"/>
      <c r="AH18" s="1844"/>
      <c r="AI18" s="1844"/>
      <c r="AJ18" s="1844"/>
      <c r="AK18" s="1844"/>
    </row>
    <row r="19" spans="1:37" ht="18" customHeight="1">
      <c r="A19" s="1189" t="s">
        <v>1035</v>
      </c>
      <c r="B19" s="338" t="s">
        <v>1435</v>
      </c>
      <c r="C19" s="24" t="e">
        <f ca="1">SUM(C14:C18)</f>
        <v>#N/A</v>
      </c>
      <c r="D19" s="131" t="s">
        <v>1436</v>
      </c>
      <c r="E19" s="2949"/>
      <c r="F19" s="26"/>
      <c r="G19" s="1838"/>
      <c r="H19" s="1189" t="s">
        <v>1036</v>
      </c>
      <c r="I19" s="338" t="s">
        <v>1437</v>
      </c>
      <c r="J19" s="24" t="e">
        <f ca="1">IF(K19="按租金收入计税",ROUND(J5*M19,2),ROUND(C29*M19*0.7,2))</f>
        <v>#N/A</v>
      </c>
      <c r="K19" s="1815" t="s">
        <v>1438</v>
      </c>
      <c r="L19" s="338" t="s">
        <v>1422</v>
      </c>
      <c r="M19" s="358">
        <f>IF(K19="按租金收入计税",'数据-取费表'!B51,'数据-取费表'!B50)</f>
        <v>1.2E-2</v>
      </c>
    </row>
    <row r="20" spans="1:37" s="1845" customFormat="1" ht="18" customHeight="1">
      <c r="A20" s="1189" t="s">
        <v>1039</v>
      </c>
      <c r="B20" s="338" t="s">
        <v>1439</v>
      </c>
      <c r="C20" s="24" t="e">
        <f ca="1">ROUND(C19*F20,0)</f>
        <v>#N/A</v>
      </c>
      <c r="D20" s="360" t="s">
        <v>1440</v>
      </c>
      <c r="E20" s="338" t="s">
        <v>1422</v>
      </c>
      <c r="F20" s="358">
        <f>'数据-取费表'!B37</f>
        <v>0.02</v>
      </c>
      <c r="G20" s="1841"/>
      <c r="H20" s="1189" t="s">
        <v>1389</v>
      </c>
      <c r="I20" s="155" t="s">
        <v>1441</v>
      </c>
      <c r="J20" s="25" t="e">
        <f ca="1">ROUND(M20*M21/10000,2)</f>
        <v>#N/A</v>
      </c>
      <c r="K20" s="361" t="s">
        <v>1442</v>
      </c>
      <c r="L20" s="338" t="s">
        <v>1443</v>
      </c>
      <c r="M20" s="362">
        <f>'数据-取费表'!B52</f>
        <v>6</v>
      </c>
      <c r="N20" s="1844"/>
      <c r="O20" s="1844"/>
      <c r="P20" s="1844"/>
      <c r="Q20" s="1844"/>
      <c r="R20" s="1844"/>
      <c r="S20" s="1844"/>
      <c r="T20" s="1844"/>
      <c r="U20" s="1844"/>
      <c r="V20" s="1844"/>
      <c r="W20" s="1844"/>
      <c r="X20" s="1844"/>
      <c r="Y20" s="1844"/>
      <c r="Z20" s="1844"/>
      <c r="AA20" s="1844"/>
      <c r="AB20" s="1844"/>
      <c r="AC20" s="1844"/>
      <c r="AD20" s="1844"/>
      <c r="AE20" s="1844"/>
      <c r="AF20" s="1844"/>
      <c r="AG20" s="1844"/>
      <c r="AH20" s="1844"/>
      <c r="AI20" s="1844"/>
      <c r="AJ20" s="1844"/>
      <c r="AK20" s="1844"/>
    </row>
    <row r="21" spans="1:37" s="1845" customFormat="1" ht="18" customHeight="1">
      <c r="A21" s="1189" t="s">
        <v>1075</v>
      </c>
      <c r="B21" s="338" t="s">
        <v>1444</v>
      </c>
      <c r="C21" s="24" t="s">
        <v>18</v>
      </c>
      <c r="D21" s="360" t="s">
        <v>1445</v>
      </c>
      <c r="E21" s="338" t="s">
        <v>1446</v>
      </c>
      <c r="F21" s="358">
        <f>'数据-取费表'!B38</f>
        <v>1.4999999999999999E-2</v>
      </c>
      <c r="G21" s="1841"/>
      <c r="H21" s="363"/>
      <c r="I21" s="347"/>
      <c r="J21" s="29"/>
      <c r="K21" s="364"/>
      <c r="L21" s="338" t="s">
        <v>1447</v>
      </c>
      <c r="M21" s="339" t="e">
        <f ca="1">INDIRECT("'数据-取费表'!r"&amp;$G$1)</f>
        <v>#N/A</v>
      </c>
      <c r="N21" s="1844"/>
      <c r="O21" s="1844"/>
      <c r="P21" s="1844"/>
      <c r="Q21" s="1844"/>
      <c r="R21" s="1844"/>
      <c r="S21" s="1844"/>
      <c r="T21" s="1844"/>
      <c r="U21" s="1844"/>
      <c r="V21" s="1844"/>
      <c r="W21" s="1844"/>
      <c r="X21" s="1844"/>
      <c r="Y21" s="1844"/>
      <c r="Z21" s="1844"/>
      <c r="AA21" s="1844"/>
      <c r="AB21" s="1844"/>
      <c r="AC21" s="1844"/>
      <c r="AD21" s="1844"/>
      <c r="AE21" s="1844"/>
      <c r="AF21" s="1844"/>
      <c r="AG21" s="1844"/>
      <c r="AH21" s="1844"/>
      <c r="AI21" s="1844"/>
      <c r="AJ21" s="1844"/>
      <c r="AK21" s="1844"/>
    </row>
    <row r="22" spans="1:37" ht="18" customHeight="1">
      <c r="A22" s="1189" t="s">
        <v>1392</v>
      </c>
      <c r="B22" s="338" t="s">
        <v>1448</v>
      </c>
      <c r="C22" s="24"/>
      <c r="D22" s="131" t="str">
        <f>IF(F23&lt;=1,"单利计息。","复利计息。")&amp;"建造成本、管理费用、销售费用产生的利息。"</f>
        <v>复利计息。建造成本、管理费用、销售费用产生的利息。</v>
      </c>
      <c r="E22" s="2949"/>
      <c r="F22" s="26"/>
      <c r="G22" s="1838"/>
      <c r="H22" s="1189" t="s">
        <v>1039</v>
      </c>
      <c r="I22" s="338" t="s">
        <v>1449</v>
      </c>
      <c r="J22" s="24" t="e">
        <f ca="1">ROUND(J14*M22,1)</f>
        <v>#N/A</v>
      </c>
      <c r="K22" s="2955" t="s">
        <v>1450</v>
      </c>
      <c r="L22" s="338" t="s">
        <v>1422</v>
      </c>
      <c r="M22" s="365" t="e">
        <f ca="1">INDIRECT("'数据-取费表'!Ak"&amp;$G$1)</f>
        <v>#N/A</v>
      </c>
    </row>
    <row r="23" spans="1:37" s="1845" customFormat="1" ht="18" customHeight="1">
      <c r="A23" s="1189" t="s">
        <v>1034</v>
      </c>
      <c r="B23" s="338" t="s">
        <v>1451</v>
      </c>
      <c r="C23" s="24" t="e">
        <f ca="1">IF('数据-取费表'!B22&lt;=1,ROUND(C19*F24*F23/2,0)+ROUND(C20*F24*F23/2,0),ROUND(C19*(POWER((1+F24),F23/2)-1),0)+ROUND(C20*(POWER((1+F24),F23/2)-1),0))</f>
        <v>#N/A</v>
      </c>
      <c r="D23" s="366" t="str">
        <f>IF(F23&lt;=1,"(建造成本+管理费用)×利率×(建设周期÷2)","(建造成本+管理费用)×((1+利率)^(建设周期÷2)-1)")</f>
        <v>(建造成本+管理费用)×((1+利率)^(建设周期÷2)-1)</v>
      </c>
      <c r="E23" s="338" t="s">
        <v>1452</v>
      </c>
      <c r="F23" s="362">
        <f>'数据-取费表'!B20</f>
        <v>2</v>
      </c>
      <c r="G23" s="1841"/>
      <c r="H23" s="1189" t="s">
        <v>1075</v>
      </c>
      <c r="I23" s="338" t="s">
        <v>1453</v>
      </c>
      <c r="J23" s="24" t="e">
        <f ca="1">ROUND(J13*M23,1)</f>
        <v>#N/A</v>
      </c>
      <c r="K23" s="2955" t="s">
        <v>1454</v>
      </c>
      <c r="L23" s="338" t="s">
        <v>1422</v>
      </c>
      <c r="M23" s="367" t="e">
        <f ca="1">INDIRECT("'数据-取费表'!Al"&amp;$G$1)</f>
        <v>#N/A</v>
      </c>
      <c r="N23" s="1844"/>
      <c r="O23" s="1844"/>
      <c r="P23" s="1844"/>
      <c r="Q23" s="1844"/>
      <c r="R23" s="1844"/>
      <c r="S23" s="1844"/>
      <c r="T23" s="1844"/>
      <c r="U23" s="1844"/>
      <c r="V23" s="1844"/>
      <c r="W23" s="1844"/>
      <c r="X23" s="1844"/>
      <c r="Y23" s="1844"/>
      <c r="Z23" s="1844"/>
      <c r="AA23" s="1844"/>
      <c r="AB23" s="1844"/>
      <c r="AC23" s="1844"/>
      <c r="AD23" s="1844"/>
      <c r="AE23" s="1844"/>
      <c r="AF23" s="1844"/>
      <c r="AG23" s="1844"/>
      <c r="AH23" s="1844"/>
      <c r="AI23" s="1844"/>
      <c r="AJ23" s="1844"/>
      <c r="AK23" s="1844"/>
    </row>
    <row r="24" spans="1:37" s="1845" customFormat="1" ht="18" customHeight="1" thickBot="1">
      <c r="A24" s="1189" t="s">
        <v>1036</v>
      </c>
      <c r="B24" s="338" t="s">
        <v>1457</v>
      </c>
      <c r="C24" s="24">
        <f ca="1">ROUND(IF('数据-取费表'!B22&lt;=1,F21*F24*F23/2,F21*(POWER((1+F24),F23/2)-1)),4)</f>
        <v>6.9999999999999999E-4</v>
      </c>
      <c r="D24" s="366" t="str">
        <f>IF(F23&lt;=1,"销售费用×利率×(建设周期÷2)","销售费用×((1+利率)^(建设周期÷2)-1)")</f>
        <v>销售费用×((1+利率)^(建设周期÷2)-1)</v>
      </c>
      <c r="E24" s="338" t="s">
        <v>1458</v>
      </c>
      <c r="F24" s="368">
        <f ca="1">'数据-取费表'!B40</f>
        <v>4.7500000000000001E-2</v>
      </c>
      <c r="G24" s="1841"/>
      <c r="H24" s="1327" t="s">
        <v>1393</v>
      </c>
      <c r="I24" s="1328" t="s">
        <v>1439</v>
      </c>
      <c r="J24" s="1329" t="e">
        <f ca="1">ROUND(J5*M24,1)</f>
        <v>#N/A</v>
      </c>
      <c r="K24" s="1330" t="s">
        <v>1459</v>
      </c>
      <c r="L24" s="1328" t="s">
        <v>1422</v>
      </c>
      <c r="M24" s="1324" t="e">
        <f ca="1">INDIRECT("'数据-取费表'!Am"&amp;$G$1)</f>
        <v>#N/A</v>
      </c>
      <c r="N24" s="1844"/>
      <c r="O24" s="1844"/>
      <c r="P24" s="1844"/>
      <c r="Q24" s="1844"/>
      <c r="R24" s="1844"/>
      <c r="S24" s="1844"/>
      <c r="T24" s="1844"/>
      <c r="U24" s="1844"/>
      <c r="V24" s="1844"/>
      <c r="W24" s="1844"/>
      <c r="X24" s="1844"/>
      <c r="Y24" s="1844"/>
      <c r="Z24" s="1844"/>
      <c r="AA24" s="1844"/>
      <c r="AB24" s="1844"/>
      <c r="AC24" s="1844"/>
      <c r="AD24" s="1844"/>
      <c r="AE24" s="1844"/>
      <c r="AF24" s="1844"/>
      <c r="AG24" s="1844"/>
      <c r="AH24" s="1844"/>
      <c r="AI24" s="1844"/>
      <c r="AJ24" s="1844"/>
      <c r="AK24" s="1844"/>
    </row>
    <row r="25" spans="1:37" ht="24" customHeight="1" thickTop="1">
      <c r="A25" s="1189" t="s">
        <v>1460</v>
      </c>
      <c r="B25" s="338" t="s">
        <v>1461</v>
      </c>
      <c r="C25" s="24"/>
      <c r="D25" s="131" t="s">
        <v>1462</v>
      </c>
      <c r="E25" s="2949"/>
      <c r="F25" s="26"/>
      <c r="G25" s="1838"/>
      <c r="H25" s="1317" t="s">
        <v>1031</v>
      </c>
      <c r="I25" s="1332" t="s">
        <v>1463</v>
      </c>
      <c r="J25" s="346" t="e">
        <f ca="1">J5-J16</f>
        <v>#N/A</v>
      </c>
      <c r="K25" s="1333" t="s">
        <v>1464</v>
      </c>
      <c r="L25" s="1334"/>
      <c r="M25" s="1335"/>
    </row>
    <row r="26" spans="1:37">
      <c r="A26" s="1189" t="s">
        <v>1034</v>
      </c>
      <c r="B26" s="338" t="s">
        <v>1465</v>
      </c>
      <c r="C26" s="24" t="e">
        <f ca="1">ROUND((C19+C20)*F26,0)</f>
        <v>#N/A</v>
      </c>
      <c r="D26" s="360" t="s">
        <v>1466</v>
      </c>
      <c r="E26" s="349" t="s">
        <v>1467</v>
      </c>
      <c r="F26" s="348" t="e">
        <f ca="1">INDIRECT("'数据-取费表'!q"&amp;$G$1)</f>
        <v>#N/A</v>
      </c>
      <c r="G26" s="1838"/>
      <c r="H26" s="335" t="s">
        <v>1032</v>
      </c>
      <c r="I26" s="336" t="s">
        <v>1468</v>
      </c>
      <c r="J26" s="337" t="e">
        <f ca="1">IF(J5&lt;&gt;0,ROUND(J25*(1-((1+M28)/(1+M26))^M27)/(M26-M28),0),0)</f>
        <v>#N/A</v>
      </c>
      <c r="K26" s="361" t="s">
        <v>1469</v>
      </c>
      <c r="L26" s="338" t="s">
        <v>1470</v>
      </c>
      <c r="M26" s="348" t="e">
        <f ca="1">INDIRECT("'数据-取费表'!I"&amp;$G$1)</f>
        <v>#N/A</v>
      </c>
    </row>
    <row r="27" spans="1:37" ht="18" customHeight="1">
      <c r="A27" s="1189" t="s">
        <v>1036</v>
      </c>
      <c r="B27" s="338" t="s">
        <v>1471</v>
      </c>
      <c r="C27" s="24" t="e">
        <f ca="1">ROUND(F21*F26,4)</f>
        <v>#N/A</v>
      </c>
      <c r="D27" s="360" t="s">
        <v>1472</v>
      </c>
      <c r="E27" s="356"/>
      <c r="F27" s="357"/>
      <c r="G27" s="1838"/>
      <c r="H27" s="340"/>
      <c r="I27" s="341"/>
      <c r="J27" s="342"/>
      <c r="K27" s="369" t="s">
        <v>1473</v>
      </c>
      <c r="L27" s="338" t="s">
        <v>1474</v>
      </c>
      <c r="M27" s="370" t="e">
        <f ca="1">INDIRECT("'数据-取费表'!ag"&amp;$G$1)</f>
        <v>#N/A</v>
      </c>
    </row>
    <row r="28" spans="1:37" s="1845" customFormat="1" ht="18" customHeight="1">
      <c r="A28" s="1189" t="s">
        <v>1037</v>
      </c>
      <c r="B28" s="338" t="s">
        <v>1475</v>
      </c>
      <c r="C28" s="24">
        <f>ROUND(F28/(1+'数据-取费表'!C42),4)</f>
        <v>5.33E-2</v>
      </c>
      <c r="D28" s="360" t="s">
        <v>1476</v>
      </c>
      <c r="E28" s="338" t="s">
        <v>1422</v>
      </c>
      <c r="F28" s="358">
        <f>'数据-取费表'!B41</f>
        <v>5.6000000000000001E-2</v>
      </c>
      <c r="G28" s="1841"/>
      <c r="H28" s="344"/>
      <c r="I28" s="345"/>
      <c r="J28" s="346"/>
      <c r="K28" s="364"/>
      <c r="L28" s="338" t="s">
        <v>1477</v>
      </c>
      <c r="M28" s="348" t="e">
        <f ca="1">INDIRECT("'数据-取费表'!aa"&amp;$G$1)</f>
        <v>#N/A</v>
      </c>
      <c r="N28" s="1844"/>
      <c r="O28" s="1844"/>
      <c r="P28" s="1844"/>
      <c r="Q28" s="1844"/>
      <c r="R28" s="1844"/>
      <c r="S28" s="1844"/>
      <c r="T28" s="1844"/>
      <c r="U28" s="1844"/>
      <c r="V28" s="1844"/>
      <c r="W28" s="1844"/>
      <c r="X28" s="1844"/>
      <c r="Y28" s="1844"/>
      <c r="Z28" s="1844"/>
      <c r="AA28" s="1844"/>
      <c r="AB28" s="1844"/>
      <c r="AC28" s="1844"/>
      <c r="AD28" s="1844"/>
      <c r="AE28" s="1844"/>
      <c r="AF28" s="1844"/>
      <c r="AG28" s="1844"/>
      <c r="AH28" s="1844"/>
      <c r="AI28" s="1844"/>
      <c r="AJ28" s="1844"/>
      <c r="AK28" s="1844"/>
    </row>
    <row r="29" spans="1:37" s="1845" customFormat="1" ht="18" customHeight="1" thickBot="1">
      <c r="A29" s="1327" t="s">
        <v>1038</v>
      </c>
      <c r="B29" s="1328" t="s">
        <v>1478</v>
      </c>
      <c r="C29" s="1329" t="e">
        <f ca="1">ROUND((C19+C20+C23+C26)/(1-F21-C24-C27-C28),0)</f>
        <v>#N/A</v>
      </c>
      <c r="D29" s="1330"/>
      <c r="E29" s="1328"/>
      <c r="F29" s="1331"/>
      <c r="G29" s="1841"/>
      <c r="H29" s="371" t="s">
        <v>1033</v>
      </c>
      <c r="I29" s="372" t="s">
        <v>1479</v>
      </c>
      <c r="J29" s="373" t="e">
        <f ca="1">ROUND(J26/(1+F40)^F41,0)</f>
        <v>#N/A</v>
      </c>
      <c r="K29" s="374" t="s">
        <v>1480</v>
      </c>
      <c r="L29" s="375"/>
      <c r="M29" s="376" t="e">
        <f ca="1">INDIRECT("'数据-取费表'!k"&amp;$G$1)</f>
        <v>#N/A</v>
      </c>
      <c r="N29" s="1844"/>
      <c r="O29" s="1844"/>
      <c r="P29" s="1844"/>
      <c r="Q29" s="1844"/>
      <c r="R29" s="1844"/>
      <c r="S29" s="1844"/>
      <c r="T29" s="1844"/>
      <c r="U29" s="1844"/>
      <c r="V29" s="1844"/>
      <c r="W29" s="1844"/>
      <c r="X29" s="1844"/>
      <c r="Y29" s="1844"/>
      <c r="Z29" s="1844"/>
      <c r="AA29" s="1844"/>
      <c r="AB29" s="1844"/>
      <c r="AC29" s="1844"/>
      <c r="AD29" s="1844"/>
      <c r="AE29" s="1844"/>
      <c r="AF29" s="1844"/>
      <c r="AG29" s="1844"/>
      <c r="AH29" s="1844"/>
      <c r="AI29" s="1844"/>
      <c r="AJ29" s="1844"/>
      <c r="AK29" s="1844"/>
    </row>
    <row r="30" spans="1:37" ht="18" customHeight="1" thickTop="1">
      <c r="A30" s="1317" t="s">
        <v>1030</v>
      </c>
      <c r="B30" s="1318" t="s">
        <v>1424</v>
      </c>
      <c r="C30" s="346" t="e">
        <f ca="1">ROUND(C31+C36+C37+C38,0)</f>
        <v>#N/A</v>
      </c>
      <c r="D30" s="1325" t="s">
        <v>1425</v>
      </c>
      <c r="E30" s="2956"/>
      <c r="F30" s="1282"/>
      <c r="G30" s="1838"/>
      <c r="H30" s="736"/>
      <c r="I30" s="737"/>
      <c r="J30" s="738"/>
      <c r="K30" s="739"/>
      <c r="L30" s="740"/>
      <c r="M30" s="741"/>
    </row>
    <row r="31" spans="1:37" ht="18" customHeight="1">
      <c r="A31" s="1189" t="s">
        <v>1035</v>
      </c>
      <c r="B31" s="338" t="s">
        <v>1429</v>
      </c>
      <c r="C31" s="24" t="e">
        <f ca="1">ROUND(IF(项目基本情况!B11="自然人",C5*F31,C32+C33+C34),1)</f>
        <v>#N/A</v>
      </c>
      <c r="D31" s="2954" t="s">
        <v>1430</v>
      </c>
      <c r="E31" s="2955" t="s">
        <v>1481</v>
      </c>
      <c r="F31" s="359" t="e">
        <f ca="1">IF(项目基本情况!B11="企业","",IF(INDIRECT("'数据-取费表'!c"&amp;$G$1)="住宅",5%,IF(F6*F7*F8/12/(1+'数据-取费表'!C42)&gt;20000,12%,7%)))</f>
        <v>#N/A</v>
      </c>
      <c r="G31" s="1838"/>
      <c r="H31" s="736"/>
      <c r="I31" s="737"/>
      <c r="J31" s="738"/>
      <c r="K31" s="739"/>
      <c r="L31" s="740"/>
      <c r="M31" s="741"/>
    </row>
    <row r="32" spans="1:37" ht="18" customHeight="1">
      <c r="A32" s="1189" t="s">
        <v>1034</v>
      </c>
      <c r="B32" s="338" t="s">
        <v>1433</v>
      </c>
      <c r="C32" s="24" t="e">
        <f ca="1">IF(项目基本情况!B11="自然人","——",ROUND(C5*F32/(1+'数据-取费表'!C42),2))</f>
        <v>#N/A</v>
      </c>
      <c r="D32" s="2955" t="s">
        <v>1434</v>
      </c>
      <c r="E32" s="338" t="s">
        <v>1422</v>
      </c>
      <c r="F32" s="368">
        <f>'数据-取费表'!B41</f>
        <v>5.6000000000000001E-2</v>
      </c>
      <c r="G32" s="1838"/>
      <c r="H32" s="736"/>
      <c r="I32" s="737"/>
      <c r="J32" s="738"/>
      <c r="K32" s="739"/>
      <c r="L32" s="740"/>
      <c r="M32" s="741"/>
    </row>
    <row r="33" spans="1:18" ht="18" customHeight="1">
      <c r="A33" s="1189" t="s">
        <v>1036</v>
      </c>
      <c r="B33" s="338" t="s">
        <v>1437</v>
      </c>
      <c r="C33" s="24" t="e">
        <f ca="1">IF(项目基本情况!B11="自然人","——",IF(D33="按租金收入计税",ROUND(C5*F33,2),IF(D33="按房产原值计税",ROUND(C29*F33*0.7,2),INDIRECT("'数据-取费表'!Aj"&amp;$G$1))))</f>
        <v>#N/A</v>
      </c>
      <c r="D33" s="2966" t="s">
        <v>3139</v>
      </c>
      <c r="E33" s="338" t="s">
        <v>1422</v>
      </c>
      <c r="F33" s="358">
        <f>IF(D33="按票据","——",IF(D33="按租金收入计税",'数据-取费表'!B51,'数据-取费表'!B50))</f>
        <v>0.12</v>
      </c>
      <c r="G33" s="1838"/>
      <c r="H33" s="1846"/>
      <c r="I33" s="1847"/>
      <c r="J33" s="1848"/>
      <c r="K33" s="1849"/>
      <c r="L33" s="1846"/>
      <c r="M33" s="1846"/>
    </row>
    <row r="34" spans="1:18" ht="18" customHeight="1">
      <c r="A34" s="1279" t="s">
        <v>1389</v>
      </c>
      <c r="B34" s="155" t="s">
        <v>1441</v>
      </c>
      <c r="C34" s="25" t="e">
        <f ca="1">IF(项目基本情况!B11="自然人","——",ROUND(F34*F35/10000,2))</f>
        <v>#N/A</v>
      </c>
      <c r="D34" s="361" t="s">
        <v>1442</v>
      </c>
      <c r="E34" s="338" t="s">
        <v>1443</v>
      </c>
      <c r="F34" s="362">
        <f>'数据-取费表'!B52</f>
        <v>6</v>
      </c>
      <c r="G34" s="1838"/>
      <c r="H34" s="736"/>
      <c r="I34" s="1847"/>
      <c r="J34" s="1848"/>
      <c r="K34" s="1850"/>
      <c r="L34" s="1851"/>
      <c r="M34" s="1851"/>
    </row>
    <row r="35" spans="1:18" ht="18" customHeight="1">
      <c r="A35" s="1341"/>
      <c r="B35" s="1339"/>
      <c r="C35" s="29"/>
      <c r="D35" s="364"/>
      <c r="E35" s="338" t="s">
        <v>1447</v>
      </c>
      <c r="F35" s="339" t="e">
        <f ca="1">INDIRECT("'数据-取费表'!r"&amp;$G$1)</f>
        <v>#N/A</v>
      </c>
      <c r="G35" s="1838"/>
      <c r="H35" s="736"/>
      <c r="I35" s="1847"/>
      <c r="J35" s="1848"/>
      <c r="K35" s="1849"/>
      <c r="L35" s="1846"/>
      <c r="M35" s="1846"/>
    </row>
    <row r="36" spans="1:18" ht="18" customHeight="1">
      <c r="A36" s="1340" t="s">
        <v>1039</v>
      </c>
      <c r="B36" s="338" t="s">
        <v>1449</v>
      </c>
      <c r="C36" s="24" t="e">
        <f ca="1">ROUND(C29*F36,1)</f>
        <v>#N/A</v>
      </c>
      <c r="D36" s="2955" t="s">
        <v>1482</v>
      </c>
      <c r="E36" s="338" t="s">
        <v>1422</v>
      </c>
      <c r="F36" s="365" t="e">
        <f ca="1">INDIRECT("'数据-取费表'!Ak"&amp;$G$1)</f>
        <v>#N/A</v>
      </c>
      <c r="G36" s="1838"/>
      <c r="H36" s="1846"/>
      <c r="I36" s="1847"/>
      <c r="J36" s="1848"/>
      <c r="K36" s="742"/>
      <c r="L36" s="1846"/>
      <c r="M36" s="1846"/>
    </row>
    <row r="37" spans="1:18" ht="18" customHeight="1">
      <c r="A37" s="1189" t="s">
        <v>1075</v>
      </c>
      <c r="B37" s="338" t="s">
        <v>1453</v>
      </c>
      <c r="C37" s="24" t="e">
        <f ca="1">ROUND(C13*F37,1)</f>
        <v>#N/A</v>
      </c>
      <c r="D37" s="2955" t="s">
        <v>1454</v>
      </c>
      <c r="E37" s="338" t="s">
        <v>1422</v>
      </c>
      <c r="F37" s="367" t="e">
        <f ca="1">INDIRECT("'数据-取费表'!Al"&amp;$G$1)</f>
        <v>#N/A</v>
      </c>
      <c r="G37" s="1838"/>
      <c r="H37" s="1846"/>
      <c r="I37" s="1847"/>
      <c r="J37" s="1848"/>
      <c r="K37" s="742"/>
      <c r="L37" s="1846"/>
      <c r="M37" s="1846"/>
    </row>
    <row r="38" spans="1:18" ht="18" customHeight="1" thickBot="1">
      <c r="A38" s="1327" t="s">
        <v>1393</v>
      </c>
      <c r="B38" s="1328" t="s">
        <v>1439</v>
      </c>
      <c r="C38" s="1329" t="e">
        <f ca="1">ROUND(C5*F38,1)</f>
        <v>#N/A</v>
      </c>
      <c r="D38" s="1330" t="s">
        <v>1459</v>
      </c>
      <c r="E38" s="1328" t="s">
        <v>1422</v>
      </c>
      <c r="F38" s="1324" t="e">
        <f ca="1">INDIRECT("'数据-取费表'!Am"&amp;$G$1)</f>
        <v>#N/A</v>
      </c>
      <c r="G38" s="1838"/>
      <c r="H38" s="1846"/>
      <c r="I38" s="1847"/>
      <c r="J38" s="1848"/>
      <c r="K38" s="1852"/>
      <c r="L38" s="1846"/>
      <c r="M38" s="1846"/>
    </row>
    <row r="39" spans="1:18" ht="24.6" customHeight="1" thickTop="1">
      <c r="A39" s="1317" t="s">
        <v>1031</v>
      </c>
      <c r="B39" s="1332" t="s">
        <v>1483</v>
      </c>
      <c r="C39" s="346" t="e">
        <f ca="1">C5-C30</f>
        <v>#N/A</v>
      </c>
      <c r="D39" s="1333" t="s">
        <v>1484</v>
      </c>
      <c r="E39" s="1334"/>
      <c r="F39" s="1335"/>
      <c r="G39" s="1838"/>
      <c r="H39" s="1846"/>
      <c r="I39" s="1847"/>
      <c r="J39" s="1848"/>
      <c r="K39" s="1852"/>
      <c r="L39" s="1846"/>
      <c r="M39" s="1846"/>
    </row>
    <row r="40" spans="1:18" ht="18" customHeight="1">
      <c r="A40" s="335" t="s">
        <v>1032</v>
      </c>
      <c r="B40" s="336" t="s">
        <v>1485</v>
      </c>
      <c r="C40" s="337" t="e">
        <f ca="1">ROUND(C39*(1-((1+F42)/(1+F40))^F41)/(F40-F42),0)</f>
        <v>#N/A</v>
      </c>
      <c r="D40" s="361" t="s">
        <v>1469</v>
      </c>
      <c r="E40" s="338" t="s">
        <v>1470</v>
      </c>
      <c r="F40" s="348" t="e">
        <f ca="1">INDIRECT("'数据-取费表'!I"&amp;$G$1)</f>
        <v>#N/A</v>
      </c>
      <c r="G40" s="1838"/>
      <c r="H40" s="1826"/>
      <c r="I40" s="1847"/>
      <c r="J40" s="1848"/>
      <c r="K40" s="1852"/>
      <c r="L40" s="1826"/>
      <c r="M40" s="1826"/>
    </row>
    <row r="41" spans="1:18" ht="18" customHeight="1">
      <c r="A41" s="340"/>
      <c r="B41" s="341"/>
      <c r="C41" s="342"/>
      <c r="D41" s="369" t="s">
        <v>1486</v>
      </c>
      <c r="E41" s="338" t="s">
        <v>1474</v>
      </c>
      <c r="F41" s="370" t="e">
        <f ca="1">IF(INDIRECT("'数据-取费表'!af"&amp;$G$1)=0,INDIRECT("'数据-取费表'!ae"&amp;$G$1),INDIRECT("'数据-取费表'!af"&amp;$G$1))</f>
        <v>#N/A</v>
      </c>
      <c r="G41" s="1838"/>
      <c r="H41" s="723"/>
      <c r="I41" s="1847"/>
      <c r="J41" s="1848"/>
      <c r="K41" s="742"/>
      <c r="L41" s="723"/>
      <c r="M41" s="723"/>
    </row>
    <row r="42" spans="1:18" ht="18" customHeight="1">
      <c r="A42" s="344"/>
      <c r="B42" s="345"/>
      <c r="C42" s="346"/>
      <c r="D42" s="364"/>
      <c r="E42" s="338" t="s">
        <v>1477</v>
      </c>
      <c r="F42" s="348" t="e">
        <f ca="1">INDIRECT("'数据-取费表'!v"&amp;$G$1)</f>
        <v>#N/A</v>
      </c>
      <c r="G42" s="1838"/>
      <c r="H42" s="723"/>
      <c r="I42" s="1847"/>
      <c r="J42" s="1848"/>
      <c r="K42" s="742"/>
      <c r="L42" s="723"/>
      <c r="M42" s="723"/>
    </row>
    <row r="43" spans="1:18" ht="18" customHeight="1" thickBot="1">
      <c r="A43" s="371" t="s">
        <v>1033</v>
      </c>
      <c r="B43" s="372" t="s">
        <v>1487</v>
      </c>
      <c r="C43" s="373" t="e">
        <f ca="1">ROUND(C40*10000/F43,0)</f>
        <v>#N/A</v>
      </c>
      <c r="D43" s="374" t="s">
        <v>1488</v>
      </c>
      <c r="E43" s="375" t="s">
        <v>1489</v>
      </c>
      <c r="F43" s="376" t="e">
        <f ca="1">INDIRECT("'数据-取费表'!k"&amp;$G$1)</f>
        <v>#N/A</v>
      </c>
      <c r="G43" s="1838"/>
      <c r="H43" s="723"/>
      <c r="I43" s="723"/>
      <c r="J43" s="723"/>
      <c r="K43" s="742"/>
      <c r="L43" s="723"/>
      <c r="M43" s="723"/>
    </row>
    <row r="44" spans="1:18" s="1829" customFormat="1" ht="18" customHeight="1">
      <c r="A44" s="1853"/>
      <c r="B44" s="1853"/>
      <c r="C44" s="1854"/>
      <c r="D44" s="1853"/>
      <c r="E44" s="1853"/>
      <c r="F44" s="1853"/>
      <c r="K44" s="1855"/>
    </row>
    <row r="45" spans="1:18" s="1829" customFormat="1" ht="18" customHeight="1" thickBot="1">
      <c r="A45" s="1853"/>
      <c r="B45" s="1853"/>
      <c r="C45" s="1854"/>
      <c r="D45" s="1853"/>
      <c r="E45" s="1853"/>
      <c r="F45" s="1853"/>
      <c r="J45" s="787"/>
      <c r="O45" s="1856" t="s">
        <v>1519</v>
      </c>
      <c r="P45" s="1826"/>
      <c r="Q45" s="1826"/>
      <c r="R45" s="1826"/>
    </row>
    <row r="46" spans="1:18" s="1829" customFormat="1" ht="13.5" thickBot="1">
      <c r="A46" s="1857" t="s">
        <v>1520</v>
      </c>
      <c r="C46" s="1858" t="e">
        <f ca="1">C68-C40</f>
        <v>#N/A</v>
      </c>
      <c r="D46" s="1859" t="str">
        <f>C2</f>
        <v>万元</v>
      </c>
      <c r="E46" s="1853"/>
      <c r="F46" s="1853"/>
      <c r="I46" s="1860" t="s">
        <v>1521</v>
      </c>
      <c r="J46" s="1861"/>
      <c r="K46" s="1862"/>
      <c r="L46" s="2946" t="e">
        <f ca="1">IF(M47="住宅",0,IF(L48&gt;J51,L60,J60))</f>
        <v>#N/A</v>
      </c>
      <c r="O46" s="1864" t="s">
        <v>1522</v>
      </c>
      <c r="P46" s="1865" t="s">
        <v>1523</v>
      </c>
      <c r="Q46" s="1866" t="s">
        <v>1524</v>
      </c>
      <c r="R46" s="1866" t="s">
        <v>1525</v>
      </c>
    </row>
    <row r="47" spans="1:18" s="1829" customFormat="1" ht="13.5" thickBot="1">
      <c r="A47" s="1153" t="s">
        <v>1396</v>
      </c>
      <c r="B47" s="1185" t="s">
        <v>1397</v>
      </c>
      <c r="C47" s="1355" t="s">
        <v>1398</v>
      </c>
      <c r="D47" s="1185" t="s">
        <v>1399</v>
      </c>
      <c r="E47" s="1267" t="s">
        <v>1400</v>
      </c>
      <c r="F47" s="1268"/>
      <c r="G47" s="783"/>
      <c r="I47" s="1867" t="s">
        <v>1526</v>
      </c>
      <c r="J47" s="1868" t="s">
        <v>3106</v>
      </c>
      <c r="K47" s="1869" t="s">
        <v>1527</v>
      </c>
      <c r="L47" s="1870" t="e">
        <f ca="1">INDIRECT("'数据-取费表'!d"&amp;$G$1)</f>
        <v>#N/A</v>
      </c>
      <c r="M47" s="1825" t="str">
        <f>IF(ISNUMBER(FIND("住宅",C1)),"住宅","非住宅")</f>
        <v>非住宅</v>
      </c>
      <c r="O47" s="1871" t="s">
        <v>1040</v>
      </c>
      <c r="P47" s="1872" t="s">
        <v>1528</v>
      </c>
      <c r="Q47" s="1873" t="e">
        <f ca="1">C40+J29</f>
        <v>#N/A</v>
      </c>
      <c r="R47" s="1873" t="s">
        <v>1529</v>
      </c>
    </row>
    <row r="48" spans="1:18" s="1829" customFormat="1" ht="28.5" thickBot="1">
      <c r="A48" s="1348" t="s">
        <v>1135</v>
      </c>
      <c r="B48" s="336" t="s">
        <v>1401</v>
      </c>
      <c r="C48" s="2948" t="e">
        <f ca="1">C49+C53+C55</f>
        <v>#N/A</v>
      </c>
      <c r="D48" s="1350"/>
      <c r="E48" s="1351"/>
      <c r="F48" s="1169"/>
      <c r="G48" s="783"/>
      <c r="H48" s="784"/>
      <c r="I48" s="1874" t="s">
        <v>1530</v>
      </c>
      <c r="J48" s="1875" t="s">
        <v>3112</v>
      </c>
      <c r="K48" s="1876" t="s">
        <v>1531</v>
      </c>
      <c r="L48" s="1877" t="e">
        <f ca="1">INDIRECT("'数据-取费表'!f"&amp;$G$1)</f>
        <v>#N/A</v>
      </c>
      <c r="O48" s="1871" t="s">
        <v>1041</v>
      </c>
      <c r="P48" s="1872" t="s">
        <v>1532</v>
      </c>
      <c r="Q48" s="1873" t="e">
        <f ca="1">J60</f>
        <v>#N/A</v>
      </c>
      <c r="R48" s="1873" t="s">
        <v>1533</v>
      </c>
    </row>
    <row r="49" spans="1:18" s="1829" customFormat="1" ht="13.5" thickBot="1">
      <c r="A49" s="1182" t="s">
        <v>1136</v>
      </c>
      <c r="B49" s="1816" t="s">
        <v>1490</v>
      </c>
      <c r="C49" s="1352" t="e">
        <f ca="1">ROUND(F49*F51*F50*(1-F52)/10000,0)</f>
        <v>#N/A</v>
      </c>
      <c r="D49" s="1264" t="s">
        <v>3021</v>
      </c>
      <c r="E49" s="1817" t="s">
        <v>1491</v>
      </c>
      <c r="F49" s="1269"/>
      <c r="G49" s="1878"/>
      <c r="H49" s="784"/>
      <c r="I49" s="1874" t="s">
        <v>1534</v>
      </c>
      <c r="J49" s="1879"/>
      <c r="K49" s="1876" t="s">
        <v>1535</v>
      </c>
      <c r="L49" s="1880"/>
      <c r="O49" s="1881" t="s">
        <v>1042</v>
      </c>
      <c r="P49" s="1872" t="s">
        <v>1536</v>
      </c>
      <c r="Q49" s="1873" t="e">
        <f ca="1">C29</f>
        <v>#N/A</v>
      </c>
      <c r="R49" s="1873" t="s">
        <v>1529</v>
      </c>
    </row>
    <row r="50" spans="1:18" s="1829" customFormat="1" ht="13.5" thickBot="1">
      <c r="A50" s="1183"/>
      <c r="B50" s="1186"/>
      <c r="C50" s="1356"/>
      <c r="D50" s="1160"/>
      <c r="E50" s="1265" t="s">
        <v>1406</v>
      </c>
      <c r="F50" s="1266" t="e">
        <f ca="1">F7</f>
        <v>#N/A</v>
      </c>
      <c r="H50" s="784"/>
      <c r="I50" s="1874" t="s">
        <v>1537</v>
      </c>
      <c r="J50" s="1882">
        <f>SUMPRODUCT((I63:I65=J47)*(J62:L62=J48)*(J63:L65))</f>
        <v>60</v>
      </c>
      <c r="K50" s="1876" t="s">
        <v>1538</v>
      </c>
      <c r="L50" s="1880"/>
      <c r="M50" s="1883"/>
      <c r="O50" s="1881" t="s">
        <v>1043</v>
      </c>
      <c r="P50" s="1872" t="s">
        <v>1539</v>
      </c>
      <c r="Q50" s="1884" t="e">
        <f ca="1">J58</f>
        <v>#N/A</v>
      </c>
      <c r="R50" s="1873"/>
    </row>
    <row r="51" spans="1:18" s="1829" customFormat="1" ht="13.5" thickBot="1">
      <c r="A51" s="1184"/>
      <c r="B51" s="1186"/>
      <c r="C51" s="1187"/>
      <c r="D51" s="1160"/>
      <c r="E51" s="1188" t="s">
        <v>1407</v>
      </c>
      <c r="F51" s="339" t="e">
        <f ca="1">F8</f>
        <v>#N/A</v>
      </c>
      <c r="I51" s="1885" t="s">
        <v>1540</v>
      </c>
      <c r="J51" s="1886">
        <f>IF(J49="",J50,J49+J50-YEAR('数据-取费表'!B2))</f>
        <v>60</v>
      </c>
      <c r="K51" s="1887" t="s">
        <v>1541</v>
      </c>
      <c r="L51" s="1888" t="e">
        <f ca="1">ROUND(-PV(INDIRECT("'数据-取费表'!h"&amp;$G$1),L48,(C39-C13*C76),0),0)</f>
        <v>#N/A</v>
      </c>
      <c r="M51" s="1889"/>
      <c r="O51" s="1881" t="s">
        <v>1044</v>
      </c>
      <c r="P51" s="1872" t="s">
        <v>1542</v>
      </c>
      <c r="Q51" s="1884">
        <f>J52</f>
        <v>0</v>
      </c>
      <c r="R51" s="1873"/>
    </row>
    <row r="52" spans="1:18" s="1829" customFormat="1" ht="13.5" thickBot="1">
      <c r="A52" s="1184"/>
      <c r="B52" s="1186"/>
      <c r="C52" s="1187"/>
      <c r="D52" s="1160"/>
      <c r="E52" s="1188" t="s">
        <v>1408</v>
      </c>
      <c r="F52" s="1263"/>
      <c r="I52" s="1890" t="s">
        <v>1543</v>
      </c>
      <c r="J52" s="1891"/>
      <c r="K52" s="1890" t="s">
        <v>1544</v>
      </c>
      <c r="L52" s="1891"/>
      <c r="O52" s="1881" t="s">
        <v>1045</v>
      </c>
      <c r="P52" s="1872" t="s">
        <v>1545</v>
      </c>
      <c r="Q52" s="1873" t="e">
        <f ca="1">J53</f>
        <v>#N/A</v>
      </c>
      <c r="R52" s="1873" t="s">
        <v>1546</v>
      </c>
    </row>
    <row r="53" spans="1:18" s="1829" customFormat="1" ht="24.75" thickBot="1">
      <c r="A53" s="1393" t="s">
        <v>1137</v>
      </c>
      <c r="B53" s="1818" t="s">
        <v>1409</v>
      </c>
      <c r="C53" s="352">
        <f ca="1">ROUND(IF(F53="押一",C49/12*F11,IF(F53="押二",C49/12*2*F11,IF(F53="押三",C49/12*3*F11,C54*F11))),0)</f>
        <v>0</v>
      </c>
      <c r="D53" s="1811" t="s">
        <v>3029</v>
      </c>
      <c r="E53" s="349" t="s">
        <v>1410</v>
      </c>
      <c r="F53" s="1354"/>
      <c r="I53" s="1892" t="s">
        <v>1547</v>
      </c>
      <c r="J53" s="1893" t="e">
        <f ca="1">IF(M47="住宅",IF(D1="——",MAX(J51,L48),IF(D1="在建（套用方法）",MAX(J51,L48-'数据-取费表'!B24),MAX(J51,L48-'数据-取费表'!B20))),IF(D1="——",MIN(J51,L48),IF(D1="在建（套用方法）",MIN(J51,L48-'数据-取费表'!B24),IF(D1="土地（套用方法）",MIN(J51,L48-'数据-取费表'!B20)))))</f>
        <v>#N/A</v>
      </c>
      <c r="K53" s="3323" t="s">
        <v>1548</v>
      </c>
      <c r="L53" s="3324"/>
      <c r="O53" s="1871" t="s">
        <v>1046</v>
      </c>
      <c r="P53" s="1872" t="s">
        <v>1549</v>
      </c>
      <c r="Q53" s="1873" t="e">
        <f ca="1">Q47+Q48</f>
        <v>#N/A</v>
      </c>
      <c r="R53" s="1873" t="s">
        <v>1047</v>
      </c>
    </row>
    <row r="54" spans="1:18" s="1829" customFormat="1" ht="13.5" thickBot="1">
      <c r="A54" s="1394"/>
      <c r="B54" s="1812" t="s">
        <v>1388</v>
      </c>
      <c r="C54" s="1166"/>
      <c r="D54" s="1811"/>
      <c r="E54" s="2952"/>
      <c r="F54" s="1894"/>
      <c r="I54" s="189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96"/>
      <c r="K54" s="1896"/>
      <c r="L54" s="1896"/>
      <c r="M54" s="1878"/>
      <c r="O54" s="1856" t="s">
        <v>1550</v>
      </c>
      <c r="P54" s="1826"/>
      <c r="Q54" s="1826"/>
      <c r="R54" s="1826"/>
    </row>
    <row r="55" spans="1:18" s="1829" customFormat="1" ht="13.5" thickBot="1">
      <c r="A55" s="1321" t="s">
        <v>1075</v>
      </c>
      <c r="B55" s="1814" t="s">
        <v>1413</v>
      </c>
      <c r="C55" s="1322"/>
      <c r="D55" s="1811"/>
      <c r="E55" s="2952"/>
      <c r="F55" s="1894"/>
      <c r="I55" s="1897" t="s">
        <v>1551</v>
      </c>
      <c r="J55" s="1898" t="e">
        <f ca="1">ROUND(IF(J47="钢混",J57/J50,1-(1-2%)*(J50-J57)/J50),3)</f>
        <v>#N/A</v>
      </c>
      <c r="K55" s="1899" t="s">
        <v>1552</v>
      </c>
      <c r="L55" s="1900" t="s">
        <v>1553</v>
      </c>
      <c r="O55" s="1864" t="s">
        <v>1522</v>
      </c>
      <c r="P55" s="1865" t="s">
        <v>1523</v>
      </c>
      <c r="Q55" s="1866" t="s">
        <v>1524</v>
      </c>
      <c r="R55" s="1866" t="s">
        <v>1525</v>
      </c>
    </row>
    <row r="56" spans="1:18" s="1829" customFormat="1" ht="25.5" thickTop="1" thickBot="1">
      <c r="A56" s="1164">
        <v>2</v>
      </c>
      <c r="B56" s="1165" t="s">
        <v>1414</v>
      </c>
      <c r="C56" s="267" t="e">
        <f ca="1">C13</f>
        <v>#N/A</v>
      </c>
      <c r="D56" s="1901"/>
      <c r="E56" s="1902"/>
      <c r="F56" s="1894"/>
      <c r="I56" s="1903" t="s">
        <v>1554</v>
      </c>
      <c r="J56" s="2945" t="s">
        <v>3039</v>
      </c>
      <c r="K56" s="1874" t="s">
        <v>1555</v>
      </c>
      <c r="L56" s="1877" t="e">
        <f ca="1">IF(L48&lt;J51,"——",L48-J53)</f>
        <v>#N/A</v>
      </c>
      <c r="O56" s="1871" t="s">
        <v>1040</v>
      </c>
      <c r="P56" s="1872" t="s">
        <v>1528</v>
      </c>
      <c r="Q56" s="1873" t="e">
        <f ca="1">C40+J29</f>
        <v>#N/A</v>
      </c>
      <c r="R56" s="1873" t="s">
        <v>1529</v>
      </c>
    </row>
    <row r="57" spans="1:18" s="1829" customFormat="1" ht="24.75" thickBot="1">
      <c r="A57" s="1905"/>
      <c r="B57" s="1157" t="s">
        <v>1478</v>
      </c>
      <c r="C57" s="273" t="e">
        <f ca="1">C29</f>
        <v>#N/A</v>
      </c>
      <c r="D57" s="1906"/>
      <c r="E57" s="1907"/>
      <c r="F57" s="1908"/>
      <c r="I57" s="1909" t="s">
        <v>1556</v>
      </c>
      <c r="J57" s="1910" t="e">
        <f ca="1">IF(OR(M47="住宅",J51&lt;L48,J56="是"),"——",J51-L48)</f>
        <v>#N/A</v>
      </c>
      <c r="K57" s="1874" t="s">
        <v>1557</v>
      </c>
      <c r="L57" s="1877" t="e">
        <f ca="1">IF(L48&lt;J51,"——",IF(L55="比较法",L49,IF(L55="基准地价",L50,L51)))</f>
        <v>#N/A</v>
      </c>
      <c r="O57" s="1871" t="s">
        <v>1041</v>
      </c>
      <c r="P57" s="1872" t="s">
        <v>1558</v>
      </c>
      <c r="Q57" s="1873" t="e">
        <f ca="1">L60</f>
        <v>#N/A</v>
      </c>
      <c r="R57" s="1873" t="s">
        <v>1559</v>
      </c>
    </row>
    <row r="58" spans="1:18" s="1829" customFormat="1" ht="24.75" thickBot="1">
      <c r="A58" s="351" t="s">
        <v>1030</v>
      </c>
      <c r="B58" s="1165" t="s">
        <v>1424</v>
      </c>
      <c r="C58" s="352" t="e">
        <f ca="1">ROUND(C59+C64+C65+C66,0)</f>
        <v>#N/A</v>
      </c>
      <c r="D58" s="1167" t="s">
        <v>1425</v>
      </c>
      <c r="E58" s="1168"/>
      <c r="F58" s="1169"/>
      <c r="I58" s="1909" t="s">
        <v>1560</v>
      </c>
      <c r="J58" s="1911" t="e">
        <f ca="1">IF(J55&lt;0.4,0.4,J55)</f>
        <v>#N/A</v>
      </c>
      <c r="K58" s="1887" t="s">
        <v>1561</v>
      </c>
      <c r="L58" s="1877" t="e">
        <f ca="1">ROUND(POWER(1+L52,L47-L48)*(POWER(1+L52,L48)-1)/(POWER(1+L52,L47)-1),4)</f>
        <v>#N/A</v>
      </c>
      <c r="O58" s="1881" t="s">
        <v>1042</v>
      </c>
      <c r="P58" s="1872" t="s">
        <v>1562</v>
      </c>
      <c r="Q58" s="1873">
        <f>IF(L55="比较法",L49,IF(L55="基准地价",L50,0))</f>
        <v>0</v>
      </c>
      <c r="R58" s="1873" t="s">
        <v>1529</v>
      </c>
    </row>
    <row r="59" spans="1:18" s="1829" customFormat="1" ht="24.75" thickBot="1">
      <c r="A59" s="1189" t="s">
        <v>1035</v>
      </c>
      <c r="B59" s="1157" t="s">
        <v>1429</v>
      </c>
      <c r="C59" s="24" t="e">
        <f ca="1">ROUND(IF(项目基本情况!B11="自然人",C48*F59,C60+C61+C62),1)</f>
        <v>#N/A</v>
      </c>
      <c r="D59" s="1170" t="s">
        <v>1430</v>
      </c>
      <c r="E59" s="1171" t="s">
        <v>1431</v>
      </c>
      <c r="F59" s="359" t="e">
        <f ca="1">IF(项目基本情况!B11="企业","",IF(INDIRECT("'数据-取费表'!c"&amp;$G$1)="住宅",5%,IF(F49*F50*F51/12/(1+'数据-取费表'!C42)&gt;20000,12%,7%)))</f>
        <v>#N/A</v>
      </c>
      <c r="I59" s="1909" t="s">
        <v>1563</v>
      </c>
      <c r="J59" s="1910" t="e">
        <f ca="1">IF(OR(M47="住宅",J51&lt;L48,J56="是"),"——",ROUND(C29*J58,0))</f>
        <v>#N/A</v>
      </c>
      <c r="K59" s="187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77" t="e">
        <f ca="1">ROUND(IF(D1="在建（套用方法）",M59,IF(D1="土地（套用方法）",N59,POWER(1+L52,L47-J51)*(POWER(1+L52,J51)-1)/(POWER(1+L52,L47)-1))),4)</f>
        <v>#N/A</v>
      </c>
      <c r="M59" s="1825" t="e">
        <f ca="1">ROUND(POWER(1+L52,L47-(J51+'数据-取费表'!B24))*(POWER(1+L52,(J51+'数据-取费表'!B24))-1)/(POWER(1+L52,L47)-1),4)</f>
        <v>#N/A</v>
      </c>
      <c r="N59" s="1825" t="e">
        <f ca="1">ROUND(POWER(1+L52,L47-(J51+'数据-取费表'!B20))*(POWER(1+L52,(J51+'数据-取费表'!B20))-1)/(POWER(1+L52,L47)-1),4)</f>
        <v>#N/A</v>
      </c>
      <c r="O59" s="1881" t="s">
        <v>1043</v>
      </c>
      <c r="P59" s="1872" t="s">
        <v>1564</v>
      </c>
      <c r="Q59" s="1884">
        <f>L52</f>
        <v>0</v>
      </c>
      <c r="R59" s="1873"/>
    </row>
    <row r="60" spans="1:18" s="1829" customFormat="1" ht="16.5" thickBot="1">
      <c r="A60" s="1189" t="s">
        <v>1034</v>
      </c>
      <c r="B60" s="1157" t="s">
        <v>1433</v>
      </c>
      <c r="C60" s="24" t="e">
        <f ca="1">IF(项目基本情况!B11="自然人","——",ROUND(C48*F60/(1+'数据-取费表'!C42),2))</f>
        <v>#N/A</v>
      </c>
      <c r="D60" s="1171" t="s">
        <v>1434</v>
      </c>
      <c r="E60" s="1157" t="s">
        <v>1422</v>
      </c>
      <c r="F60" s="368">
        <f t="shared" ref="F60:F66" si="0">F32</f>
        <v>5.6000000000000001E-2</v>
      </c>
      <c r="I60" s="1912" t="s">
        <v>1565</v>
      </c>
      <c r="J60" s="1913" t="e">
        <f ca="1">IF(OR(M47="住宅",J51&lt;L48,J56="是"),"0",ROUND(J59/(1+J52)^J53,0))</f>
        <v>#N/A</v>
      </c>
      <c r="K60" s="1914" t="s">
        <v>1566</v>
      </c>
      <c r="L60" s="1913" t="e">
        <f ca="1">IF(OR(M47="住宅",L48&lt;J51),0,ROUND(L57*(L58/L59-1),0))</f>
        <v>#N/A</v>
      </c>
      <c r="O60" s="1881" t="s">
        <v>1044</v>
      </c>
      <c r="P60" s="1872" t="s">
        <v>1567</v>
      </c>
      <c r="Q60" s="1873" t="e">
        <f ca="1">L58</f>
        <v>#N/A</v>
      </c>
      <c r="R60" s="1873" t="s">
        <v>1568</v>
      </c>
    </row>
    <row r="61" spans="1:18" s="1829" customFormat="1" ht="13.5" thickBot="1">
      <c r="A61" s="1189" t="s">
        <v>1492</v>
      </c>
      <c r="B61" s="1157" t="s">
        <v>1493</v>
      </c>
      <c r="C61" s="24" t="e">
        <f ca="1">IF(项目基本情况!B11="自然人","——",IF(D61="按租金收入计税",ROUND(C48*F61,2),IF(D61="按房产原值计税",ROUND(C57*F61*0.7,2),INDIRECT("'数据-取费表'!Aj"&amp;$G$1))))</f>
        <v>#N/A</v>
      </c>
      <c r="D61" s="1815" t="s">
        <v>1438</v>
      </c>
      <c r="E61" s="1157" t="s">
        <v>1494</v>
      </c>
      <c r="F61" s="358">
        <f t="shared" si="0"/>
        <v>0.12</v>
      </c>
      <c r="I61" s="1915"/>
      <c r="J61" s="1915"/>
      <c r="K61" s="1915"/>
      <c r="L61" s="1915"/>
      <c r="O61" s="1881" t="s">
        <v>1045</v>
      </c>
      <c r="P61" s="1872" t="str">
        <f>K59</f>
        <v>续建工期及建筑物耐用年限下的土地年期修正系数Kn</v>
      </c>
      <c r="Q61" s="1873" t="e">
        <f ca="1">L59</f>
        <v>#N/A</v>
      </c>
      <c r="R61" s="1873" t="s">
        <v>1569</v>
      </c>
    </row>
    <row r="62" spans="1:18" s="1829" customFormat="1" ht="13.5" thickBot="1">
      <c r="A62" s="1189" t="s">
        <v>1495</v>
      </c>
      <c r="B62" s="1156" t="s">
        <v>1496</v>
      </c>
      <c r="C62" s="25" t="e">
        <f ca="1">IF(项目基本情况!B11="自然人","——",ROUND(F62*F63/10000,2))</f>
        <v>#N/A</v>
      </c>
      <c r="D62" s="1172" t="s">
        <v>1497</v>
      </c>
      <c r="E62" s="1157" t="s">
        <v>1498</v>
      </c>
      <c r="F62" s="362">
        <f t="shared" si="0"/>
        <v>6</v>
      </c>
      <c r="I62" s="1916" t="s">
        <v>1570</v>
      </c>
      <c r="J62" s="1917" t="s">
        <v>1571</v>
      </c>
      <c r="K62" s="1917" t="s">
        <v>1572</v>
      </c>
      <c r="L62" s="1917" t="s">
        <v>1573</v>
      </c>
      <c r="M62" s="1918" t="s">
        <v>1574</v>
      </c>
      <c r="O62" s="1871" t="s">
        <v>1046</v>
      </c>
      <c r="P62" s="1872" t="s">
        <v>1575</v>
      </c>
      <c r="Q62" s="1873" t="e">
        <f ca="1">Q56+Q57</f>
        <v>#N/A</v>
      </c>
      <c r="R62" s="1873" t="s">
        <v>1047</v>
      </c>
    </row>
    <row r="63" spans="1:18" s="1829" customFormat="1" ht="13.5" thickBot="1">
      <c r="A63" s="363"/>
      <c r="B63" s="1163"/>
      <c r="C63" s="29"/>
      <c r="D63" s="1173"/>
      <c r="E63" s="1157" t="s">
        <v>1499</v>
      </c>
      <c r="F63" s="339" t="e">
        <f t="shared" ca="1" si="0"/>
        <v>#N/A</v>
      </c>
      <c r="I63" s="1916" t="s">
        <v>1576</v>
      </c>
      <c r="J63" s="1917">
        <v>70</v>
      </c>
      <c r="K63" s="1917">
        <v>50</v>
      </c>
      <c r="L63" s="1917">
        <v>80</v>
      </c>
      <c r="M63" s="1919">
        <v>0.02</v>
      </c>
      <c r="O63" s="1856" t="s">
        <v>1577</v>
      </c>
      <c r="P63" s="1826"/>
      <c r="Q63" s="1826"/>
      <c r="R63" s="1826"/>
    </row>
    <row r="64" spans="1:18" s="1829" customFormat="1" ht="13.5" thickBot="1">
      <c r="A64" s="1189" t="s">
        <v>1500</v>
      </c>
      <c r="B64" s="1157" t="s">
        <v>1449</v>
      </c>
      <c r="C64" s="24" t="e">
        <f ca="1">ROUND(C57*F64,1)</f>
        <v>#N/A</v>
      </c>
      <c r="D64" s="1171" t="s">
        <v>1502</v>
      </c>
      <c r="E64" s="1157" t="s">
        <v>1494</v>
      </c>
      <c r="F64" s="365" t="e">
        <f t="shared" ca="1" si="0"/>
        <v>#N/A</v>
      </c>
      <c r="I64" s="1916" t="s">
        <v>1578</v>
      </c>
      <c r="J64" s="1917">
        <v>50</v>
      </c>
      <c r="K64" s="1917">
        <v>35</v>
      </c>
      <c r="L64" s="1917">
        <v>60</v>
      </c>
      <c r="M64" s="1918">
        <v>0</v>
      </c>
      <c r="O64" s="1864" t="s">
        <v>1522</v>
      </c>
      <c r="P64" s="1865" t="s">
        <v>1523</v>
      </c>
      <c r="Q64" s="1866" t="s">
        <v>1524</v>
      </c>
      <c r="R64" s="1866" t="s">
        <v>1525</v>
      </c>
    </row>
    <row r="65" spans="1:18" s="1829" customFormat="1" ht="13.5" thickBot="1">
      <c r="A65" s="1189" t="s">
        <v>1503</v>
      </c>
      <c r="B65" s="1157" t="s">
        <v>1453</v>
      </c>
      <c r="C65" s="24" t="e">
        <f ca="1">ROUND(C56*F65,1)</f>
        <v>#N/A</v>
      </c>
      <c r="D65" s="1171" t="s">
        <v>1454</v>
      </c>
      <c r="E65" s="1157" t="s">
        <v>1422</v>
      </c>
      <c r="F65" s="367" t="e">
        <f t="shared" ca="1" si="0"/>
        <v>#N/A</v>
      </c>
      <c r="I65" s="1916" t="s">
        <v>1579</v>
      </c>
      <c r="J65" s="1917">
        <v>40</v>
      </c>
      <c r="K65" s="1917">
        <v>30</v>
      </c>
      <c r="L65" s="1917">
        <v>50</v>
      </c>
      <c r="M65" s="1919">
        <v>0.02</v>
      </c>
      <c r="O65" s="1871" t="s">
        <v>1040</v>
      </c>
      <c r="P65" s="1872" t="s">
        <v>1528</v>
      </c>
      <c r="Q65" s="1873" t="e">
        <f ca="1">C40+J29</f>
        <v>#N/A</v>
      </c>
      <c r="R65" s="1873" t="s">
        <v>1529</v>
      </c>
    </row>
    <row r="66" spans="1:18" s="1829" customFormat="1" ht="16.5" thickBot="1">
      <c r="A66" s="1189" t="s">
        <v>1504</v>
      </c>
      <c r="B66" s="1157" t="s">
        <v>1439</v>
      </c>
      <c r="C66" s="24" t="e">
        <f ca="1">ROUND(C48*F66,1)</f>
        <v>#N/A</v>
      </c>
      <c r="D66" s="1171" t="s">
        <v>1459</v>
      </c>
      <c r="E66" s="1157" t="s">
        <v>1422</v>
      </c>
      <c r="F66" s="348" t="e">
        <f t="shared" ca="1" si="0"/>
        <v>#N/A</v>
      </c>
      <c r="O66" s="1871" t="s">
        <v>1041</v>
      </c>
      <c r="P66" s="1872" t="s">
        <v>1558</v>
      </c>
      <c r="Q66" s="1873" t="e">
        <f ca="1">L60</f>
        <v>#N/A</v>
      </c>
      <c r="R66" s="1873" t="s">
        <v>1581</v>
      </c>
    </row>
    <row r="67" spans="1:18" s="1829" customFormat="1" ht="16.5" thickBot="1">
      <c r="A67" s="1164" t="s">
        <v>1031</v>
      </c>
      <c r="B67" s="1174" t="s">
        <v>1463</v>
      </c>
      <c r="C67" s="352" t="e">
        <f ca="1">C48-C58</f>
        <v>#N/A</v>
      </c>
      <c r="D67" s="1170" t="s">
        <v>1464</v>
      </c>
      <c r="E67" s="1175"/>
      <c r="F67" s="1176"/>
      <c r="O67" s="1881" t="s">
        <v>1042</v>
      </c>
      <c r="P67" s="1872" t="s">
        <v>1562</v>
      </c>
      <c r="Q67" s="1920" t="e">
        <f ca="1">L51</f>
        <v>#N/A</v>
      </c>
      <c r="R67" s="1873" t="s">
        <v>1582</v>
      </c>
    </row>
    <row r="68" spans="1:18" s="1829" customFormat="1" ht="16.5" thickBot="1">
      <c r="A68" s="1154" t="s">
        <v>1032</v>
      </c>
      <c r="B68" s="1155" t="s">
        <v>1485</v>
      </c>
      <c r="C68" s="337" t="e">
        <f ca="1">ROUND(C67*(1-((1+F70)/(1+F68))^F69)/(F68-F70),0)</f>
        <v>#N/A</v>
      </c>
      <c r="D68" s="1172" t="s">
        <v>1469</v>
      </c>
      <c r="E68" s="1157" t="s">
        <v>1470</v>
      </c>
      <c r="F68" s="348" t="e">
        <f ca="1">F40</f>
        <v>#N/A</v>
      </c>
      <c r="O68" s="1881" t="s">
        <v>1043</v>
      </c>
      <c r="P68" s="1921" t="s">
        <v>1583</v>
      </c>
      <c r="Q68" s="1873" t="e">
        <f ca="1">ROUND(Q69-Q70*Q71,0)</f>
        <v>#N/A</v>
      </c>
      <c r="R68" s="1873" t="s">
        <v>1051</v>
      </c>
    </row>
    <row r="69" spans="1:18" s="1829" customFormat="1" ht="13.5" thickBot="1">
      <c r="A69" s="1158"/>
      <c r="B69" s="1159"/>
      <c r="C69" s="342"/>
      <c r="D69" s="1177" t="s">
        <v>1473</v>
      </c>
      <c r="E69" s="1157" t="s">
        <v>1474</v>
      </c>
      <c r="F69" s="370" t="e">
        <f ca="1">F41</f>
        <v>#N/A</v>
      </c>
      <c r="O69" s="1881" t="s">
        <v>1048</v>
      </c>
      <c r="P69" s="1921" t="s">
        <v>1584</v>
      </c>
      <c r="Q69" s="1873" t="e">
        <f ca="1">C39</f>
        <v>#N/A</v>
      </c>
      <c r="R69" s="1873" t="s">
        <v>1529</v>
      </c>
    </row>
    <row r="70" spans="1:18" s="1829" customFormat="1" ht="13.5" thickBot="1">
      <c r="A70" s="1161"/>
      <c r="B70" s="1162"/>
      <c r="C70" s="346"/>
      <c r="D70" s="1173"/>
      <c r="E70" s="1157" t="s">
        <v>1477</v>
      </c>
      <c r="F70" s="1263"/>
      <c r="O70" s="1881" t="s">
        <v>1049</v>
      </c>
      <c r="P70" s="1921" t="s">
        <v>1585</v>
      </c>
      <c r="Q70" s="1873" t="e">
        <f ca="1">C13</f>
        <v>#N/A</v>
      </c>
      <c r="R70" s="1873" t="s">
        <v>1529</v>
      </c>
    </row>
    <row r="71" spans="1:18" s="1829" customFormat="1" ht="13.5" thickBot="1">
      <c r="A71" s="1178" t="s">
        <v>1033</v>
      </c>
      <c r="B71" s="1179" t="s">
        <v>1487</v>
      </c>
      <c r="C71" s="373" t="e">
        <f ca="1">ROUND(C68*10000/F71,0)</f>
        <v>#N/A</v>
      </c>
      <c r="D71" s="1180" t="s">
        <v>1488</v>
      </c>
      <c r="E71" s="1181" t="s">
        <v>1489</v>
      </c>
      <c r="F71" s="376" t="e">
        <f ca="1">F43</f>
        <v>#N/A</v>
      </c>
      <c r="O71" s="1881" t="s">
        <v>1050</v>
      </c>
      <c r="P71" s="1921" t="s">
        <v>1586</v>
      </c>
      <c r="Q71" s="1884" t="e">
        <f ca="1">C76</f>
        <v>#N/A</v>
      </c>
      <c r="R71" s="1873"/>
    </row>
    <row r="72" spans="1:18" s="1829" customFormat="1" ht="13.5" thickBot="1">
      <c r="B72" s="787"/>
      <c r="C72" s="787"/>
      <c r="O72" s="1881" t="s">
        <v>1044</v>
      </c>
      <c r="P72" s="1872" t="s">
        <v>1564</v>
      </c>
      <c r="Q72" s="1884">
        <f>L52</f>
        <v>0</v>
      </c>
      <c r="R72" s="1873"/>
    </row>
    <row r="73" spans="1:18" ht="16.5" thickBot="1">
      <c r="A73" s="1829"/>
      <c r="B73" s="787"/>
      <c r="C73" s="787"/>
      <c r="D73" s="1829"/>
      <c r="E73" s="1829"/>
      <c r="F73" s="1829"/>
      <c r="O73" s="1881" t="s">
        <v>1045</v>
      </c>
      <c r="P73" s="1872" t="s">
        <v>1567</v>
      </c>
      <c r="Q73" s="1873" t="e">
        <f ca="1">L58</f>
        <v>#N/A</v>
      </c>
      <c r="R73" s="1873" t="s">
        <v>1568</v>
      </c>
    </row>
    <row r="74" spans="1:18" ht="13.5" thickBot="1">
      <c r="A74" s="1829"/>
      <c r="B74" s="308" t="s">
        <v>1587</v>
      </c>
      <c r="C74" s="1923"/>
      <c r="D74" s="1829"/>
      <c r="E74" s="1829"/>
      <c r="F74" s="1829"/>
      <c r="O74" s="1881" t="s">
        <v>1052</v>
      </c>
      <c r="P74" s="1872" t="str">
        <f>K59</f>
        <v>续建工期及建筑物耐用年限下的土地年期修正系数Kn</v>
      </c>
      <c r="Q74" s="1873" t="e">
        <f ca="1">L59</f>
        <v>#N/A</v>
      </c>
      <c r="R74" s="1873" t="s">
        <v>1569</v>
      </c>
    </row>
    <row r="75" spans="1:18" ht="13.5" thickBot="1">
      <c r="A75" s="1829"/>
      <c r="B75" s="377" t="s">
        <v>1506</v>
      </c>
      <c r="C75" s="378" t="e">
        <f ca="1">ROUND(C13*C76,0)</f>
        <v>#N/A</v>
      </c>
      <c r="D75" s="1829"/>
      <c r="E75" s="1829"/>
      <c r="F75" s="1829"/>
      <c r="K75" s="1855"/>
      <c r="L75" s="1829"/>
      <c r="O75" s="1871" t="s">
        <v>1046</v>
      </c>
      <c r="P75" s="1872" t="s">
        <v>1549</v>
      </c>
      <c r="Q75" s="1873" t="e">
        <f ca="1">Q65+Q66</f>
        <v>#N/A</v>
      </c>
      <c r="R75" s="1873" t="s">
        <v>1047</v>
      </c>
    </row>
    <row r="76" spans="1:18">
      <c r="B76" s="379" t="s">
        <v>1507</v>
      </c>
      <c r="C76" s="380" t="e">
        <f ca="1">INDIRECT("'数据-取费表'!j"&amp;$G$1)</f>
        <v>#N/A</v>
      </c>
      <c r="I76" s="1829"/>
      <c r="J76" s="1829"/>
      <c r="K76" s="1855"/>
      <c r="L76" s="1829"/>
    </row>
    <row r="77" spans="1:18">
      <c r="B77" s="381" t="s">
        <v>1508</v>
      </c>
      <c r="C77" s="382"/>
      <c r="I77" s="1829"/>
      <c r="J77" s="1829"/>
      <c r="K77" s="1855"/>
      <c r="L77" s="1829"/>
    </row>
    <row r="78" spans="1:18">
      <c r="B78" s="305" t="s">
        <v>1509</v>
      </c>
      <c r="C78" s="383"/>
    </row>
    <row r="79" spans="1:18">
      <c r="B79" s="377" t="s">
        <v>1510</v>
      </c>
      <c r="C79" s="309" t="e">
        <f ca="1">1-C80</f>
        <v>#N/A</v>
      </c>
    </row>
    <row r="80" spans="1:18">
      <c r="B80" s="377" t="s">
        <v>1511</v>
      </c>
      <c r="C80" s="309" t="e">
        <f ca="1">ROUND(C75/C39,3)</f>
        <v>#N/A</v>
      </c>
    </row>
    <row r="81" spans="2:3">
      <c r="B81" s="305" t="s">
        <v>1512</v>
      </c>
      <c r="C81" s="273"/>
    </row>
    <row r="82" spans="2:3">
      <c r="B82" s="308" t="s">
        <v>1513</v>
      </c>
      <c r="C82" s="310" t="e">
        <f ca="1">1-C83</f>
        <v>#N/A</v>
      </c>
    </row>
    <row r="83" spans="2:3">
      <c r="B83" s="308" t="s">
        <v>1514</v>
      </c>
      <c r="C83" s="309"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293" customWidth="1"/>
    <col min="2" max="2" width="20.625" style="698" customWidth="1"/>
    <col min="3" max="3" width="11.875" style="698" customWidth="1"/>
    <col min="4" max="4" width="40.5" style="293" customWidth="1"/>
    <col min="5" max="5" width="15.75" style="293" customWidth="1"/>
    <col min="6" max="6" width="10.625" style="293" customWidth="1"/>
    <col min="7" max="7" width="4.875" style="293" customWidth="1"/>
    <col min="8" max="8" width="8.5" style="293" customWidth="1"/>
    <col min="9" max="9" width="21.25" style="293" customWidth="1"/>
    <col min="10" max="10" width="12.25" style="293" customWidth="1"/>
    <col min="11" max="11" width="40.125" style="1922" customWidth="1"/>
    <col min="12" max="12" width="16.375" style="293" customWidth="1"/>
    <col min="13" max="13" width="13" style="293" customWidth="1"/>
    <col min="14" max="14" width="13.75" style="1829" customWidth="1"/>
    <col min="15" max="15" width="5.125" style="1829" customWidth="1"/>
    <col min="16" max="16" width="25.75" style="1829" customWidth="1"/>
    <col min="17" max="17" width="13.75" style="1829" customWidth="1"/>
    <col min="18" max="18" width="20.5" style="1829" customWidth="1"/>
    <col min="19" max="19" width="13.25" style="1829" customWidth="1"/>
    <col min="20" max="37" width="9" style="1829"/>
    <col min="38" max="16384" width="9" style="293"/>
  </cols>
  <sheetData>
    <row r="1" spans="1:37" s="328" customFormat="1" ht="21">
      <c r="A1" s="1820" t="s">
        <v>1589</v>
      </c>
      <c r="B1" s="773"/>
      <c r="C1" s="1824"/>
      <c r="D1" s="1807"/>
      <c r="E1" s="1808" t="s">
        <v>1387</v>
      </c>
      <c r="F1" s="1271" t="b">
        <f>J53</f>
        <v>0</v>
      </c>
      <c r="G1" s="1823">
        <f>MATCH(C1,'数据-取费表'!A6:A16,0)+5</f>
        <v>7</v>
      </c>
      <c r="H1" s="743"/>
      <c r="I1" s="330"/>
      <c r="J1" s="330"/>
      <c r="K1" s="744"/>
      <c r="L1" s="330"/>
      <c r="M1" s="330"/>
      <c r="N1" s="785"/>
      <c r="O1" s="785"/>
      <c r="P1" s="785"/>
      <c r="Q1" s="785"/>
      <c r="R1" s="785"/>
      <c r="S1" s="785"/>
      <c r="T1" s="785"/>
      <c r="U1" s="785"/>
      <c r="V1" s="785"/>
      <c r="W1" s="785"/>
      <c r="X1" s="785"/>
      <c r="Y1" s="785"/>
      <c r="Z1" s="785"/>
      <c r="AA1" s="785"/>
      <c r="AB1" s="785"/>
      <c r="AC1" s="785"/>
      <c r="AD1" s="785"/>
      <c r="AE1" s="785"/>
      <c r="AF1" s="785"/>
      <c r="AG1" s="785"/>
      <c r="AH1" s="785"/>
      <c r="AI1" s="785"/>
      <c r="AJ1" s="785"/>
      <c r="AK1" s="785"/>
    </row>
    <row r="2" spans="1:37" ht="18" customHeight="1">
      <c r="A2" s="1830" t="s">
        <v>1590</v>
      </c>
      <c r="B2" s="1831" t="e">
        <f ca="1">ROUND(D2/10000,0)</f>
        <v>#DIV/0!</v>
      </c>
      <c r="C2" s="1832" t="s">
        <v>1591</v>
      </c>
      <c r="D2" s="1925" t="e">
        <f ca="1">C40+J29+L46</f>
        <v>#DIV/0!</v>
      </c>
      <c r="E2" s="1833" t="s">
        <v>1592</v>
      </c>
      <c r="F2" s="1834"/>
      <c r="G2" s="1835"/>
      <c r="H2" s="1827"/>
      <c r="I2" s="1827"/>
      <c r="J2" s="1827"/>
      <c r="K2" s="1828"/>
      <c r="L2" s="1827"/>
      <c r="M2" s="1827"/>
    </row>
    <row r="3" spans="1:37" ht="18" customHeight="1" thickBot="1">
      <c r="A3" s="1836" t="s">
        <v>1593</v>
      </c>
      <c r="B3" s="1837">
        <f ca="1">IF(ISERROR(D2/F43),0,ROUND(D2/F43,0))</f>
        <v>0</v>
      </c>
      <c r="C3" s="1832" t="s">
        <v>1594</v>
      </c>
      <c r="D3" s="1832"/>
      <c r="E3" s="1833"/>
      <c r="F3" s="1834"/>
      <c r="G3" s="1835"/>
      <c r="H3" s="735" t="s">
        <v>1588</v>
      </c>
      <c r="I3" s="1827"/>
      <c r="J3" s="1827"/>
      <c r="K3" s="1828"/>
      <c r="L3" s="1827"/>
      <c r="M3" s="1827"/>
    </row>
    <row r="4" spans="1:37" ht="18" customHeight="1">
      <c r="A4" s="331" t="s">
        <v>1595</v>
      </c>
      <c r="B4" s="332" t="s">
        <v>1596</v>
      </c>
      <c r="C4" s="332" t="s">
        <v>1597</v>
      </c>
      <c r="D4" s="332" t="s">
        <v>1598</v>
      </c>
      <c r="E4" s="333" t="s">
        <v>1599</v>
      </c>
      <c r="F4" s="334"/>
      <c r="G4" s="1838"/>
      <c r="H4" s="331" t="s">
        <v>1595</v>
      </c>
      <c r="I4" s="332" t="s">
        <v>1596</v>
      </c>
      <c r="J4" s="332" t="s">
        <v>1597</v>
      </c>
      <c r="K4" s="332" t="s">
        <v>1598</v>
      </c>
      <c r="L4" s="333" t="s">
        <v>1599</v>
      </c>
      <c r="M4" s="334"/>
    </row>
    <row r="5" spans="1:37" ht="18" customHeight="1">
      <c r="A5" s="335">
        <v>1</v>
      </c>
      <c r="B5" s="336" t="s">
        <v>1600</v>
      </c>
      <c r="C5" s="1280">
        <f ca="1">C6+C10+C12</f>
        <v>0</v>
      </c>
      <c r="D5" s="1809" t="s">
        <v>1601</v>
      </c>
      <c r="E5" s="1281"/>
      <c r="F5" s="1282"/>
      <c r="G5" s="1838"/>
      <c r="H5" s="335">
        <v>1</v>
      </c>
      <c r="I5" s="336" t="s">
        <v>1600</v>
      </c>
      <c r="J5" s="1280">
        <f ca="1">J6+J10+J12</f>
        <v>0</v>
      </c>
      <c r="K5" s="1809" t="s">
        <v>1601</v>
      </c>
      <c r="L5" s="1281"/>
      <c r="M5" s="1282"/>
    </row>
    <row r="6" spans="1:37" ht="18" customHeight="1">
      <c r="A6" s="1279" t="s">
        <v>1035</v>
      </c>
      <c r="B6" s="3320" t="s">
        <v>1403</v>
      </c>
      <c r="C6" s="1284">
        <f ca="1">ROUND(F6*F8*F7*(1-F9),0)</f>
        <v>0</v>
      </c>
      <c r="D6" s="155" t="s">
        <v>3019</v>
      </c>
      <c r="E6" s="338" t="s">
        <v>1405</v>
      </c>
      <c r="F6" s="339">
        <f ca="1">INDIRECT("'数据-取费表'!u"&amp;$G$1)</f>
        <v>0</v>
      </c>
      <c r="G6" s="1838"/>
      <c r="H6" s="1279" t="s">
        <v>1035</v>
      </c>
      <c r="I6" s="3320" t="s">
        <v>1403</v>
      </c>
      <c r="J6" s="337">
        <f ca="1">ROUND(M6*M8*M7*(1-M9),0)</f>
        <v>0</v>
      </c>
      <c r="K6" s="1821" t="s">
        <v>3020</v>
      </c>
      <c r="L6" s="338" t="s">
        <v>1405</v>
      </c>
      <c r="M6" s="339">
        <f ca="1">INDIRECT("'数据-取费表'!z"&amp;$G$1)</f>
        <v>0</v>
      </c>
    </row>
    <row r="7" spans="1:37" ht="18" customHeight="1">
      <c r="A7" s="1283"/>
      <c r="B7" s="3321"/>
      <c r="C7" s="1285"/>
      <c r="D7" s="343"/>
      <c r="E7" s="1286" t="s">
        <v>1406</v>
      </c>
      <c r="F7" s="339">
        <f ca="1">IF(INDIRECT("'数据-取费表'!ah"&amp;$G$1)="",INDIRECT("'数据-取费表'!k"&amp;$G$1),INDIRECT("'数据-取费表'!ah"&amp;$G$1))</f>
        <v>0</v>
      </c>
      <c r="G7" s="1838"/>
      <c r="H7" s="340"/>
      <c r="I7" s="3321"/>
      <c r="J7" s="342"/>
      <c r="K7" s="343"/>
      <c r="L7" s="338" t="s">
        <v>1406</v>
      </c>
      <c r="M7" s="339">
        <f ca="1">F7</f>
        <v>0</v>
      </c>
    </row>
    <row r="8" spans="1:37" ht="18" customHeight="1">
      <c r="A8" s="340"/>
      <c r="B8" s="3321"/>
      <c r="C8" s="342"/>
      <c r="D8" s="343"/>
      <c r="E8" s="338" t="s">
        <v>1407</v>
      </c>
      <c r="F8" s="339">
        <f ca="1">INDIRECT("'数据-取费表'!ai"&amp;$G$1)</f>
        <v>0</v>
      </c>
      <c r="G8" s="1838"/>
      <c r="H8" s="340"/>
      <c r="I8" s="3321"/>
      <c r="J8" s="342"/>
      <c r="K8" s="343"/>
      <c r="L8" s="338" t="s">
        <v>1407</v>
      </c>
      <c r="M8" s="339">
        <f ca="1">INDIRECT("'数据-取费表'!ai"&amp;$G$1)</f>
        <v>0</v>
      </c>
    </row>
    <row r="9" spans="1:37" ht="18" customHeight="1">
      <c r="A9" s="340"/>
      <c r="B9" s="3322"/>
      <c r="C9" s="342"/>
      <c r="D9" s="343"/>
      <c r="E9" s="338" t="s">
        <v>1408</v>
      </c>
      <c r="F9" s="348">
        <f ca="1">INDIRECT("'数据-取费表'!w"&amp;$G$1)</f>
        <v>0</v>
      </c>
      <c r="G9" s="1838"/>
      <c r="H9" s="340"/>
      <c r="I9" s="3322"/>
      <c r="J9" s="342"/>
      <c r="K9" s="343"/>
      <c r="L9" s="349" t="s">
        <v>1408</v>
      </c>
      <c r="M9" s="350">
        <f ca="1">INDIRECT("'数据-取费表'!ab"&amp;$G$1)</f>
        <v>0</v>
      </c>
    </row>
    <row r="10" spans="1:37" ht="18" customHeight="1">
      <c r="A10" s="1279" t="s">
        <v>1039</v>
      </c>
      <c r="B10" s="1810" t="s">
        <v>1409</v>
      </c>
      <c r="C10" s="352">
        <f ca="1">ROUND(IF(F10="押一",C6/12*F11,IF(F10="押二",C6/12*2*F11,IF(F10="押三",C6/12*3*F11,C11*F11))),0)</f>
        <v>0</v>
      </c>
      <c r="D10" s="1811" t="s">
        <v>3029</v>
      </c>
      <c r="E10" s="349" t="s">
        <v>1410</v>
      </c>
      <c r="F10" s="1354"/>
      <c r="G10" s="1838"/>
      <c r="H10" s="1279" t="s">
        <v>1039</v>
      </c>
      <c r="I10" s="1810" t="s">
        <v>1409</v>
      </c>
      <c r="J10" s="337">
        <f ca="1">ROUND(IF(M10="押一",J6/12*M11,IF(M10="押二",J6/12*2*M11,IF(M10="押三",J6/12*3*M11,J11*M11))),0)</f>
        <v>0</v>
      </c>
      <c r="K10" s="1822" t="s">
        <v>3031</v>
      </c>
      <c r="L10" s="349" t="s">
        <v>1410</v>
      </c>
      <c r="M10" s="1354"/>
    </row>
    <row r="11" spans="1:37" ht="18" customHeight="1">
      <c r="A11" s="344"/>
      <c r="B11" s="1812" t="s">
        <v>1602</v>
      </c>
      <c r="C11" s="1166"/>
      <c r="D11" s="343"/>
      <c r="E11" s="349" t="s">
        <v>1412</v>
      </c>
      <c r="F11" s="350">
        <f ca="1">'数据-取费表'!B39</f>
        <v>1.4999999999999999E-2</v>
      </c>
      <c r="G11" s="1838"/>
      <c r="H11" s="1287"/>
      <c r="I11" s="1812" t="s">
        <v>1603</v>
      </c>
      <c r="J11" s="1166"/>
      <c r="K11" s="739"/>
      <c r="L11" s="349" t="s">
        <v>1412</v>
      </c>
      <c r="M11" s="1044">
        <f ca="1">'数据-取费表'!B39</f>
        <v>1.4999999999999999E-2</v>
      </c>
    </row>
    <row r="12" spans="1:37" ht="18" customHeight="1" thickBot="1">
      <c r="A12" s="1321" t="s">
        <v>1075</v>
      </c>
      <c r="B12" s="1814" t="s">
        <v>1413</v>
      </c>
      <c r="C12" s="1322"/>
      <c r="D12" s="1323"/>
      <c r="E12" s="1328"/>
      <c r="F12" s="1324"/>
      <c r="G12" s="1838"/>
      <c r="H12" s="1321" t="s">
        <v>1075</v>
      </c>
      <c r="I12" s="1814" t="s">
        <v>1413</v>
      </c>
      <c r="J12" s="1322"/>
      <c r="K12" s="1336"/>
      <c r="L12" s="1328"/>
      <c r="M12" s="1337"/>
    </row>
    <row r="13" spans="1:37" ht="18" customHeight="1" thickTop="1">
      <c r="A13" s="1317">
        <v>2</v>
      </c>
      <c r="B13" s="1318" t="s">
        <v>1414</v>
      </c>
      <c r="C13" s="346">
        <f ca="1">ROUND(C29*F13,0)</f>
        <v>0</v>
      </c>
      <c r="D13" s="1319" t="s">
        <v>1415</v>
      </c>
      <c r="E13" s="1319" t="s">
        <v>1416</v>
      </c>
      <c r="F13" s="1320">
        <f ca="1">INDIRECT("'数据-取费表'!y"&amp;$G$1)</f>
        <v>0</v>
      </c>
      <c r="G13" s="1838"/>
      <c r="H13" s="1317">
        <v>2</v>
      </c>
      <c r="I13" s="1318" t="s">
        <v>1414</v>
      </c>
      <c r="J13" s="1278">
        <f ca="1">ROUND(J14*J15,0)</f>
        <v>0</v>
      </c>
      <c r="K13" s="1325" t="s">
        <v>1415</v>
      </c>
      <c r="L13" s="1839"/>
      <c r="M13" s="1840"/>
    </row>
    <row r="14" spans="1:37" ht="18" customHeight="1">
      <c r="A14" s="1189" t="s">
        <v>1034</v>
      </c>
      <c r="B14" s="338" t="s">
        <v>1417</v>
      </c>
      <c r="C14" s="354">
        <f ca="1">ROUND(INDIRECT("'数据-取费表'!l"&amp;$G$1)*F43+'数据-取费表'!L14*INDIRECT("'数据-取费表'!S"&amp;$G$1),0)</f>
        <v>0</v>
      </c>
      <c r="D14" s="1787" t="s">
        <v>1418</v>
      </c>
      <c r="E14" s="1781"/>
      <c r="F14" s="355"/>
      <c r="G14" s="1838"/>
      <c r="H14" s="1189" t="s">
        <v>1035</v>
      </c>
      <c r="I14" s="338" t="s">
        <v>1419</v>
      </c>
      <c r="J14" s="24">
        <f ca="1">C29</f>
        <v>0</v>
      </c>
      <c r="K14" s="15"/>
      <c r="L14" s="968"/>
      <c r="M14" s="969"/>
    </row>
    <row r="15" spans="1:37" s="1845" customFormat="1" ht="18" customHeight="1" thickBot="1">
      <c r="A15" s="1189" t="s">
        <v>1036</v>
      </c>
      <c r="B15" s="338" t="s">
        <v>1420</v>
      </c>
      <c r="C15" s="24">
        <f ca="1">ROUND(C14*F15,0)</f>
        <v>0</v>
      </c>
      <c r="D15" s="356" t="s">
        <v>1421</v>
      </c>
      <c r="E15" s="356" t="s">
        <v>1422</v>
      </c>
      <c r="F15" s="357">
        <f>'数据-取费表'!B33</f>
        <v>0.03</v>
      </c>
      <c r="G15" s="1841"/>
      <c r="H15" s="1327" t="s">
        <v>1039</v>
      </c>
      <c r="I15" s="1328" t="s">
        <v>1416</v>
      </c>
      <c r="J15" s="1337">
        <f ca="1">INDIRECT("'数据-取费表'!ad"&amp;$G$1)</f>
        <v>0</v>
      </c>
      <c r="K15" s="1338"/>
      <c r="L15" s="1842"/>
      <c r="M15" s="1843"/>
      <c r="N15" s="1844"/>
      <c r="O15" s="1844"/>
      <c r="P15" s="1844"/>
      <c r="Q15" s="1844"/>
      <c r="R15" s="1844"/>
      <c r="S15" s="1844"/>
      <c r="T15" s="1844"/>
      <c r="U15" s="1844"/>
      <c r="V15" s="1844"/>
      <c r="W15" s="1844"/>
      <c r="X15" s="1844"/>
      <c r="Y15" s="1844"/>
      <c r="Z15" s="1844"/>
      <c r="AA15" s="1844"/>
      <c r="AB15" s="1844"/>
      <c r="AC15" s="1844"/>
      <c r="AD15" s="1844"/>
      <c r="AE15" s="1844"/>
      <c r="AF15" s="1844"/>
      <c r="AG15" s="1844"/>
      <c r="AH15" s="1844"/>
      <c r="AI15" s="1844"/>
      <c r="AJ15" s="1844"/>
      <c r="AK15" s="1844"/>
    </row>
    <row r="16" spans="1:37" ht="18" customHeight="1" thickTop="1">
      <c r="A16" s="1189" t="s">
        <v>1389</v>
      </c>
      <c r="B16" s="338" t="s">
        <v>1423</v>
      </c>
      <c r="C16" s="24">
        <f ca="1">ROUND(INDIRECT("'数据-取费表'!l"&amp;$G$1)*F43*F16,0)</f>
        <v>0</v>
      </c>
      <c r="D16" s="338" t="s">
        <v>1421</v>
      </c>
      <c r="E16" s="338" t="s">
        <v>1422</v>
      </c>
      <c r="F16" s="358">
        <f ca="1">IF(INDIRECT("'数据-取费表'!c"&amp;$G$1)="住宅",'数据-取费表'!B34,0)</f>
        <v>0</v>
      </c>
      <c r="G16" s="1838"/>
      <c r="H16" s="1317" t="s">
        <v>1030</v>
      </c>
      <c r="I16" s="1318" t="s">
        <v>1424</v>
      </c>
      <c r="J16" s="346">
        <f ca="1">ROUND(J17+J22+J23+J24,0)</f>
        <v>0</v>
      </c>
      <c r="K16" s="1325" t="s">
        <v>1425</v>
      </c>
      <c r="L16" s="1326"/>
      <c r="M16" s="1282"/>
    </row>
    <row r="17" spans="1:37" s="1845" customFormat="1" ht="18" customHeight="1">
      <c r="A17" s="1189" t="s">
        <v>1390</v>
      </c>
      <c r="B17" s="338" t="s">
        <v>1426</v>
      </c>
      <c r="C17" s="24">
        <f ca="1">ROUND(F17*(F43+INDIRECT("'数据-取费表'!S"&amp;$G$1)),0)</f>
        <v>0</v>
      </c>
      <c r="D17" s="338" t="s">
        <v>1427</v>
      </c>
      <c r="E17" s="338" t="s">
        <v>1428</v>
      </c>
      <c r="F17" s="26">
        <f>'数据-取费表'!B35</f>
        <v>200</v>
      </c>
      <c r="G17" s="1841"/>
      <c r="H17" s="1189" t="s">
        <v>1035</v>
      </c>
      <c r="I17" s="338" t="s">
        <v>1429</v>
      </c>
      <c r="J17" s="24">
        <f ca="1">ROUND(IF(项目基本情况!B11="自然人",J5*M17,J18+J19+J20),0)</f>
        <v>0</v>
      </c>
      <c r="K17" s="1787" t="s">
        <v>1430</v>
      </c>
      <c r="L17" s="1785" t="s">
        <v>1431</v>
      </c>
      <c r="M17" s="359">
        <f ca="1">IF(项目基本情况!B11="企业","",IF(INDIRECT("'数据-取费表'!c"&amp;$G$1)="住宅",5%,IF(M6*M7*M8/12/(1+'数据-取费表'!C42)&gt;20000,12%,7%)))</f>
        <v>7.0000000000000007E-2</v>
      </c>
      <c r="N17" s="1844"/>
      <c r="O17" s="1844"/>
      <c r="P17" s="1844"/>
      <c r="Q17" s="1844"/>
      <c r="R17" s="1844"/>
      <c r="S17" s="1844"/>
      <c r="T17" s="1844"/>
      <c r="U17" s="1844"/>
      <c r="V17" s="1844"/>
      <c r="W17" s="1844"/>
      <c r="X17" s="1844"/>
      <c r="Y17" s="1844"/>
      <c r="Z17" s="1844"/>
      <c r="AA17" s="1844"/>
      <c r="AB17" s="1844"/>
      <c r="AC17" s="1844"/>
      <c r="AD17" s="1844"/>
      <c r="AE17" s="1844"/>
      <c r="AF17" s="1844"/>
      <c r="AG17" s="1844"/>
      <c r="AH17" s="1844"/>
      <c r="AI17" s="1844"/>
      <c r="AJ17" s="1844"/>
      <c r="AK17" s="1844"/>
    </row>
    <row r="18" spans="1:37" s="1845" customFormat="1" ht="18" customHeight="1">
      <c r="A18" s="1189" t="s">
        <v>1391</v>
      </c>
      <c r="B18" s="338" t="s">
        <v>1432</v>
      </c>
      <c r="C18" s="24">
        <f ca="1">ROUND(C14*F18,0)</f>
        <v>0</v>
      </c>
      <c r="D18" s="338" t="s">
        <v>1421</v>
      </c>
      <c r="E18" s="338" t="s">
        <v>1422</v>
      </c>
      <c r="F18" s="358">
        <f>'数据-取费表'!B36</f>
        <v>1.4999999999999999E-2</v>
      </c>
      <c r="G18" s="1841"/>
      <c r="H18" s="1189" t="s">
        <v>1034</v>
      </c>
      <c r="I18" s="338" t="s">
        <v>1433</v>
      </c>
      <c r="J18" s="24">
        <f ca="1">ROUND(J5*M18/(1+'数据-取费表'!C42),0)</f>
        <v>0</v>
      </c>
      <c r="K18" s="1785" t="s">
        <v>1434</v>
      </c>
      <c r="L18" s="338" t="s">
        <v>1422</v>
      </c>
      <c r="M18" s="358">
        <f>'数据-取费表'!B41</f>
        <v>5.6000000000000001E-2</v>
      </c>
      <c r="N18" s="1844"/>
      <c r="O18" s="1844"/>
      <c r="P18" s="1844"/>
      <c r="Q18" s="1844"/>
      <c r="R18" s="1844"/>
      <c r="S18" s="1844"/>
      <c r="T18" s="1844"/>
      <c r="U18" s="1844"/>
      <c r="V18" s="1844"/>
      <c r="W18" s="1844"/>
      <c r="X18" s="1844"/>
      <c r="Y18" s="1844"/>
      <c r="Z18" s="1844"/>
      <c r="AA18" s="1844"/>
      <c r="AB18" s="1844"/>
      <c r="AC18" s="1844"/>
      <c r="AD18" s="1844"/>
      <c r="AE18" s="1844"/>
      <c r="AF18" s="1844"/>
      <c r="AG18" s="1844"/>
      <c r="AH18" s="1844"/>
      <c r="AI18" s="1844"/>
      <c r="AJ18" s="1844"/>
      <c r="AK18" s="1844"/>
    </row>
    <row r="19" spans="1:37" ht="18" customHeight="1">
      <c r="A19" s="1189" t="s">
        <v>1035</v>
      </c>
      <c r="B19" s="338" t="s">
        <v>1435</v>
      </c>
      <c r="C19" s="24">
        <f ca="1">SUM(C14:C18)</f>
        <v>0</v>
      </c>
      <c r="D19" s="131" t="s">
        <v>1436</v>
      </c>
      <c r="E19" s="1805"/>
      <c r="F19" s="26"/>
      <c r="G19" s="1838"/>
      <c r="H19" s="1189" t="s">
        <v>1036</v>
      </c>
      <c r="I19" s="338" t="s">
        <v>1437</v>
      </c>
      <c r="J19" s="24">
        <f ca="1">IF(K19="按租金收入计税",ROUND(J5*M19,0),ROUND(C29*M19*0.7,0))</f>
        <v>0</v>
      </c>
      <c r="K19" s="1815" t="s">
        <v>1438</v>
      </c>
      <c r="L19" s="338" t="s">
        <v>1422</v>
      </c>
      <c r="M19" s="358">
        <f>IF(K19="按租金收入计税",'数据-取费表'!B51,'数据-取费表'!B50)</f>
        <v>1.2E-2</v>
      </c>
    </row>
    <row r="20" spans="1:37" s="1845" customFormat="1" ht="18" customHeight="1">
      <c r="A20" s="1189" t="s">
        <v>1039</v>
      </c>
      <c r="B20" s="338" t="s">
        <v>1439</v>
      </c>
      <c r="C20" s="24">
        <f ca="1">ROUND(C19*F20,0)</f>
        <v>0</v>
      </c>
      <c r="D20" s="360" t="s">
        <v>1440</v>
      </c>
      <c r="E20" s="338" t="s">
        <v>1422</v>
      </c>
      <c r="F20" s="358">
        <f>'数据-取费表'!B37</f>
        <v>0.02</v>
      </c>
      <c r="G20" s="1841"/>
      <c r="H20" s="1189" t="s">
        <v>1389</v>
      </c>
      <c r="I20" s="155" t="s">
        <v>1441</v>
      </c>
      <c r="J20" s="25">
        <f ca="1">ROUND(M20*M21,0)</f>
        <v>0</v>
      </c>
      <c r="K20" s="361" t="s">
        <v>1442</v>
      </c>
      <c r="L20" s="338" t="s">
        <v>1443</v>
      </c>
      <c r="M20" s="362">
        <f>'数据-取费表'!B52</f>
        <v>6</v>
      </c>
      <c r="N20" s="1844"/>
      <c r="O20" s="1844"/>
      <c r="P20" s="1844"/>
      <c r="Q20" s="1844"/>
      <c r="R20" s="1844"/>
      <c r="S20" s="1844"/>
      <c r="T20" s="1844"/>
      <c r="U20" s="1844"/>
      <c r="V20" s="1844"/>
      <c r="W20" s="1844"/>
      <c r="X20" s="1844"/>
      <c r="Y20" s="1844"/>
      <c r="Z20" s="1844"/>
      <c r="AA20" s="1844"/>
      <c r="AB20" s="1844"/>
      <c r="AC20" s="1844"/>
      <c r="AD20" s="1844"/>
      <c r="AE20" s="1844"/>
      <c r="AF20" s="1844"/>
      <c r="AG20" s="1844"/>
      <c r="AH20" s="1844"/>
      <c r="AI20" s="1844"/>
      <c r="AJ20" s="1844"/>
      <c r="AK20" s="1844"/>
    </row>
    <row r="21" spans="1:37" s="1845" customFormat="1" ht="18" customHeight="1">
      <c r="A21" s="1189" t="s">
        <v>1075</v>
      </c>
      <c r="B21" s="338" t="s">
        <v>1444</v>
      </c>
      <c r="C21" s="24" t="s">
        <v>1</v>
      </c>
      <c r="D21" s="360" t="s">
        <v>1445</v>
      </c>
      <c r="E21" s="338" t="s">
        <v>1446</v>
      </c>
      <c r="F21" s="358">
        <f>'数据-取费表'!B38</f>
        <v>1.4999999999999999E-2</v>
      </c>
      <c r="G21" s="1841"/>
      <c r="H21" s="363"/>
      <c r="I21" s="347"/>
      <c r="J21" s="29"/>
      <c r="K21" s="364"/>
      <c r="L21" s="338" t="s">
        <v>1447</v>
      </c>
      <c r="M21" s="339">
        <f ca="1">INDIRECT("'数据-取费表'!r"&amp;$G$1)</f>
        <v>0</v>
      </c>
      <c r="N21" s="1844"/>
      <c r="O21" s="1844"/>
      <c r="P21" s="1844"/>
      <c r="Q21" s="1844"/>
      <c r="R21" s="1844"/>
      <c r="S21" s="1844"/>
      <c r="T21" s="1844"/>
      <c r="U21" s="1844"/>
      <c r="V21" s="1844"/>
      <c r="W21" s="1844"/>
      <c r="X21" s="1844"/>
      <c r="Y21" s="1844"/>
      <c r="Z21" s="1844"/>
      <c r="AA21" s="1844"/>
      <c r="AB21" s="1844"/>
      <c r="AC21" s="1844"/>
      <c r="AD21" s="1844"/>
      <c r="AE21" s="1844"/>
      <c r="AF21" s="1844"/>
      <c r="AG21" s="1844"/>
      <c r="AH21" s="1844"/>
      <c r="AI21" s="1844"/>
      <c r="AJ21" s="1844"/>
      <c r="AK21" s="1844"/>
    </row>
    <row r="22" spans="1:37" ht="18" customHeight="1">
      <c r="A22" s="1189" t="s">
        <v>1392</v>
      </c>
      <c r="B22" s="338" t="s">
        <v>1448</v>
      </c>
      <c r="C22" s="24"/>
      <c r="D22" s="131" t="str">
        <f>IF(F23&lt;=1,"单利计息。","复利计息。")&amp;"建造成本、管理费用、销售费用产生的利息。"</f>
        <v>复利计息。建造成本、管理费用、销售费用产生的利息。</v>
      </c>
      <c r="E22" s="1805"/>
      <c r="F22" s="26"/>
      <c r="G22" s="1838"/>
      <c r="H22" s="1189" t="s">
        <v>1039</v>
      </c>
      <c r="I22" s="338" t="s">
        <v>1449</v>
      </c>
      <c r="J22" s="24">
        <f ca="1">ROUND(J14*M22,0)</f>
        <v>0</v>
      </c>
      <c r="K22" s="1785" t="s">
        <v>1450</v>
      </c>
      <c r="L22" s="338" t="s">
        <v>1422</v>
      </c>
      <c r="M22" s="365">
        <f ca="1">INDIRECT("'数据-取费表'!Ak"&amp;$G$1)</f>
        <v>0</v>
      </c>
    </row>
    <row r="23" spans="1:37" s="1845" customFormat="1" ht="18" customHeight="1">
      <c r="A23" s="1189" t="s">
        <v>1034</v>
      </c>
      <c r="B23" s="338" t="s">
        <v>1451</v>
      </c>
      <c r="C23" s="24">
        <f ca="1">IF('数据-取费表'!B22&lt;=1,ROUND(C19*F24*F23/2,0)+ROUND(C20*F24*F23/2,0),ROUND(C19*(POWER((1+F24),F23/2)-1),0)+ROUND(C20*(POWER((1+F24),F23/2)-1),0))</f>
        <v>0</v>
      </c>
      <c r="D23" s="366" t="str">
        <f>IF(F23&lt;=1,"(建造成本+管理费用)×利率×(建设周期÷2)","(建造成本+管理费用)×((1+利率)^(建设周期÷2)-1)")</f>
        <v>(建造成本+管理费用)×((1+利率)^(建设周期÷2)-1)</v>
      </c>
      <c r="E23" s="338" t="s">
        <v>1452</v>
      </c>
      <c r="F23" s="362">
        <f>'数据-取费表'!B20</f>
        <v>2</v>
      </c>
      <c r="G23" s="1841"/>
      <c r="H23" s="1189" t="s">
        <v>1075</v>
      </c>
      <c r="I23" s="338" t="s">
        <v>1453</v>
      </c>
      <c r="J23" s="24">
        <f ca="1">ROUND(J13*M23,0)</f>
        <v>0</v>
      </c>
      <c r="K23" s="1785" t="s">
        <v>1454</v>
      </c>
      <c r="L23" s="338" t="s">
        <v>1455</v>
      </c>
      <c r="M23" s="367">
        <f ca="1">INDIRECT("'数据-取费表'!Al"&amp;$G$1)</f>
        <v>0</v>
      </c>
      <c r="N23" s="1844"/>
      <c r="O23" s="1844"/>
      <c r="P23" s="1844"/>
      <c r="Q23" s="1844"/>
      <c r="R23" s="1844"/>
      <c r="S23" s="1844"/>
      <c r="T23" s="1844"/>
      <c r="U23" s="1844"/>
      <c r="V23" s="1844"/>
      <c r="W23" s="1844"/>
      <c r="X23" s="1844"/>
      <c r="Y23" s="1844"/>
      <c r="Z23" s="1844"/>
      <c r="AA23" s="1844"/>
      <c r="AB23" s="1844"/>
      <c r="AC23" s="1844"/>
      <c r="AD23" s="1844"/>
      <c r="AE23" s="1844"/>
      <c r="AF23" s="1844"/>
      <c r="AG23" s="1844"/>
      <c r="AH23" s="1844"/>
      <c r="AI23" s="1844"/>
      <c r="AJ23" s="1844"/>
      <c r="AK23" s="1844"/>
    </row>
    <row r="24" spans="1:37" s="1845" customFormat="1" ht="18" customHeight="1" thickBot="1">
      <c r="A24" s="1189" t="s">
        <v>1456</v>
      </c>
      <c r="B24" s="338" t="s">
        <v>1457</v>
      </c>
      <c r="C24" s="24">
        <f ca="1">ROUND(IF('数据-取费表'!B22&lt;=1,F21*F24*F23/2,F21*(POWER((1+F24),F23/2)-1)),4)</f>
        <v>6.9999999999999999E-4</v>
      </c>
      <c r="D24" s="366" t="str">
        <f>IF(F23&lt;=1,"销售费用×利率×(建设周期÷2)","销售费用×((1+利率)^(建设周期÷2)-1)")</f>
        <v>销售费用×((1+利率)^(建设周期÷2)-1)</v>
      </c>
      <c r="E24" s="338" t="s">
        <v>1458</v>
      </c>
      <c r="F24" s="368">
        <f ca="1">'数据-取费表'!B40</f>
        <v>4.7500000000000001E-2</v>
      </c>
      <c r="G24" s="1841"/>
      <c r="H24" s="1327" t="s">
        <v>1393</v>
      </c>
      <c r="I24" s="1328" t="s">
        <v>1439</v>
      </c>
      <c r="J24" s="1329">
        <f ca="1">ROUND(J5*M24,0)</f>
        <v>0</v>
      </c>
      <c r="K24" s="1330" t="s">
        <v>1459</v>
      </c>
      <c r="L24" s="1328" t="s">
        <v>1455</v>
      </c>
      <c r="M24" s="1324">
        <f ca="1">INDIRECT("'数据-取费表'!Am"&amp;$G$1)</f>
        <v>0</v>
      </c>
      <c r="N24" s="1844"/>
      <c r="O24" s="1844"/>
      <c r="P24" s="1844"/>
      <c r="Q24" s="1844"/>
      <c r="R24" s="1844"/>
      <c r="S24" s="1844"/>
      <c r="T24" s="1844"/>
      <c r="U24" s="1844"/>
      <c r="V24" s="1844"/>
      <c r="W24" s="1844"/>
      <c r="X24" s="1844"/>
      <c r="Y24" s="1844"/>
      <c r="Z24" s="1844"/>
      <c r="AA24" s="1844"/>
      <c r="AB24" s="1844"/>
      <c r="AC24" s="1844"/>
      <c r="AD24" s="1844"/>
      <c r="AE24" s="1844"/>
      <c r="AF24" s="1844"/>
      <c r="AG24" s="1844"/>
      <c r="AH24" s="1844"/>
      <c r="AI24" s="1844"/>
      <c r="AJ24" s="1844"/>
      <c r="AK24" s="1844"/>
    </row>
    <row r="25" spans="1:37" ht="18" customHeight="1" thickTop="1">
      <c r="A25" s="1189" t="s">
        <v>1460</v>
      </c>
      <c r="B25" s="338" t="s">
        <v>1461</v>
      </c>
      <c r="C25" s="24"/>
      <c r="D25" s="131" t="s">
        <v>1462</v>
      </c>
      <c r="E25" s="1805"/>
      <c r="F25" s="26"/>
      <c r="G25" s="1838"/>
      <c r="H25" s="1317" t="s">
        <v>1031</v>
      </c>
      <c r="I25" s="1332" t="s">
        <v>1463</v>
      </c>
      <c r="J25" s="346">
        <f ca="1">J5-J16</f>
        <v>0</v>
      </c>
      <c r="K25" s="1333" t="s">
        <v>1464</v>
      </c>
      <c r="L25" s="1334"/>
      <c r="M25" s="1335"/>
    </row>
    <row r="26" spans="1:37" ht="18" customHeight="1">
      <c r="A26" s="1189" t="s">
        <v>1034</v>
      </c>
      <c r="B26" s="338" t="s">
        <v>1465</v>
      </c>
      <c r="C26" s="24">
        <f ca="1">ROUND((C19+C20)*F26,0)</f>
        <v>0</v>
      </c>
      <c r="D26" s="360" t="s">
        <v>1466</v>
      </c>
      <c r="E26" s="349" t="s">
        <v>1467</v>
      </c>
      <c r="F26" s="348">
        <f ca="1">INDIRECT("'数据-取费表'!q"&amp;$G$1)</f>
        <v>0</v>
      </c>
      <c r="G26" s="1838"/>
      <c r="H26" s="335" t="s">
        <v>1032</v>
      </c>
      <c r="I26" s="336" t="s">
        <v>1468</v>
      </c>
      <c r="J26" s="337">
        <f ca="1">IF(J5&lt;&gt;0,ROUND(J25*(1-((1+M28)/(1+M26))^M27)/(M26-M28),0),0)</f>
        <v>0</v>
      </c>
      <c r="K26" s="361" t="s">
        <v>1469</v>
      </c>
      <c r="L26" s="338" t="s">
        <v>1470</v>
      </c>
      <c r="M26" s="348">
        <f ca="1">INDIRECT("'数据-取费表'!I"&amp;$G$1)</f>
        <v>0</v>
      </c>
    </row>
    <row r="27" spans="1:37" ht="18" customHeight="1">
      <c r="A27" s="1189" t="s">
        <v>1036</v>
      </c>
      <c r="B27" s="338" t="s">
        <v>1471</v>
      </c>
      <c r="C27" s="24">
        <f ca="1">ROUND(F21*F26,4)</f>
        <v>0</v>
      </c>
      <c r="D27" s="360" t="s">
        <v>1472</v>
      </c>
      <c r="E27" s="356"/>
      <c r="F27" s="357"/>
      <c r="G27" s="1838"/>
      <c r="H27" s="340"/>
      <c r="I27" s="341"/>
      <c r="J27" s="342"/>
      <c r="K27" s="369" t="s">
        <v>1473</v>
      </c>
      <c r="L27" s="338" t="s">
        <v>1474</v>
      </c>
      <c r="M27" s="370">
        <f ca="1">INDIRECT("'数据-取费表'!ag"&amp;$G$1)</f>
        <v>0</v>
      </c>
    </row>
    <row r="28" spans="1:37" s="1845" customFormat="1" ht="18" customHeight="1">
      <c r="A28" s="1189" t="s">
        <v>1037</v>
      </c>
      <c r="B28" s="338" t="s">
        <v>1475</v>
      </c>
      <c r="C28" s="24">
        <f>ROUND(F28/(1+'数据-取费表'!C42),4)</f>
        <v>5.33E-2</v>
      </c>
      <c r="D28" s="360" t="s">
        <v>1476</v>
      </c>
      <c r="E28" s="338" t="s">
        <v>1422</v>
      </c>
      <c r="F28" s="358">
        <f>'数据-取费表'!B41</f>
        <v>5.6000000000000001E-2</v>
      </c>
      <c r="G28" s="1841"/>
      <c r="H28" s="344"/>
      <c r="I28" s="345"/>
      <c r="J28" s="346"/>
      <c r="K28" s="364"/>
      <c r="L28" s="338" t="s">
        <v>1477</v>
      </c>
      <c r="M28" s="348">
        <f ca="1">INDIRECT("'数据-取费表'!aa"&amp;$G$1)</f>
        <v>0</v>
      </c>
      <c r="N28" s="1844"/>
      <c r="O28" s="1844"/>
      <c r="P28" s="1844"/>
      <c r="Q28" s="1844"/>
      <c r="R28" s="1844"/>
      <c r="S28" s="1844"/>
      <c r="T28" s="1844"/>
      <c r="U28" s="1844"/>
      <c r="V28" s="1844"/>
      <c r="W28" s="1844"/>
      <c r="X28" s="1844"/>
      <c r="Y28" s="1844"/>
      <c r="Z28" s="1844"/>
      <c r="AA28" s="1844"/>
      <c r="AB28" s="1844"/>
      <c r="AC28" s="1844"/>
      <c r="AD28" s="1844"/>
      <c r="AE28" s="1844"/>
      <c r="AF28" s="1844"/>
      <c r="AG28" s="1844"/>
      <c r="AH28" s="1844"/>
      <c r="AI28" s="1844"/>
      <c r="AJ28" s="1844"/>
      <c r="AK28" s="1844"/>
    </row>
    <row r="29" spans="1:37" s="1845" customFormat="1" ht="18" customHeight="1" thickBot="1">
      <c r="A29" s="1327" t="s">
        <v>1038</v>
      </c>
      <c r="B29" s="1328" t="s">
        <v>1478</v>
      </c>
      <c r="C29" s="1329">
        <f ca="1">ROUND((C19+C20+C23+C26)/(1-F21-C24-C27-C28),0)</f>
        <v>0</v>
      </c>
      <c r="D29" s="1330"/>
      <c r="E29" s="1328"/>
      <c r="F29" s="1331"/>
      <c r="G29" s="1841"/>
      <c r="H29" s="371" t="s">
        <v>1033</v>
      </c>
      <c r="I29" s="372" t="s">
        <v>1479</v>
      </c>
      <c r="J29" s="373">
        <f ca="1">ROUND(J26/(1+F40)^F41,0)</f>
        <v>0</v>
      </c>
      <c r="K29" s="374" t="s">
        <v>1480</v>
      </c>
      <c r="L29" s="375"/>
      <c r="M29" s="376">
        <f ca="1">INDIRECT("'数据-取费表'!k"&amp;$G$1)</f>
        <v>0</v>
      </c>
      <c r="N29" s="1844"/>
      <c r="O29" s="1844"/>
      <c r="P29" s="1844"/>
      <c r="Q29" s="1844"/>
      <c r="R29" s="1844"/>
      <c r="S29" s="1844"/>
      <c r="T29" s="1844"/>
      <c r="U29" s="1844"/>
      <c r="V29" s="1844"/>
      <c r="W29" s="1844"/>
      <c r="X29" s="1844"/>
      <c r="Y29" s="1844"/>
      <c r="Z29" s="1844"/>
      <c r="AA29" s="1844"/>
      <c r="AB29" s="1844"/>
      <c r="AC29" s="1844"/>
      <c r="AD29" s="1844"/>
      <c r="AE29" s="1844"/>
      <c r="AF29" s="1844"/>
      <c r="AG29" s="1844"/>
      <c r="AH29" s="1844"/>
      <c r="AI29" s="1844"/>
      <c r="AJ29" s="1844"/>
      <c r="AK29" s="1844"/>
    </row>
    <row r="30" spans="1:37" ht="18" customHeight="1" thickTop="1">
      <c r="A30" s="1317" t="s">
        <v>1030</v>
      </c>
      <c r="B30" s="1318" t="s">
        <v>1424</v>
      </c>
      <c r="C30" s="346">
        <f ca="1">ROUND(C31+C36+C37+C38,0)</f>
        <v>0</v>
      </c>
      <c r="D30" s="1325" t="s">
        <v>1425</v>
      </c>
      <c r="E30" s="1326"/>
      <c r="F30" s="1282"/>
      <c r="G30" s="1838"/>
      <c r="H30" s="736"/>
      <c r="I30" s="737"/>
      <c r="J30" s="738"/>
      <c r="K30" s="739"/>
      <c r="L30" s="740"/>
      <c r="M30" s="741"/>
    </row>
    <row r="31" spans="1:37" ht="18" customHeight="1">
      <c r="A31" s="1189" t="s">
        <v>1035</v>
      </c>
      <c r="B31" s="338" t="s">
        <v>1429</v>
      </c>
      <c r="C31" s="24">
        <f ca="1">ROUND(IF(项目基本情况!B11="自然人",C5*F31,C32+C33+C34),0)</f>
        <v>0</v>
      </c>
      <c r="D31" s="1787" t="s">
        <v>1430</v>
      </c>
      <c r="E31" s="1785" t="s">
        <v>1481</v>
      </c>
      <c r="F31" s="359">
        <f ca="1">IF(项目基本情况!B11="企业","",IF(INDIRECT("'数据-取费表'!c"&amp;$G$1)="住宅",5%,IF(F6*F7*F8/12/(1+'数据-取费表'!C42)&gt;20000,12%,7%)))</f>
        <v>7.0000000000000007E-2</v>
      </c>
      <c r="G31" s="1838"/>
      <c r="H31" s="736"/>
      <c r="I31" s="737"/>
      <c r="J31" s="738"/>
      <c r="K31" s="739"/>
      <c r="L31" s="740"/>
      <c r="M31" s="741"/>
    </row>
    <row r="32" spans="1:37" ht="18" customHeight="1">
      <c r="A32" s="1189" t="s">
        <v>1034</v>
      </c>
      <c r="B32" s="338" t="s">
        <v>1433</v>
      </c>
      <c r="C32" s="24">
        <f ca="1">IF(项目基本情况!B11="自然人","——",ROUND(C5*F32/(1+'数据-取费表'!C42),0))</f>
        <v>0</v>
      </c>
      <c r="D32" s="1785" t="s">
        <v>1434</v>
      </c>
      <c r="E32" s="338" t="s">
        <v>1422</v>
      </c>
      <c r="F32" s="368">
        <f>'数据-取费表'!B41</f>
        <v>5.6000000000000001E-2</v>
      </c>
      <c r="G32" s="1838"/>
      <c r="H32" s="736"/>
      <c r="I32" s="737"/>
      <c r="J32" s="738"/>
      <c r="K32" s="739"/>
      <c r="L32" s="740"/>
      <c r="M32" s="741"/>
    </row>
    <row r="33" spans="1:18" ht="18" customHeight="1">
      <c r="A33" s="1189" t="s">
        <v>1036</v>
      </c>
      <c r="B33" s="338" t="s">
        <v>1437</v>
      </c>
      <c r="C33" s="24">
        <f ca="1">IF(项目基本情况!B11="自然人","——",IF(D33="按租金收入计税",ROUND(C5*F33,0),IF(D33="按房产原值计税",ROUND(C29*F33*0.7,0),INDIRECT("'数据-取费表'!Aj"&amp;$G$1))))</f>
        <v>0</v>
      </c>
      <c r="D33" s="1815" t="s">
        <v>1438</v>
      </c>
      <c r="E33" s="338" t="s">
        <v>1422</v>
      </c>
      <c r="F33" s="358">
        <f>IF(D33="按票据","——",IF(D33="按租金收入计税",'数据-取费表'!B51,'数据-取费表'!B50))</f>
        <v>1.2E-2</v>
      </c>
      <c r="G33" s="1838"/>
      <c r="H33" s="1846"/>
      <c r="I33" s="1847"/>
      <c r="J33" s="1848"/>
      <c r="K33" s="1849"/>
      <c r="L33" s="1846"/>
      <c r="M33" s="1846"/>
    </row>
    <row r="34" spans="1:18" ht="18" customHeight="1">
      <c r="A34" s="1279" t="s">
        <v>1389</v>
      </c>
      <c r="B34" s="155" t="s">
        <v>1441</v>
      </c>
      <c r="C34" s="25">
        <f ca="1">IF(项目基本情况!B11="自然人","——",ROUND(F34*F35,))</f>
        <v>0</v>
      </c>
      <c r="D34" s="361" t="s">
        <v>1442</v>
      </c>
      <c r="E34" s="338" t="s">
        <v>1443</v>
      </c>
      <c r="F34" s="362">
        <f>'数据-取费表'!B52</f>
        <v>6</v>
      </c>
      <c r="G34" s="1838"/>
      <c r="H34" s="736"/>
      <c r="I34" s="1847"/>
      <c r="J34" s="1848"/>
      <c r="K34" s="1850"/>
      <c r="L34" s="1851"/>
      <c r="M34" s="1851"/>
    </row>
    <row r="35" spans="1:18" ht="18" customHeight="1">
      <c r="A35" s="1341"/>
      <c r="B35" s="1339"/>
      <c r="C35" s="29"/>
      <c r="D35" s="364"/>
      <c r="E35" s="338" t="s">
        <v>1447</v>
      </c>
      <c r="F35" s="339">
        <f ca="1">INDIRECT("'数据-取费表'!r"&amp;$G$1)</f>
        <v>0</v>
      </c>
      <c r="G35" s="1838"/>
      <c r="H35" s="736"/>
      <c r="I35" s="1847"/>
      <c r="J35" s="1848"/>
      <c r="K35" s="1849"/>
      <c r="L35" s="1846"/>
      <c r="M35" s="1846"/>
    </row>
    <row r="36" spans="1:18" ht="18" customHeight="1">
      <c r="A36" s="1340" t="s">
        <v>1039</v>
      </c>
      <c r="B36" s="338" t="s">
        <v>1449</v>
      </c>
      <c r="C36" s="24">
        <f ca="1">ROUND(C29*F36,0)</f>
        <v>0</v>
      </c>
      <c r="D36" s="1785" t="s">
        <v>1482</v>
      </c>
      <c r="E36" s="338" t="s">
        <v>1422</v>
      </c>
      <c r="F36" s="365">
        <f ca="1">INDIRECT("'数据-取费表'!Ak"&amp;$G$1)</f>
        <v>0</v>
      </c>
      <c r="G36" s="1838"/>
      <c r="H36" s="1846"/>
      <c r="I36" s="1847"/>
      <c r="J36" s="1848"/>
      <c r="K36" s="742"/>
      <c r="L36" s="1846"/>
      <c r="M36" s="1846"/>
    </row>
    <row r="37" spans="1:18" ht="18" customHeight="1">
      <c r="A37" s="1189" t="s">
        <v>1075</v>
      </c>
      <c r="B37" s="338" t="s">
        <v>1453</v>
      </c>
      <c r="C37" s="24">
        <f ca="1">ROUND(C13*F37,0)</f>
        <v>0</v>
      </c>
      <c r="D37" s="1785" t="s">
        <v>1454</v>
      </c>
      <c r="E37" s="338" t="s">
        <v>1455</v>
      </c>
      <c r="F37" s="367">
        <f ca="1">INDIRECT("'数据-取费表'!Al"&amp;$G$1)</f>
        <v>0</v>
      </c>
      <c r="G37" s="1838"/>
      <c r="H37" s="1846"/>
      <c r="I37" s="1847"/>
      <c r="J37" s="1848"/>
      <c r="K37" s="742"/>
      <c r="L37" s="1846"/>
      <c r="M37" s="1846"/>
    </row>
    <row r="38" spans="1:18" ht="18" customHeight="1" thickBot="1">
      <c r="A38" s="1327" t="s">
        <v>1393</v>
      </c>
      <c r="B38" s="1328" t="s">
        <v>1439</v>
      </c>
      <c r="C38" s="1329">
        <f ca="1">ROUND(C5*F38,1)</f>
        <v>0</v>
      </c>
      <c r="D38" s="1330" t="s">
        <v>1459</v>
      </c>
      <c r="E38" s="1328" t="s">
        <v>1455</v>
      </c>
      <c r="F38" s="1324">
        <f ca="1">INDIRECT("'数据-取费表'!Am"&amp;$G$1)</f>
        <v>0</v>
      </c>
      <c r="G38" s="1838"/>
      <c r="H38" s="1846"/>
      <c r="I38" s="1847"/>
      <c r="J38" s="1848"/>
      <c r="K38" s="1852"/>
      <c r="L38" s="1846"/>
      <c r="M38" s="1846"/>
    </row>
    <row r="39" spans="1:18" ht="24.6" customHeight="1" thickTop="1">
      <c r="A39" s="1317" t="s">
        <v>1031</v>
      </c>
      <c r="B39" s="1332" t="s">
        <v>1483</v>
      </c>
      <c r="C39" s="346">
        <f ca="1">C5-C30</f>
        <v>0</v>
      </c>
      <c r="D39" s="1333" t="s">
        <v>1484</v>
      </c>
      <c r="E39" s="1334"/>
      <c r="F39" s="1335"/>
      <c r="G39" s="1838"/>
      <c r="H39" s="1846"/>
      <c r="I39" s="1847"/>
      <c r="J39" s="1848"/>
      <c r="K39" s="1852"/>
      <c r="L39" s="1846"/>
      <c r="M39" s="1846"/>
    </row>
    <row r="40" spans="1:18" ht="18" customHeight="1">
      <c r="A40" s="335" t="s">
        <v>1032</v>
      </c>
      <c r="B40" s="336" t="s">
        <v>1485</v>
      </c>
      <c r="C40" s="337" t="e">
        <f ca="1">ROUND(C39*(1-((1+F42)/(1+F40))^F41)/(F40-F42),0)</f>
        <v>#DIV/0!</v>
      </c>
      <c r="D40" s="361" t="s">
        <v>1469</v>
      </c>
      <c r="E40" s="338" t="s">
        <v>1470</v>
      </c>
      <c r="F40" s="348">
        <f ca="1">INDIRECT("'数据-取费表'!I"&amp;$G$1)</f>
        <v>0</v>
      </c>
      <c r="G40" s="1838"/>
      <c r="H40" s="1826"/>
      <c r="I40" s="1847"/>
      <c r="J40" s="1848"/>
      <c r="K40" s="1852"/>
      <c r="L40" s="1826"/>
      <c r="M40" s="1826"/>
    </row>
    <row r="41" spans="1:18" ht="18" customHeight="1">
      <c r="A41" s="340"/>
      <c r="B41" s="341"/>
      <c r="C41" s="342"/>
      <c r="D41" s="369" t="s">
        <v>1486</v>
      </c>
      <c r="E41" s="338" t="s">
        <v>1474</v>
      </c>
      <c r="F41" s="370">
        <f ca="1">IF(INDIRECT("'数据-取费表'!af"&amp;$G$1)=0,INDIRECT("'数据-取费表'!ae"&amp;$G$1),INDIRECT("'数据-取费表'!af"&amp;$G$1))</f>
        <v>0</v>
      </c>
      <c r="G41" s="1838"/>
      <c r="H41" s="723"/>
      <c r="I41" s="1847"/>
      <c r="J41" s="1848"/>
      <c r="K41" s="742"/>
      <c r="L41" s="723"/>
      <c r="M41" s="723"/>
    </row>
    <row r="42" spans="1:18" ht="18" customHeight="1">
      <c r="A42" s="344"/>
      <c r="B42" s="345"/>
      <c r="C42" s="346"/>
      <c r="D42" s="364"/>
      <c r="E42" s="338" t="s">
        <v>1477</v>
      </c>
      <c r="F42" s="348">
        <f ca="1">INDIRECT("'数据-取费表'!v"&amp;$G$1)</f>
        <v>0</v>
      </c>
      <c r="G42" s="1838"/>
      <c r="H42" s="723"/>
      <c r="I42" s="1847"/>
      <c r="J42" s="1848"/>
      <c r="K42" s="742"/>
      <c r="L42" s="723"/>
      <c r="M42" s="723"/>
    </row>
    <row r="43" spans="1:18" ht="18" customHeight="1" thickBot="1">
      <c r="A43" s="371" t="s">
        <v>1033</v>
      </c>
      <c r="B43" s="372" t="s">
        <v>1487</v>
      </c>
      <c r="C43" s="373" t="e">
        <f ca="1">ROUND(C40/F43,0)</f>
        <v>#DIV/0!</v>
      </c>
      <c r="D43" s="374" t="s">
        <v>1488</v>
      </c>
      <c r="E43" s="375" t="s">
        <v>1489</v>
      </c>
      <c r="F43" s="376">
        <f ca="1">INDIRECT("'数据-取费表'!k"&amp;$G$1)</f>
        <v>0</v>
      </c>
      <c r="G43" s="1838"/>
      <c r="H43" s="723"/>
      <c r="I43" s="723"/>
      <c r="J43" s="723"/>
      <c r="K43" s="742"/>
      <c r="L43" s="723"/>
      <c r="M43" s="723"/>
    </row>
    <row r="44" spans="1:18" s="1829" customFormat="1" ht="18" customHeight="1">
      <c r="A44" s="1853"/>
      <c r="B44" s="1853"/>
      <c r="C44" s="1854"/>
      <c r="D44" s="1853"/>
      <c r="E44" s="1853"/>
      <c r="F44" s="1853"/>
      <c r="K44" s="1855"/>
    </row>
    <row r="45" spans="1:18" s="1829" customFormat="1" ht="18" customHeight="1" thickBot="1">
      <c r="A45" s="1853"/>
      <c r="B45" s="1853"/>
      <c r="C45" s="1926" t="e">
        <f ca="1">C68-C40</f>
        <v>#DIV/0!</v>
      </c>
      <c r="D45" s="1927" t="s">
        <v>1604</v>
      </c>
      <c r="E45" s="1853"/>
      <c r="F45" s="1853"/>
      <c r="O45" s="1856" t="s">
        <v>1519</v>
      </c>
      <c r="P45" s="1826"/>
      <c r="Q45" s="1826"/>
      <c r="R45" s="1826"/>
    </row>
    <row r="46" spans="1:18" s="1829" customFormat="1" ht="13.5" thickBot="1">
      <c r="A46" s="1857" t="s">
        <v>1520</v>
      </c>
      <c r="C46" s="1858" t="e">
        <f ca="1">ROUND(C45/10000,0)</f>
        <v>#DIV/0!</v>
      </c>
      <c r="D46" s="1859" t="str">
        <f>C2</f>
        <v>万元</v>
      </c>
      <c r="I46" s="1860" t="s">
        <v>1521</v>
      </c>
      <c r="J46" s="1861"/>
      <c r="K46" s="1862"/>
      <c r="L46" s="1863" t="e">
        <f ca="1">IF(M47="住宅",0,IF(L48&gt;J51,L60,J60))</f>
        <v>#DIV/0!</v>
      </c>
      <c r="O46" s="1864" t="s">
        <v>1522</v>
      </c>
      <c r="P46" s="1865" t="s">
        <v>1523</v>
      </c>
      <c r="Q46" s="1866" t="s">
        <v>1524</v>
      </c>
      <c r="R46" s="1866" t="s">
        <v>1525</v>
      </c>
    </row>
    <row r="47" spans="1:18" s="1829" customFormat="1" ht="13.5" thickBot="1">
      <c r="A47" s="1153" t="s">
        <v>1396</v>
      </c>
      <c r="B47" s="1185" t="s">
        <v>1397</v>
      </c>
      <c r="C47" s="1185" t="s">
        <v>1398</v>
      </c>
      <c r="D47" s="1185" t="s">
        <v>1399</v>
      </c>
      <c r="E47" s="1267" t="s">
        <v>1400</v>
      </c>
      <c r="F47" s="1268"/>
      <c r="G47" s="783"/>
      <c r="I47" s="1867" t="s">
        <v>1526</v>
      </c>
      <c r="J47" s="1868"/>
      <c r="K47" s="1869" t="s">
        <v>1527</v>
      </c>
      <c r="L47" s="1870">
        <f ca="1">INDIRECT("'数据-取费表'!d"&amp;$G$1)</f>
        <v>0</v>
      </c>
      <c r="M47" s="1825" t="str">
        <f>IF(ISNUMBER(FIND("住宅",C1)),"住宅","非住宅")</f>
        <v>非住宅</v>
      </c>
      <c r="O47" s="1871" t="s">
        <v>1040</v>
      </c>
      <c r="P47" s="1872" t="s">
        <v>1528</v>
      </c>
      <c r="Q47" s="1873" t="e">
        <f ca="1">C40+J29</f>
        <v>#DIV/0!</v>
      </c>
      <c r="R47" s="1873" t="s">
        <v>1529</v>
      </c>
    </row>
    <row r="48" spans="1:18" s="1829" customFormat="1" ht="28.5" thickBot="1">
      <c r="A48" s="1348" t="s">
        <v>1135</v>
      </c>
      <c r="B48" s="336" t="s">
        <v>1401</v>
      </c>
      <c r="C48" s="1804">
        <f ca="1">C49+C53+C55</f>
        <v>0</v>
      </c>
      <c r="D48" s="1350"/>
      <c r="E48" s="1351"/>
      <c r="F48" s="1169"/>
      <c r="G48" s="783"/>
      <c r="H48" s="784"/>
      <c r="I48" s="1874" t="s">
        <v>1530</v>
      </c>
      <c r="J48" s="1875"/>
      <c r="K48" s="1876" t="s">
        <v>1531</v>
      </c>
      <c r="L48" s="1877">
        <f ca="1">INDIRECT("'数据-取费表'!f"&amp;$G$1)</f>
        <v>0</v>
      </c>
      <c r="O48" s="1871" t="s">
        <v>1041</v>
      </c>
      <c r="P48" s="1872" t="s">
        <v>1532</v>
      </c>
      <c r="Q48" s="1873" t="e">
        <f ca="1">J60</f>
        <v>#DIV/0!</v>
      </c>
      <c r="R48" s="1873" t="s">
        <v>1533</v>
      </c>
    </row>
    <row r="49" spans="1:18" s="1829" customFormat="1" ht="13.5" thickBot="1">
      <c r="A49" s="1182" t="s">
        <v>1136</v>
      </c>
      <c r="B49" s="1816" t="s">
        <v>1490</v>
      </c>
      <c r="C49" s="1352">
        <f ca="1">ROUND(F49*F51*F50*(1-F52),0)</f>
        <v>0</v>
      </c>
      <c r="D49" s="1264" t="s">
        <v>1404</v>
      </c>
      <c r="E49" s="1817" t="s">
        <v>1491</v>
      </c>
      <c r="F49" s="1269"/>
      <c r="G49" s="1878"/>
      <c r="H49" s="784"/>
      <c r="I49" s="1874" t="s">
        <v>1534</v>
      </c>
      <c r="J49" s="1879"/>
      <c r="K49" s="1876" t="s">
        <v>1535</v>
      </c>
      <c r="L49" s="1880"/>
      <c r="O49" s="1881" t="s">
        <v>1042</v>
      </c>
      <c r="P49" s="1872" t="s">
        <v>1536</v>
      </c>
      <c r="Q49" s="1873">
        <f ca="1">C29</f>
        <v>0</v>
      </c>
      <c r="R49" s="1873" t="s">
        <v>1529</v>
      </c>
    </row>
    <row r="50" spans="1:18" s="1829" customFormat="1" ht="13.5" thickBot="1">
      <c r="A50" s="1183"/>
      <c r="B50" s="1186"/>
      <c r="C50" s="1187"/>
      <c r="D50" s="1160"/>
      <c r="E50" s="1265" t="s">
        <v>1406</v>
      </c>
      <c r="F50" s="1266">
        <f ca="1">F7</f>
        <v>0</v>
      </c>
      <c r="H50" s="784"/>
      <c r="I50" s="1874" t="s">
        <v>1537</v>
      </c>
      <c r="J50" s="1882">
        <f>SUMPRODUCT((I63:I65=J47)*(J62:L62=J48)*(J63:L65))</f>
        <v>0</v>
      </c>
      <c r="K50" s="1876" t="s">
        <v>1538</v>
      </c>
      <c r="L50" s="1880"/>
      <c r="M50" s="1883"/>
      <c r="O50" s="1881" t="s">
        <v>1043</v>
      </c>
      <c r="P50" s="1872" t="s">
        <v>1539</v>
      </c>
      <c r="Q50" s="1884" t="e">
        <f ca="1">J58</f>
        <v>#DIV/0!</v>
      </c>
      <c r="R50" s="1873"/>
    </row>
    <row r="51" spans="1:18" s="1829" customFormat="1" ht="13.5" thickBot="1">
      <c r="A51" s="1184"/>
      <c r="B51" s="1186"/>
      <c r="C51" s="1187"/>
      <c r="D51" s="1160"/>
      <c r="E51" s="1188" t="s">
        <v>1407</v>
      </c>
      <c r="F51" s="339">
        <f ca="1">F8</f>
        <v>0</v>
      </c>
      <c r="I51" s="1885" t="s">
        <v>1540</v>
      </c>
      <c r="J51" s="1886">
        <f>IF(J49="",J50,J49+J50-YEAR('数据-取费表'!B2))</f>
        <v>0</v>
      </c>
      <c r="K51" s="1887" t="s">
        <v>1541</v>
      </c>
      <c r="L51" s="1888">
        <f ca="1">ROUND(-PV(INDIRECT("'数据-取费表'!h"&amp;$G$1),L48,(C39-C13*C76),0),0)</f>
        <v>0</v>
      </c>
      <c r="M51" s="1889"/>
      <c r="O51" s="1881" t="s">
        <v>1044</v>
      </c>
      <c r="P51" s="1872" t="s">
        <v>1542</v>
      </c>
      <c r="Q51" s="1884">
        <f>J52</f>
        <v>0</v>
      </c>
      <c r="R51" s="1873"/>
    </row>
    <row r="52" spans="1:18" s="1829" customFormat="1" ht="13.5" thickBot="1">
      <c r="A52" s="1184"/>
      <c r="B52" s="1186"/>
      <c r="C52" s="1187"/>
      <c r="D52" s="1160"/>
      <c r="E52" s="1188" t="s">
        <v>1408</v>
      </c>
      <c r="F52" s="1263"/>
      <c r="I52" s="1890" t="s">
        <v>1543</v>
      </c>
      <c r="J52" s="1891"/>
      <c r="K52" s="1890" t="s">
        <v>1544</v>
      </c>
      <c r="L52" s="1891"/>
      <c r="O52" s="1881" t="s">
        <v>1045</v>
      </c>
      <c r="P52" s="1872" t="s">
        <v>1545</v>
      </c>
      <c r="Q52" s="1873" t="b">
        <f>J53</f>
        <v>0</v>
      </c>
      <c r="R52" s="1873" t="s">
        <v>1546</v>
      </c>
    </row>
    <row r="53" spans="1:18" s="1829" customFormat="1" ht="30.75" customHeight="1" thickBot="1">
      <c r="A53" s="1349" t="s">
        <v>1137</v>
      </c>
      <c r="B53" s="360" t="s">
        <v>1409</v>
      </c>
      <c r="C53" s="352">
        <f ca="1">ROUND(IF(F53="押一",C49/12*F11,IF(F53="押二",C49/12*2*F11,IF(F53="押三",C49/12*3*F11,C54*F11))),0)</f>
        <v>0</v>
      </c>
      <c r="D53" s="1811" t="s">
        <v>3032</v>
      </c>
      <c r="E53" s="349" t="s">
        <v>1410</v>
      </c>
      <c r="F53" s="1354"/>
      <c r="I53" s="1892" t="s">
        <v>1547</v>
      </c>
      <c r="J53" s="1893" t="b">
        <f>IF(M47="住宅",IF(D1="——",MAX(J51,L48),IF(D1="在建（套用方法）",MAX(J51,L48-'数据-取费表'!B24),MAX(J51,L48-'数据-取费表'!B20))),IF(D1="——",MIN(J51,L48),IF(D1="在建（套用方法）",MIN(J51,L48-'数据-取费表'!B24),IF(D1="土地（套用方法）",MIN(J51,L48-'数据-取费表'!B20)))))</f>
        <v>0</v>
      </c>
      <c r="K53" s="3323" t="s">
        <v>1548</v>
      </c>
      <c r="L53" s="3324"/>
      <c r="O53" s="1871" t="s">
        <v>1046</v>
      </c>
      <c r="P53" s="1872" t="s">
        <v>1549</v>
      </c>
      <c r="Q53" s="1873" t="e">
        <f ca="1">Q47+Q48</f>
        <v>#DIV/0!</v>
      </c>
      <c r="R53" s="1873" t="s">
        <v>1047</v>
      </c>
    </row>
    <row r="54" spans="1:18" s="1829" customFormat="1" ht="13.5" thickBot="1">
      <c r="A54" s="1182"/>
      <c r="B54" s="1928" t="s">
        <v>1603</v>
      </c>
      <c r="C54" s="1166"/>
      <c r="D54" s="1811"/>
      <c r="E54" s="1819"/>
      <c r="F54" s="1894"/>
      <c r="I54" s="18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6"/>
      <c r="K54" s="1896"/>
      <c r="L54" s="1896"/>
      <c r="M54" s="1878"/>
      <c r="O54" s="1856" t="s">
        <v>1550</v>
      </c>
      <c r="P54" s="1826"/>
      <c r="Q54" s="1826"/>
      <c r="R54" s="1826"/>
    </row>
    <row r="55" spans="1:18" s="1829" customFormat="1" ht="13.5" thickBot="1">
      <c r="A55" s="1321" t="s">
        <v>1075</v>
      </c>
      <c r="B55" s="1814" t="s">
        <v>1413</v>
      </c>
      <c r="C55" s="1322"/>
      <c r="D55" s="1811"/>
      <c r="E55" s="1819"/>
      <c r="F55" s="1894"/>
      <c r="I55" s="1897" t="s">
        <v>1551</v>
      </c>
      <c r="J55" s="1898" t="e">
        <f ca="1">ROUND(IF(J47="钢混",J57/J50,1-(1-2%)*(J50-J57)/J50),3)</f>
        <v>#DIV/0!</v>
      </c>
      <c r="K55" s="1899" t="s">
        <v>1552</v>
      </c>
      <c r="L55" s="1900"/>
      <c r="O55" s="1864" t="s">
        <v>1522</v>
      </c>
      <c r="P55" s="1865" t="s">
        <v>1523</v>
      </c>
      <c r="Q55" s="1866" t="s">
        <v>1524</v>
      </c>
      <c r="R55" s="1866" t="s">
        <v>1525</v>
      </c>
    </row>
    <row r="56" spans="1:18" s="1829" customFormat="1" ht="36" customHeight="1" thickTop="1" thickBot="1">
      <c r="A56" s="1164">
        <v>2</v>
      </c>
      <c r="B56" s="1165" t="s">
        <v>1414</v>
      </c>
      <c r="C56" s="267">
        <f ca="1">C13</f>
        <v>0</v>
      </c>
      <c r="D56" s="1901"/>
      <c r="E56" s="1902"/>
      <c r="F56" s="1894"/>
      <c r="I56" s="1903" t="s">
        <v>1554</v>
      </c>
      <c r="J56" s="1904"/>
      <c r="K56" s="1874" t="s">
        <v>1555</v>
      </c>
      <c r="L56" s="1877">
        <f ca="1">IF(L48&lt;J51,"——",L48-J51)</f>
        <v>0</v>
      </c>
      <c r="O56" s="1871" t="s">
        <v>1040</v>
      </c>
      <c r="P56" s="1872" t="s">
        <v>1528</v>
      </c>
      <c r="Q56" s="1873" t="e">
        <f ca="1">C40+J29</f>
        <v>#DIV/0!</v>
      </c>
      <c r="R56" s="1873" t="s">
        <v>1529</v>
      </c>
    </row>
    <row r="57" spans="1:18" s="1829" customFormat="1" ht="24.75" thickBot="1">
      <c r="A57" s="1905"/>
      <c r="B57" s="1157" t="s">
        <v>1478</v>
      </c>
      <c r="C57" s="273">
        <f ca="1">C29</f>
        <v>0</v>
      </c>
      <c r="D57" s="1906"/>
      <c r="E57" s="1907"/>
      <c r="F57" s="1908"/>
      <c r="I57" s="1909" t="s">
        <v>1556</v>
      </c>
      <c r="J57" s="1910">
        <f ca="1">IF(OR(M47="住宅",J51&lt;L48,J56="是"),"——",J51-L48)</f>
        <v>0</v>
      </c>
      <c r="K57" s="1874" t="s">
        <v>1605</v>
      </c>
      <c r="L57" s="1877">
        <f ca="1">IF(L48&lt;J51,"——",IF(L55="比较法",L49,IF(L55="基准地价",L50,L51)))</f>
        <v>0</v>
      </c>
      <c r="O57" s="1871" t="s">
        <v>1041</v>
      </c>
      <c r="P57" s="1872" t="s">
        <v>1606</v>
      </c>
      <c r="Q57" s="1873" t="e">
        <f ca="1">L60</f>
        <v>#DIV/0!</v>
      </c>
      <c r="R57" s="1873" t="s">
        <v>1607</v>
      </c>
    </row>
    <row r="58" spans="1:18" s="1829" customFormat="1" ht="24.75" thickBot="1">
      <c r="A58" s="351" t="s">
        <v>1030</v>
      </c>
      <c r="B58" s="1165" t="s">
        <v>1424</v>
      </c>
      <c r="C58" s="352">
        <f ca="1">ROUND(C59+C64+C65+C66,0)</f>
        <v>0</v>
      </c>
      <c r="D58" s="1167" t="s">
        <v>1425</v>
      </c>
      <c r="E58" s="1168"/>
      <c r="F58" s="1169"/>
      <c r="I58" s="1909" t="s">
        <v>1560</v>
      </c>
      <c r="J58" s="1911" t="e">
        <f ca="1">IF(J55&lt;0.4,0.4,J55)</f>
        <v>#DIV/0!</v>
      </c>
      <c r="K58" s="1887" t="s">
        <v>1608</v>
      </c>
      <c r="L58" s="1877" t="e">
        <f ca="1">ROUND(POWER(1+L52,L47-L48)*(POWER(1+L52,L48)-1)/(POWER(1+L52,L47)-1),4)</f>
        <v>#DIV/0!</v>
      </c>
      <c r="O58" s="1881" t="s">
        <v>1042</v>
      </c>
      <c r="P58" s="1872" t="s">
        <v>1562</v>
      </c>
      <c r="Q58" s="1873">
        <f>IF(L55="比较法",L49,IF(L55="基准地价",L50,0))</f>
        <v>0</v>
      </c>
      <c r="R58" s="1873" t="s">
        <v>1529</v>
      </c>
    </row>
    <row r="59" spans="1:18" s="1829" customFormat="1" ht="24.75" thickBot="1">
      <c r="A59" s="1189" t="s">
        <v>1035</v>
      </c>
      <c r="B59" s="1157" t="s">
        <v>1429</v>
      </c>
      <c r="C59" s="24">
        <f ca="1">ROUND(IF(项目基本情况!B11="自然人",C48*F59,C60+C61+C62),0)</f>
        <v>0</v>
      </c>
      <c r="D59" s="1170" t="s">
        <v>1430</v>
      </c>
      <c r="E59" s="1171" t="s">
        <v>1431</v>
      </c>
      <c r="F59" s="359">
        <f ca="1">IF(项目基本情况!B11="企业","",IF(INDIRECT("'数据-取费表'!c"&amp;$G$1)="住宅",5%,IF(F49*F50*F51/12/(1+'数据-取费表'!C42)&gt;20000,12%,7%)))</f>
        <v>7.0000000000000007E-2</v>
      </c>
      <c r="I59" s="1909" t="s">
        <v>1563</v>
      </c>
      <c r="J59" s="1910" t="e">
        <f ca="1">IF(OR(M47="住宅",J51&lt;L48,J56="是"),"——",ROUND(C29*J58,0))</f>
        <v>#DIV/0!</v>
      </c>
      <c r="K59" s="187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77" t="e">
        <f ca="1">ROUND(IF(D1="在建（套用方法）",M59,IF(D1="土地（套用方法）",N59,POWER(1+L52,L47-J51)*(POWER(1+L52,J51)-1)/(POWER(1+L52,L47)-1))),4)</f>
        <v>#DIV/0!</v>
      </c>
      <c r="M59" s="1826" t="e">
        <f ca="1">ROUND(POWER(1+L52,L47-(J51+'数据-取费表'!B24))*(POWER(1+L52,(J51+'数据-取费表'!B24))-1)/(POWER(1+L52,L47)-1),4)</f>
        <v>#DIV/0!</v>
      </c>
      <c r="N59" s="1826" t="e">
        <f ca="1">ROUND(POWER(1+L52,L47-(J51+'数据-取费表'!B20))*(POWER(1+L52,(J51+'数据-取费表'!B20))-1)/(POWER(1+L52,L47)-1),4)</f>
        <v>#DIV/0!</v>
      </c>
      <c r="O59" s="1881" t="s">
        <v>1043</v>
      </c>
      <c r="P59" s="1872" t="s">
        <v>1564</v>
      </c>
      <c r="Q59" s="1884">
        <f>L52</f>
        <v>0</v>
      </c>
      <c r="R59" s="1873"/>
    </row>
    <row r="60" spans="1:18" s="1829" customFormat="1" ht="16.5" thickBot="1">
      <c r="A60" s="1189" t="s">
        <v>1034</v>
      </c>
      <c r="B60" s="1157" t="s">
        <v>1433</v>
      </c>
      <c r="C60" s="24">
        <f ca="1">IF(项目基本情况!B11="自然人","——",ROUND(C48*F60/(1+'数据-取费表'!C42),0))</f>
        <v>0</v>
      </c>
      <c r="D60" s="1171" t="s">
        <v>1434</v>
      </c>
      <c r="E60" s="1157" t="s">
        <v>1422</v>
      </c>
      <c r="F60" s="368">
        <f t="shared" ref="F60:F66" si="0">F32</f>
        <v>5.6000000000000001E-2</v>
      </c>
      <c r="I60" s="1912" t="s">
        <v>1565</v>
      </c>
      <c r="J60" s="1913" t="e">
        <f ca="1">IF(OR(M47="住宅",J51&lt;L48,J56="是"),"0",ROUND(J59/(1+J52)^J53,0))</f>
        <v>#DIV/0!</v>
      </c>
      <c r="K60" s="1914" t="s">
        <v>1566</v>
      </c>
      <c r="L60" s="1913" t="e">
        <f ca="1">IF(OR(M47="住宅",L48&lt;J51),0,ROUND(L57*(L58/L59-1),0))</f>
        <v>#DIV/0!</v>
      </c>
      <c r="O60" s="1881" t="s">
        <v>1044</v>
      </c>
      <c r="P60" s="1872" t="s">
        <v>1567</v>
      </c>
      <c r="Q60" s="1873" t="e">
        <f ca="1">L58</f>
        <v>#DIV/0!</v>
      </c>
      <c r="R60" s="1873" t="s">
        <v>1568</v>
      </c>
    </row>
    <row r="61" spans="1:18" s="1829" customFormat="1" ht="13.5" thickBot="1">
      <c r="A61" s="1189" t="s">
        <v>1492</v>
      </c>
      <c r="B61" s="1157" t="s">
        <v>1493</v>
      </c>
      <c r="C61" s="24">
        <f ca="1">IF(项目基本情况!B11="自然人","——",IF(D61="按租金收入计税",ROUND(C48*F61,0),IF(D61="按房产原值计税",ROUND(C57*F61*0.7,0),INDIRECT("'数据-取费表'!Aj"&amp;$G$1))))</f>
        <v>0</v>
      </c>
      <c r="D61" s="1815" t="s">
        <v>1438</v>
      </c>
      <c r="E61" s="1157" t="s">
        <v>1494</v>
      </c>
      <c r="F61" s="358">
        <f t="shared" si="0"/>
        <v>1.2E-2</v>
      </c>
      <c r="I61" s="1915"/>
      <c r="J61" s="1915"/>
      <c r="K61" s="1915"/>
      <c r="L61" s="1915"/>
      <c r="O61" s="1881" t="s">
        <v>1045</v>
      </c>
      <c r="P61" s="1872" t="str">
        <f>K59</f>
        <v>建设期及建筑物耐用年限下的土地年期修正系数Kn</v>
      </c>
      <c r="Q61" s="1873" t="e">
        <f ca="1">L59</f>
        <v>#DIV/0!</v>
      </c>
      <c r="R61" s="1873" t="s">
        <v>1569</v>
      </c>
    </row>
    <row r="62" spans="1:18" s="1829" customFormat="1" ht="13.5" thickBot="1">
      <c r="A62" s="1189" t="s">
        <v>1495</v>
      </c>
      <c r="B62" s="1156" t="s">
        <v>1496</v>
      </c>
      <c r="C62" s="25">
        <f ca="1">IF(项目基本情况!B11="自然人","——",ROUND(F62*F63,0))</f>
        <v>0</v>
      </c>
      <c r="D62" s="1172" t="s">
        <v>1497</v>
      </c>
      <c r="E62" s="1157" t="s">
        <v>1498</v>
      </c>
      <c r="F62" s="362">
        <f t="shared" si="0"/>
        <v>6</v>
      </c>
      <c r="I62" s="1916" t="s">
        <v>1570</v>
      </c>
      <c r="J62" s="1917" t="s">
        <v>1571</v>
      </c>
      <c r="K62" s="1917" t="s">
        <v>1572</v>
      </c>
      <c r="L62" s="1917" t="s">
        <v>1573</v>
      </c>
      <c r="M62" s="1918" t="s">
        <v>1574</v>
      </c>
      <c r="O62" s="1871" t="s">
        <v>1046</v>
      </c>
      <c r="P62" s="1872" t="s">
        <v>1575</v>
      </c>
      <c r="Q62" s="1873" t="e">
        <f ca="1">Q56+Q57</f>
        <v>#DIV/0!</v>
      </c>
      <c r="R62" s="1873" t="s">
        <v>1047</v>
      </c>
    </row>
    <row r="63" spans="1:18" s="1829" customFormat="1" ht="13.5" thickBot="1">
      <c r="A63" s="363"/>
      <c r="B63" s="1163"/>
      <c r="C63" s="29"/>
      <c r="D63" s="1173"/>
      <c r="E63" s="1157" t="s">
        <v>1499</v>
      </c>
      <c r="F63" s="339">
        <f t="shared" ca="1" si="0"/>
        <v>0</v>
      </c>
      <c r="I63" s="1916" t="s">
        <v>1576</v>
      </c>
      <c r="J63" s="1917">
        <v>70</v>
      </c>
      <c r="K63" s="1917">
        <v>50</v>
      </c>
      <c r="L63" s="1917">
        <v>80</v>
      </c>
      <c r="M63" s="1919">
        <v>0.02</v>
      </c>
      <c r="O63" s="1856" t="s">
        <v>1577</v>
      </c>
      <c r="P63" s="1826"/>
      <c r="Q63" s="1826"/>
      <c r="R63" s="1826"/>
    </row>
    <row r="64" spans="1:18" s="1829" customFormat="1" ht="13.5" thickBot="1">
      <c r="A64" s="1189" t="s">
        <v>1500</v>
      </c>
      <c r="B64" s="1157" t="s">
        <v>1501</v>
      </c>
      <c r="C64" s="24">
        <f ca="1">ROUND(C57*F64,0)</f>
        <v>0</v>
      </c>
      <c r="D64" s="1171" t="s">
        <v>1502</v>
      </c>
      <c r="E64" s="1157" t="s">
        <v>1494</v>
      </c>
      <c r="F64" s="365">
        <f t="shared" ca="1" si="0"/>
        <v>0</v>
      </c>
      <c r="I64" s="1916" t="s">
        <v>1578</v>
      </c>
      <c r="J64" s="1917">
        <v>50</v>
      </c>
      <c r="K64" s="1917">
        <v>35</v>
      </c>
      <c r="L64" s="1917">
        <v>60</v>
      </c>
      <c r="M64" s="1918">
        <v>0</v>
      </c>
      <c r="O64" s="1864" t="s">
        <v>1522</v>
      </c>
      <c r="P64" s="1865" t="s">
        <v>1523</v>
      </c>
      <c r="Q64" s="1866" t="s">
        <v>1524</v>
      </c>
      <c r="R64" s="1866" t="s">
        <v>1525</v>
      </c>
    </row>
    <row r="65" spans="1:18" s="1829" customFormat="1" ht="13.5" thickBot="1">
      <c r="A65" s="1189" t="s">
        <v>1503</v>
      </c>
      <c r="B65" s="1157" t="s">
        <v>1453</v>
      </c>
      <c r="C65" s="24">
        <f ca="1">ROUND(C56*F65,0)</f>
        <v>0</v>
      </c>
      <c r="D65" s="1171" t="s">
        <v>1454</v>
      </c>
      <c r="E65" s="1157" t="s">
        <v>1455</v>
      </c>
      <c r="F65" s="367">
        <f t="shared" ca="1" si="0"/>
        <v>0</v>
      </c>
      <c r="I65" s="1916" t="s">
        <v>1579</v>
      </c>
      <c r="J65" s="1917">
        <v>40</v>
      </c>
      <c r="K65" s="1917">
        <v>30</v>
      </c>
      <c r="L65" s="1917">
        <v>50</v>
      </c>
      <c r="M65" s="1919">
        <v>0.02</v>
      </c>
      <c r="O65" s="1871" t="s">
        <v>1040</v>
      </c>
      <c r="P65" s="1872" t="s">
        <v>1580</v>
      </c>
      <c r="Q65" s="1873" t="e">
        <f ca="1">C40+J29</f>
        <v>#DIV/0!</v>
      </c>
      <c r="R65" s="1873" t="s">
        <v>1529</v>
      </c>
    </row>
    <row r="66" spans="1:18" s="1829" customFormat="1" ht="16.5" thickBot="1">
      <c r="A66" s="1189" t="s">
        <v>1504</v>
      </c>
      <c r="B66" s="1157" t="s">
        <v>1439</v>
      </c>
      <c r="C66" s="24">
        <f ca="1">ROUND(C48*F66,0)</f>
        <v>0</v>
      </c>
      <c r="D66" s="1171" t="s">
        <v>1505</v>
      </c>
      <c r="E66" s="1157" t="s">
        <v>1422</v>
      </c>
      <c r="F66" s="348">
        <f t="shared" ca="1" si="0"/>
        <v>0</v>
      </c>
      <c r="O66" s="1871" t="s">
        <v>1041</v>
      </c>
      <c r="P66" s="1872" t="s">
        <v>1558</v>
      </c>
      <c r="Q66" s="1873" t="e">
        <f ca="1">L60</f>
        <v>#DIV/0!</v>
      </c>
      <c r="R66" s="1873" t="s">
        <v>1581</v>
      </c>
    </row>
    <row r="67" spans="1:18" s="1829" customFormat="1" ht="16.5" thickBot="1">
      <c r="A67" s="1164" t="s">
        <v>1031</v>
      </c>
      <c r="B67" s="1174" t="s">
        <v>1463</v>
      </c>
      <c r="C67" s="352">
        <f ca="1">C48-C58</f>
        <v>0</v>
      </c>
      <c r="D67" s="1170" t="s">
        <v>1464</v>
      </c>
      <c r="E67" s="1175"/>
      <c r="F67" s="1176"/>
      <c r="O67" s="1881" t="s">
        <v>1042</v>
      </c>
      <c r="P67" s="1872" t="s">
        <v>1562</v>
      </c>
      <c r="Q67" s="1920">
        <f ca="1">L51</f>
        <v>0</v>
      </c>
      <c r="R67" s="1873" t="s">
        <v>1582</v>
      </c>
    </row>
    <row r="68" spans="1:18" s="1829" customFormat="1" ht="16.5" thickBot="1">
      <c r="A68" s="1154" t="s">
        <v>1032</v>
      </c>
      <c r="B68" s="1155" t="s">
        <v>1485</v>
      </c>
      <c r="C68" s="337" t="e">
        <f ca="1">ROUND(C67*(1-((1+F70)/(1+F68))^F69)/(F68-F70),0)</f>
        <v>#DIV/0!</v>
      </c>
      <c r="D68" s="1172" t="s">
        <v>1469</v>
      </c>
      <c r="E68" s="1157" t="s">
        <v>1470</v>
      </c>
      <c r="F68" s="348">
        <f ca="1">F40</f>
        <v>0</v>
      </c>
      <c r="O68" s="1881" t="s">
        <v>1043</v>
      </c>
      <c r="P68" s="1921" t="s">
        <v>1583</v>
      </c>
      <c r="Q68" s="1873">
        <f ca="1">ROUND(Q69-Q70*Q71,0)</f>
        <v>0</v>
      </c>
      <c r="R68" s="1873" t="s">
        <v>1051</v>
      </c>
    </row>
    <row r="69" spans="1:18" s="1829" customFormat="1" ht="13.5" thickBot="1">
      <c r="A69" s="1158"/>
      <c r="B69" s="1159"/>
      <c r="C69" s="342"/>
      <c r="D69" s="1177" t="s">
        <v>1473</v>
      </c>
      <c r="E69" s="1157" t="s">
        <v>1474</v>
      </c>
      <c r="F69" s="370">
        <f ca="1">F41</f>
        <v>0</v>
      </c>
      <c r="O69" s="1881" t="s">
        <v>1048</v>
      </c>
      <c r="P69" s="1921" t="s">
        <v>1584</v>
      </c>
      <c r="Q69" s="1873">
        <f ca="1">C39</f>
        <v>0</v>
      </c>
      <c r="R69" s="1873" t="s">
        <v>1529</v>
      </c>
    </row>
    <row r="70" spans="1:18" s="1829" customFormat="1" ht="13.5" thickBot="1">
      <c r="A70" s="1161"/>
      <c r="B70" s="1162"/>
      <c r="C70" s="346"/>
      <c r="D70" s="1173"/>
      <c r="E70" s="1157" t="s">
        <v>1477</v>
      </c>
      <c r="F70" s="1263">
        <f ca="1">F42</f>
        <v>0</v>
      </c>
      <c r="O70" s="1881" t="s">
        <v>1049</v>
      </c>
      <c r="P70" s="1921" t="s">
        <v>1585</v>
      </c>
      <c r="Q70" s="1873">
        <f ca="1">C13</f>
        <v>0</v>
      </c>
      <c r="R70" s="1873" t="s">
        <v>1529</v>
      </c>
    </row>
    <row r="71" spans="1:18" s="1829" customFormat="1" ht="13.5" thickBot="1">
      <c r="A71" s="1178" t="s">
        <v>1033</v>
      </c>
      <c r="B71" s="1179" t="s">
        <v>1487</v>
      </c>
      <c r="C71" s="373" t="e">
        <f ca="1">ROUND(C68/F71,0)</f>
        <v>#DIV/0!</v>
      </c>
      <c r="D71" s="1180" t="s">
        <v>1488</v>
      </c>
      <c r="E71" s="1181" t="s">
        <v>1489</v>
      </c>
      <c r="F71" s="376">
        <f ca="1">F43</f>
        <v>0</v>
      </c>
      <c r="O71" s="1881" t="s">
        <v>1050</v>
      </c>
      <c r="P71" s="1921" t="s">
        <v>1586</v>
      </c>
      <c r="Q71" s="1884">
        <f ca="1">C76</f>
        <v>0</v>
      </c>
      <c r="R71" s="1873"/>
    </row>
    <row r="72" spans="1:18" s="1829" customFormat="1" ht="13.5" thickBot="1">
      <c r="B72" s="787"/>
      <c r="C72" s="787"/>
      <c r="O72" s="1881" t="s">
        <v>1044</v>
      </c>
      <c r="P72" s="1872" t="s">
        <v>1564</v>
      </c>
      <c r="Q72" s="1884">
        <f>L52</f>
        <v>0</v>
      </c>
      <c r="R72" s="1873"/>
    </row>
    <row r="73" spans="1:18" ht="16.5" thickBot="1">
      <c r="A73" s="1829"/>
      <c r="B73" s="787"/>
      <c r="C73" s="787"/>
      <c r="D73" s="1829"/>
      <c r="E73" s="1829"/>
      <c r="F73" s="1829"/>
      <c r="O73" s="1881" t="s">
        <v>1045</v>
      </c>
      <c r="P73" s="1872" t="s">
        <v>1567</v>
      </c>
      <c r="Q73" s="1873" t="e">
        <f ca="1">L58</f>
        <v>#DIV/0!</v>
      </c>
      <c r="R73" s="1873" t="s">
        <v>1568</v>
      </c>
    </row>
    <row r="74" spans="1:18" ht="13.5" thickBot="1">
      <c r="A74" s="1829"/>
      <c r="B74" s="308" t="s">
        <v>1587</v>
      </c>
      <c r="C74" s="1923"/>
      <c r="D74" s="1829"/>
      <c r="E74" s="1829"/>
      <c r="F74" s="1829"/>
      <c r="O74" s="1881" t="s">
        <v>1052</v>
      </c>
      <c r="P74" s="1872" t="str">
        <f>K59</f>
        <v>建设期及建筑物耐用年限下的土地年期修正系数Kn</v>
      </c>
      <c r="Q74" s="1873" t="e">
        <f ca="1">L59</f>
        <v>#DIV/0!</v>
      </c>
      <c r="R74" s="1873" t="s">
        <v>1569</v>
      </c>
    </row>
    <row r="75" spans="1:18" ht="13.5" thickBot="1">
      <c r="A75" s="1829"/>
      <c r="B75" s="377" t="s">
        <v>1506</v>
      </c>
      <c r="C75" s="378">
        <f ca="1">ROUND(C13*C76,0)</f>
        <v>0</v>
      </c>
      <c r="D75" s="1829"/>
      <c r="E75" s="1829"/>
      <c r="F75" s="1829"/>
      <c r="K75" s="1855"/>
      <c r="L75" s="1829"/>
      <c r="O75" s="1871" t="s">
        <v>1046</v>
      </c>
      <c r="P75" s="1872" t="s">
        <v>1549</v>
      </c>
      <c r="Q75" s="1873" t="e">
        <f ca="1">Q65+Q66</f>
        <v>#DIV/0!</v>
      </c>
      <c r="R75" s="1873" t="s">
        <v>1047</v>
      </c>
    </row>
    <row r="76" spans="1:18">
      <c r="B76" s="379" t="s">
        <v>1507</v>
      </c>
      <c r="C76" s="380">
        <f ca="1">INDIRECT("'数据-取费表'!j"&amp;$G$1)</f>
        <v>0</v>
      </c>
      <c r="I76" s="1829"/>
      <c r="J76" s="1829"/>
      <c r="K76" s="1855"/>
      <c r="L76" s="1829"/>
    </row>
    <row r="77" spans="1:18">
      <c r="B77" s="381" t="s">
        <v>1508</v>
      </c>
      <c r="C77" s="382"/>
      <c r="I77" s="1829"/>
      <c r="J77" s="1829"/>
      <c r="K77" s="1855"/>
      <c r="L77" s="1829"/>
    </row>
    <row r="78" spans="1:18">
      <c r="B78" s="305" t="s">
        <v>1509</v>
      </c>
      <c r="C78" s="383"/>
    </row>
    <row r="79" spans="1:18">
      <c r="B79" s="377" t="s">
        <v>1510</v>
      </c>
      <c r="C79" s="309" t="e">
        <f ca="1">1-C80</f>
        <v>#DIV/0!</v>
      </c>
    </row>
    <row r="80" spans="1:18">
      <c r="B80" s="377" t="s">
        <v>1511</v>
      </c>
      <c r="C80" s="309" t="e">
        <f ca="1">ROUND(C75/C39,3)</f>
        <v>#DIV/0!</v>
      </c>
    </row>
    <row r="81" spans="2:3">
      <c r="B81" s="305" t="s">
        <v>1512</v>
      </c>
      <c r="C81" s="273"/>
    </row>
    <row r="82" spans="2:3">
      <c r="B82" s="308" t="s">
        <v>1513</v>
      </c>
      <c r="C82" s="310" t="e">
        <f ca="1">1-C83</f>
        <v>#DIV/0!</v>
      </c>
    </row>
    <row r="83" spans="2:3">
      <c r="B83" s="308" t="s">
        <v>1514</v>
      </c>
      <c r="C83" s="309"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32" customWidth="1"/>
    <col min="2" max="16384" width="9" style="1932"/>
  </cols>
  <sheetData>
    <row r="1" spans="1:1" ht="23.25">
      <c r="A1" s="1931" t="s">
        <v>1611</v>
      </c>
    </row>
    <row r="2" spans="1:1">
      <c r="A2" s="1933"/>
    </row>
    <row r="3" spans="1:1" ht="18">
      <c r="A3" s="1934" t="str">
        <f>项目基本情况!B5&amp;"："</f>
        <v>：</v>
      </c>
    </row>
    <row r="4" spans="1:1" ht="36">
      <c r="A4" s="1935" t="str">
        <f>"受贵公司委托，我公司对"&amp;项目基本情况!S1&amp;"进行了预评估。"</f>
        <v>受贵公司委托，我公司对出让国有建设用地使用权及在建建筑物房地产抵押价值进行了预评估。</v>
      </c>
    </row>
    <row r="5" spans="1:1" ht="18.75">
      <c r="A5" s="1936" t="s">
        <v>1612</v>
      </c>
    </row>
    <row r="6" spans="1:1" ht="18.75">
      <c r="A6" s="1937" t="s">
        <v>1613</v>
      </c>
    </row>
    <row r="7" spans="1:1" ht="54">
      <c r="A7" s="19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估价对象为出让国有建设用地使用权及在建建筑物房地产，为所有。根据《国有土地使用证》[]，估价对象（分摊）出让国有建设用地使用权面积为8573.39平方米，建筑面积为20428.608平方米。</v>
      </c>
    </row>
    <row r="8" spans="1:1" ht="57.75">
      <c r="A8" s="1938" t="s">
        <v>1614</v>
      </c>
    </row>
    <row r="9" spans="1:1" ht="18.75">
      <c r="A9" s="1937" t="s">
        <v>1615</v>
      </c>
    </row>
    <row r="10" spans="1:1" ht="54">
      <c r="A10" s="19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8573.39平方米，规划建筑面积为20428.608平方米。</v>
      </c>
    </row>
    <row r="11" spans="1:1" ht="76.5">
      <c r="A11" s="1938" t="s">
        <v>1616</v>
      </c>
    </row>
    <row r="12" spans="1:1" ht="18.75">
      <c r="A12" s="1936" t="s">
        <v>1617</v>
      </c>
    </row>
    <row r="13" spans="1:1" ht="38.25" customHeight="1">
      <c r="A13" s="1939" t="str">
        <f>IF(项目基本情况!B8="抵押",IF(项目基本情况!B5=项目基本情况!B6,定义!C51,定义!B51),定义!D51)</f>
        <v>为估价委托人了解估价对象房地产市场价值提供参考依据。</v>
      </c>
    </row>
    <row r="14" spans="1:1" ht="18.75">
      <c r="A14" s="1940" t="s">
        <v>1618</v>
      </c>
    </row>
    <row r="15" spans="1:1" ht="18">
      <c r="A15" s="1941" t="str">
        <f>TEXT(项目基本情况!D3,"yyyy年m月d日;;")&amp;IF(项目基本情况!D3=项目基本情况!B3,"（评估专业人员实地查勘之日）","")</f>
        <v>2019年2月19日（评估专业人员实地查勘之日）</v>
      </c>
    </row>
    <row r="16" spans="1:1" ht="18.75">
      <c r="A16" s="1940" t="s">
        <v>1619</v>
      </c>
    </row>
    <row r="17" spans="1:1" ht="75">
      <c r="A17" s="1935" t="s">
        <v>1620</v>
      </c>
    </row>
    <row r="18" spans="1:1" ht="72">
      <c r="A18" s="19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2月19日，估价对象规划用途为，土地取得方式为出让，出让国有建设用地使用权剩余土地使用年限为住宅63.7年、商业33.7年、地下车库43.7年，假定未设立法定优先受偿款下的房地产市场价值。</v>
      </c>
    </row>
    <row r="19" spans="1:1" ht="157.5" customHeight="1">
      <c r="A19" s="19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住宅63.7年、商业33.7年、地下车库43.7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0" t="s">
        <v>1609</v>
      </c>
    </row>
    <row r="24" spans="1:1" ht="18">
      <c r="A24" s="1942" t="str">
        <f>"本次评估采用的主估价方法为"&amp;结果表!K4&amp;"和"&amp;结果表!L4&amp;"。"</f>
        <v>本次评估采用的主估价方法为成本法和假设开发法。</v>
      </c>
    </row>
    <row r="25" spans="1:1" ht="18">
      <c r="A25" s="1942"/>
    </row>
    <row r="26" spans="1:1" ht="18.75">
      <c r="A26" s="1943" t="s">
        <v>1610</v>
      </c>
    </row>
    <row r="27" spans="1:1">
      <c r="A27" s="1944"/>
    </row>
    <row r="28" spans="1:1">
      <c r="A28" s="1944"/>
    </row>
    <row r="29" spans="1:1">
      <c r="A29" s="1944"/>
    </row>
    <row r="30" spans="1:1">
      <c r="A30" s="1944"/>
    </row>
    <row r="31" spans="1:1">
      <c r="A31" s="1944"/>
    </row>
    <row r="32" spans="1:1">
      <c r="A32" s="1944"/>
    </row>
    <row r="33" spans="1:1">
      <c r="A33" s="1944"/>
    </row>
    <row r="34" spans="1:1">
      <c r="A34" s="1944"/>
    </row>
    <row r="35" spans="1:1">
      <c r="A35" s="1944"/>
    </row>
    <row r="36" spans="1:1">
      <c r="A36" s="1944"/>
    </row>
    <row r="37" spans="1:1">
      <c r="A37" s="1944"/>
    </row>
    <row r="38" spans="1:1">
      <c r="A38" s="1944"/>
    </row>
    <row r="39" spans="1:1">
      <c r="A39" s="1944"/>
    </row>
    <row r="40" spans="1:1">
      <c r="A40" s="1944"/>
    </row>
    <row r="41" spans="1:1">
      <c r="A41" s="1944"/>
    </row>
    <row r="42" spans="1:1">
      <c r="A42" s="1944"/>
    </row>
    <row r="43" spans="1:1">
      <c r="A43" s="1944"/>
    </row>
    <row r="44" spans="1:1">
      <c r="A44" s="1944"/>
    </row>
    <row r="45" spans="1:1">
      <c r="A45" s="1944"/>
    </row>
    <row r="46" spans="1:1">
      <c r="A46" s="1944"/>
    </row>
    <row r="47" spans="1:1">
      <c r="A47" s="1944"/>
    </row>
    <row r="48" spans="1:1">
      <c r="A48" s="194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32" customWidth="1"/>
    <col min="2" max="2" width="12" style="1932" customWidth="1"/>
    <col min="3" max="3" width="9" style="1932"/>
    <col min="4" max="4" width="14.125" style="1932" customWidth="1"/>
    <col min="5" max="5" width="9" style="1932"/>
    <col min="6" max="6" width="12.875" style="1932" customWidth="1"/>
    <col min="7" max="16384" width="9" style="1932"/>
  </cols>
  <sheetData>
    <row r="1" spans="1:6" ht="21">
      <c r="A1" s="2551" t="s">
        <v>2516</v>
      </c>
      <c r="B1" s="2552"/>
      <c r="C1" s="2552"/>
      <c r="D1" s="2552"/>
      <c r="E1" s="2553"/>
    </row>
    <row r="2" spans="1:6" ht="15.75">
      <c r="A2" s="2554" t="s">
        <v>2320</v>
      </c>
      <c r="B2" s="2555">
        <f ca="1">SUMIF(B6:B13,"&lt;&gt;#ref!",B6:B13)</f>
        <v>22361</v>
      </c>
      <c r="C2" s="2556" t="s">
        <v>2509</v>
      </c>
      <c r="D2" s="2557" t="s">
        <v>2510</v>
      </c>
      <c r="E2" s="2558">
        <f>SUM(E6:E13)</f>
        <v>20428.607999999997</v>
      </c>
    </row>
    <row r="3" spans="1:6" ht="15.75">
      <c r="A3" s="2554" t="s">
        <v>1395</v>
      </c>
      <c r="B3" s="2555">
        <f ca="1">ROUND(B2*10000/E2,0)</f>
        <v>10946</v>
      </c>
      <c r="C3" s="2556" t="s">
        <v>2517</v>
      </c>
      <c r="D3" s="2559"/>
      <c r="E3" s="2560"/>
    </row>
    <row r="4" spans="1:6" ht="15.75">
      <c r="A4" s="2561"/>
      <c r="B4" s="2559"/>
      <c r="C4" s="2559"/>
      <c r="D4" s="2559"/>
      <c r="E4" s="2560"/>
    </row>
    <row r="5" spans="1:6" ht="15">
      <c r="A5" s="2562" t="s">
        <v>2511</v>
      </c>
      <c r="B5" s="3325" t="s">
        <v>2512</v>
      </c>
      <c r="C5" s="3325"/>
      <c r="D5" s="2563"/>
      <c r="E5" s="2564" t="s">
        <v>2513</v>
      </c>
      <c r="F5" s="2565" t="s">
        <v>2514</v>
      </c>
    </row>
    <row r="6" spans="1:6">
      <c r="A6" s="2566" t="str">
        <f>'数据-取费表'!AN6</f>
        <v>地上商业</v>
      </c>
      <c r="B6" s="2565">
        <f ca="1">IF(F6="是",'数据-取费表'!AO6,0)</f>
        <v>22361</v>
      </c>
      <c r="C6" s="2556" t="s">
        <v>2509</v>
      </c>
      <c r="D6" s="2559"/>
      <c r="E6" s="2567">
        <f>IF(OR(A6=0,F6="否"),0,'数据-取费表'!K6+'数据-取费表'!S6)</f>
        <v>20428.607999999997</v>
      </c>
      <c r="F6" s="2568" t="s">
        <v>2515</v>
      </c>
    </row>
    <row r="7" spans="1:6">
      <c r="A7" s="2566">
        <f>'数据-取费表'!AN7</f>
        <v>0</v>
      </c>
      <c r="B7" s="2565" t="e">
        <f ca="1">IF(F7="是",'数据-取费表'!AO7,0)</f>
        <v>#REF!</v>
      </c>
      <c r="C7" s="2556" t="s">
        <v>2509</v>
      </c>
      <c r="D7" s="2559"/>
      <c r="E7" s="2567">
        <f>IF(OR(A7=0,F7="否"),0,'数据-取费表'!K7+'数据-取费表'!S7)</f>
        <v>0</v>
      </c>
      <c r="F7" s="2568" t="s">
        <v>2515</v>
      </c>
    </row>
    <row r="8" spans="1:6">
      <c r="A8" s="2566">
        <f>'数据-取费表'!AN8</f>
        <v>0</v>
      </c>
      <c r="B8" s="2565" t="e">
        <f ca="1">IF(F8="是",'数据-取费表'!AO8,0)</f>
        <v>#REF!</v>
      </c>
      <c r="C8" s="2556" t="s">
        <v>2509</v>
      </c>
      <c r="D8" s="2559"/>
      <c r="E8" s="2567">
        <f>IF(OR(A8=0,F8="否"),0,'数据-取费表'!K8+'数据-取费表'!S8)</f>
        <v>0</v>
      </c>
      <c r="F8" s="2568" t="s">
        <v>2515</v>
      </c>
    </row>
    <row r="9" spans="1:6">
      <c r="A9" s="2566">
        <f>'数据-取费表'!AN9</f>
        <v>0</v>
      </c>
      <c r="B9" s="2565" t="e">
        <f ca="1">IF(F9="是",'数据-取费表'!AO9,0)</f>
        <v>#REF!</v>
      </c>
      <c r="C9" s="2556" t="s">
        <v>2509</v>
      </c>
      <c r="D9" s="2559"/>
      <c r="E9" s="2567">
        <f>IF(OR(A9=0,F9="否"),0,'数据-取费表'!K9+'数据-取费表'!S9)</f>
        <v>0</v>
      </c>
      <c r="F9" s="2568" t="s">
        <v>2515</v>
      </c>
    </row>
    <row r="10" spans="1:6">
      <c r="A10" s="2566">
        <f>'数据-取费表'!AN10</f>
        <v>0</v>
      </c>
      <c r="B10" s="2565" t="e">
        <f ca="1">IF(F10="是",'数据-取费表'!AO10,0)</f>
        <v>#REF!</v>
      </c>
      <c r="C10" s="2556" t="s">
        <v>2509</v>
      </c>
      <c r="D10" s="2559"/>
      <c r="E10" s="2567">
        <f>IF(OR(A10=0,F10="否"),0,'数据-取费表'!K10+'数据-取费表'!S10)</f>
        <v>0</v>
      </c>
      <c r="F10" s="2568" t="s">
        <v>2515</v>
      </c>
    </row>
    <row r="11" spans="1:6">
      <c r="A11" s="2566">
        <f>'数据-取费表'!AN11</f>
        <v>0</v>
      </c>
      <c r="B11" s="2565" t="e">
        <f ca="1">IF(F11="是",'数据-取费表'!AO11,0)</f>
        <v>#REF!</v>
      </c>
      <c r="C11" s="2556" t="s">
        <v>2509</v>
      </c>
      <c r="D11" s="2559"/>
      <c r="E11" s="2567">
        <f>IF(OR(A11=0,F11="否"),0,'数据-取费表'!K11+'数据-取费表'!S11)</f>
        <v>0</v>
      </c>
      <c r="F11" s="2568" t="s">
        <v>2515</v>
      </c>
    </row>
    <row r="12" spans="1:6">
      <c r="A12" s="2566">
        <f>'数据-取费表'!AN12</f>
        <v>0</v>
      </c>
      <c r="B12" s="2565" t="e">
        <f ca="1">IF(F12="是",'数据-取费表'!AO12,0)</f>
        <v>#REF!</v>
      </c>
      <c r="C12" s="2556" t="s">
        <v>2509</v>
      </c>
      <c r="D12" s="2559"/>
      <c r="E12" s="2567">
        <f>IF(OR(A12=0,F12="否"),0,'数据-取费表'!K12+'数据-取费表'!S12)</f>
        <v>0</v>
      </c>
      <c r="F12" s="2568" t="s">
        <v>2515</v>
      </c>
    </row>
    <row r="13" spans="1:6" ht="15" thickBot="1">
      <c r="A13" s="2569">
        <f>'数据-取费表'!AN13</f>
        <v>0</v>
      </c>
      <c r="B13" s="2565" t="e">
        <f ca="1">IF(F13="是",'数据-取费表'!AO13,0)</f>
        <v>#REF!</v>
      </c>
      <c r="C13" s="2570" t="s">
        <v>2509</v>
      </c>
      <c r="D13" s="2571"/>
      <c r="E13" s="2567">
        <f>IF(OR(A13=0,F13="否"),0,'数据-取费表'!K13+'数据-取费表'!S13)</f>
        <v>0</v>
      </c>
      <c r="F13" s="2568" t="s">
        <v>2515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26" t="s">
        <v>1076</v>
      </c>
      <c r="B1" s="3327"/>
      <c r="C1" s="3328"/>
      <c r="D1" s="3329">
        <f>SUM(I10,I15,I20,I21,I23)</f>
        <v>0</v>
      </c>
      <c r="E1" s="3329"/>
      <c r="F1" s="3329"/>
      <c r="G1" s="3329"/>
      <c r="H1" s="3329"/>
      <c r="I1" s="3330"/>
    </row>
    <row r="2" spans="1:9">
      <c r="A2" s="3331" t="s">
        <v>1077</v>
      </c>
      <c r="B2" s="3332" t="s">
        <v>1078</v>
      </c>
      <c r="C2" s="3332"/>
      <c r="D2" s="1289" t="s">
        <v>1079</v>
      </c>
      <c r="E2" s="1289" t="s">
        <v>1080</v>
      </c>
      <c r="F2" s="1289" t="s">
        <v>1081</v>
      </c>
      <c r="G2" s="1289" t="s">
        <v>1082</v>
      </c>
      <c r="H2" s="1289" t="s">
        <v>1083</v>
      </c>
      <c r="I2" s="1290" t="s">
        <v>1084</v>
      </c>
    </row>
    <row r="3" spans="1:9">
      <c r="A3" s="3331"/>
      <c r="B3" s="3332" t="s">
        <v>1085</v>
      </c>
      <c r="C3" s="3332"/>
      <c r="D3" s="1291"/>
      <c r="E3" s="1289"/>
      <c r="F3" s="1292"/>
      <c r="G3" s="1292"/>
      <c r="H3" s="1293"/>
      <c r="I3" s="1294">
        <f>ROUND(D3*E3*F3*G3*H3/10000,0)</f>
        <v>0</v>
      </c>
    </row>
    <row r="4" spans="1:9">
      <c r="A4" s="3331"/>
      <c r="B4" s="3332" t="s">
        <v>1086</v>
      </c>
      <c r="C4" s="3332"/>
      <c r="D4" s="1291"/>
      <c r="E4" s="1289"/>
      <c r="F4" s="1292"/>
      <c r="G4" s="1292"/>
      <c r="H4" s="1293"/>
      <c r="I4" s="1294">
        <f t="shared" ref="I4:I9" si="0">ROUND(D4*E4*F4*G4*H4/10000,0)</f>
        <v>0</v>
      </c>
    </row>
    <row r="5" spans="1:9">
      <c r="A5" s="3331"/>
      <c r="B5" s="3332" t="s">
        <v>1087</v>
      </c>
      <c r="C5" s="3332"/>
      <c r="D5" s="1291"/>
      <c r="E5" s="1289"/>
      <c r="F5" s="1292"/>
      <c r="G5" s="1292"/>
      <c r="H5" s="1293"/>
      <c r="I5" s="1294">
        <f t="shared" si="0"/>
        <v>0</v>
      </c>
    </row>
    <row r="6" spans="1:9">
      <c r="A6" s="3331"/>
      <c r="B6" s="3332" t="s">
        <v>1088</v>
      </c>
      <c r="C6" s="3332"/>
      <c r="D6" s="1291"/>
      <c r="E6" s="1289"/>
      <c r="F6" s="1292"/>
      <c r="G6" s="1292"/>
      <c r="H6" s="1293"/>
      <c r="I6" s="1294">
        <f t="shared" si="0"/>
        <v>0</v>
      </c>
    </row>
    <row r="7" spans="1:9">
      <c r="A7" s="3331"/>
      <c r="B7" s="3332" t="s">
        <v>1089</v>
      </c>
      <c r="C7" s="3332"/>
      <c r="D7" s="1291"/>
      <c r="E7" s="1289"/>
      <c r="F7" s="1292"/>
      <c r="G7" s="1292"/>
      <c r="H7" s="1293"/>
      <c r="I7" s="1294">
        <f t="shared" si="0"/>
        <v>0</v>
      </c>
    </row>
    <row r="8" spans="1:9">
      <c r="A8" s="3331"/>
      <c r="B8" s="3332" t="s">
        <v>1090</v>
      </c>
      <c r="C8" s="3332"/>
      <c r="D8" s="1291"/>
      <c r="E8" s="1289"/>
      <c r="F8" s="1292"/>
      <c r="G8" s="1292"/>
      <c r="H8" s="1293"/>
      <c r="I8" s="1294">
        <f t="shared" si="0"/>
        <v>0</v>
      </c>
    </row>
    <row r="9" spans="1:9">
      <c r="A9" s="3331"/>
      <c r="B9" s="3332" t="s">
        <v>1091</v>
      </c>
      <c r="C9" s="3332"/>
      <c r="D9" s="1291"/>
      <c r="E9" s="1289"/>
      <c r="F9" s="1292"/>
      <c r="G9" s="1292"/>
      <c r="H9" s="1293"/>
      <c r="I9" s="1294">
        <f t="shared" si="0"/>
        <v>0</v>
      </c>
    </row>
    <row r="10" spans="1:9">
      <c r="A10" s="3331"/>
      <c r="B10" s="3333" t="s">
        <v>1092</v>
      </c>
      <c r="C10" s="3333"/>
      <c r="D10" s="1295"/>
      <c r="E10" s="1295" t="e">
        <f>ROUND(D1*10000/D10/H9,0)</f>
        <v>#DIV/0!</v>
      </c>
      <c r="F10" s="1296"/>
      <c r="G10" s="1296"/>
      <c r="H10" s="1297"/>
      <c r="I10" s="1298">
        <f>SUM(I3:I9)</f>
        <v>0</v>
      </c>
    </row>
    <row r="11" spans="1:9" ht="14.25">
      <c r="A11" s="3331" t="s">
        <v>1093</v>
      </c>
      <c r="B11" s="3332" t="s">
        <v>1094</v>
      </c>
      <c r="C11" s="3332"/>
      <c r="D11" s="1291" t="s">
        <v>1095</v>
      </c>
      <c r="E11" s="1291" t="s">
        <v>1096</v>
      </c>
      <c r="F11" s="1292" t="s">
        <v>1097</v>
      </c>
      <c r="G11" s="1292" t="s">
        <v>1083</v>
      </c>
      <c r="H11" s="1299" t="s">
        <v>1098</v>
      </c>
      <c r="I11" s="1290" t="s">
        <v>1084</v>
      </c>
    </row>
    <row r="12" spans="1:9">
      <c r="A12" s="3331"/>
      <c r="B12" s="3332" t="s">
        <v>1099</v>
      </c>
      <c r="C12" s="3332"/>
      <c r="D12" s="1291"/>
      <c r="E12" s="1291"/>
      <c r="F12" s="1292"/>
      <c r="G12" s="1293"/>
      <c r="H12" s="1300"/>
      <c r="I12" s="1290">
        <f>ROUND(D12*E12*F12*G12/10000,0)</f>
        <v>0</v>
      </c>
    </row>
    <row r="13" spans="1:9">
      <c r="A13" s="3331"/>
      <c r="B13" s="3332" t="s">
        <v>1100</v>
      </c>
      <c r="C13" s="3332"/>
      <c r="D13" s="1291"/>
      <c r="E13" s="1291"/>
      <c r="F13" s="1292"/>
      <c r="G13" s="1293"/>
      <c r="H13" s="1300"/>
      <c r="I13" s="1290">
        <f>ROUND(D13*E13*F13*G13/10000,0)</f>
        <v>0</v>
      </c>
    </row>
    <row r="14" spans="1:9">
      <c r="A14" s="3331"/>
      <c r="B14" s="3332" t="s">
        <v>1101</v>
      </c>
      <c r="C14" s="3332"/>
      <c r="D14" s="1291"/>
      <c r="E14" s="1291"/>
      <c r="F14" s="1292"/>
      <c r="G14" s="1293"/>
      <c r="H14" s="1300"/>
      <c r="I14" s="1290">
        <f>ROUND(D14*E14*F14*G14/10000,0)</f>
        <v>0</v>
      </c>
    </row>
    <row r="15" spans="1:9">
      <c r="A15" s="3331"/>
      <c r="B15" s="3333" t="s">
        <v>1092</v>
      </c>
      <c r="C15" s="3333"/>
      <c r="D15" s="1295"/>
      <c r="E15" s="1295">
        <f>SUM(E12:E14)</f>
        <v>0</v>
      </c>
      <c r="F15" s="1296"/>
      <c r="G15" s="1293"/>
      <c r="H15" s="1300"/>
      <c r="I15" s="1301">
        <f>SUM(I12:I14)</f>
        <v>0</v>
      </c>
    </row>
    <row r="16" spans="1:9" ht="24">
      <c r="A16" s="3331" t="s">
        <v>1102</v>
      </c>
      <c r="B16" s="3332" t="s">
        <v>1103</v>
      </c>
      <c r="C16" s="3332"/>
      <c r="D16" s="1291" t="s">
        <v>1079</v>
      </c>
      <c r="E16" s="1302" t="s">
        <v>1104</v>
      </c>
      <c r="F16" s="1292" t="s">
        <v>1105</v>
      </c>
      <c r="G16" s="1293" t="s">
        <v>1083</v>
      </c>
      <c r="H16" s="1299" t="s">
        <v>1098</v>
      </c>
      <c r="I16" s="1290" t="s">
        <v>1084</v>
      </c>
    </row>
    <row r="17" spans="1:9" ht="14.25">
      <c r="A17" s="3331"/>
      <c r="B17" s="3332" t="s">
        <v>1106</v>
      </c>
      <c r="C17" s="3332"/>
      <c r="D17" s="1291"/>
      <c r="E17" s="1291"/>
      <c r="F17" s="1292"/>
      <c r="G17" s="1293"/>
      <c r="H17" s="1303"/>
      <c r="I17" s="1304">
        <f>ROUND(D17*E17*F17*G17/10000,0)</f>
        <v>0</v>
      </c>
    </row>
    <row r="18" spans="1:9" ht="14.25">
      <c r="A18" s="3331"/>
      <c r="B18" s="3332" t="s">
        <v>1107</v>
      </c>
      <c r="C18" s="3332"/>
      <c r="D18" s="1291"/>
      <c r="E18" s="1291"/>
      <c r="F18" s="1292"/>
      <c r="G18" s="1293"/>
      <c r="H18" s="1303"/>
      <c r="I18" s="1304">
        <f>ROUND(D18*E18*F18*G18/10000,0)</f>
        <v>0</v>
      </c>
    </row>
    <row r="19" spans="1:9" ht="14.25">
      <c r="A19" s="3331"/>
      <c r="B19" s="3332" t="s">
        <v>1108</v>
      </c>
      <c r="C19" s="3332"/>
      <c r="D19" s="1291"/>
      <c r="E19" s="1291"/>
      <c r="F19" s="1292"/>
      <c r="G19" s="1293"/>
      <c r="H19" s="1303"/>
      <c r="I19" s="1304">
        <f>ROUND(D19*E19*F19*G19/10000,0)</f>
        <v>0</v>
      </c>
    </row>
    <row r="20" spans="1:9">
      <c r="A20" s="3331"/>
      <c r="B20" s="3333" t="s">
        <v>1092</v>
      </c>
      <c r="C20" s="3333"/>
      <c r="D20" s="1295">
        <f>SUM(D17:D19)</f>
        <v>0</v>
      </c>
      <c r="E20" s="1295"/>
      <c r="F20" s="1296"/>
      <c r="G20" s="1293"/>
      <c r="H20" s="1300"/>
      <c r="I20" s="1301">
        <f>SUM(I17:I19)</f>
        <v>0</v>
      </c>
    </row>
    <row r="21" spans="1:9">
      <c r="A21" s="3331" t="s">
        <v>1109</v>
      </c>
      <c r="B21" s="3335"/>
      <c r="C21" s="3335"/>
      <c r="D21" s="3335"/>
      <c r="E21" s="3335"/>
      <c r="F21" s="3335"/>
      <c r="G21" s="3335"/>
      <c r="H21" s="1752">
        <v>0.1</v>
      </c>
      <c r="I21" s="1298">
        <f>ROUND(I10*H21,0)</f>
        <v>0</v>
      </c>
    </row>
    <row r="22" spans="1:9" ht="14.25">
      <c r="A22" s="3336" t="s">
        <v>1110</v>
      </c>
      <c r="B22" s="3337"/>
      <c r="C22" s="3338"/>
      <c r="D22" s="1305" t="s">
        <v>1111</v>
      </c>
      <c r="E22" s="1305" t="s">
        <v>1112</v>
      </c>
      <c r="F22" s="1306" t="s">
        <v>1113</v>
      </c>
      <c r="G22" s="1306" t="s">
        <v>1114</v>
      </c>
      <c r="H22" s="1299" t="s">
        <v>1115</v>
      </c>
      <c r="I22" s="1290" t="s">
        <v>1116</v>
      </c>
    </row>
    <row r="23" spans="1:9" ht="14.25" thickBot="1">
      <c r="A23" s="3339"/>
      <c r="B23" s="3340"/>
      <c r="C23" s="3341"/>
      <c r="D23" s="1307"/>
      <c r="E23" s="1307"/>
      <c r="F23" s="1307"/>
      <c r="G23" s="1308"/>
      <c r="H23" s="1309"/>
      <c r="I23" s="1310">
        <f>ROUND(E23*D23*F23*(1-G23)/10000,0)</f>
        <v>0</v>
      </c>
    </row>
    <row r="26" spans="1:9">
      <c r="A26" s="1311" t="s">
        <v>1117</v>
      </c>
      <c r="B26" s="1311"/>
      <c r="C26" s="1311"/>
      <c r="D26" s="1311"/>
      <c r="E26" s="3342">
        <f>C27-C30-C31-C32</f>
        <v>0</v>
      </c>
      <c r="F26" s="3342"/>
      <c r="G26" s="3342"/>
      <c r="H26" s="1724" t="s">
        <v>1340</v>
      </c>
    </row>
    <row r="27" spans="1:9">
      <c r="A27" s="1312">
        <v>1</v>
      </c>
      <c r="B27" s="1313" t="s">
        <v>1118</v>
      </c>
      <c r="C27" s="1313">
        <f>C28+C29</f>
        <v>0</v>
      </c>
      <c r="D27" s="1313"/>
      <c r="E27" s="3343"/>
      <c r="F27" s="3343"/>
      <c r="G27" s="3343"/>
    </row>
    <row r="28" spans="1:9">
      <c r="A28" s="1314" t="s">
        <v>1119</v>
      </c>
      <c r="B28" s="1313" t="s">
        <v>1120</v>
      </c>
      <c r="C28" s="1313"/>
      <c r="D28" s="1313"/>
      <c r="E28" s="3343"/>
      <c r="F28" s="3343"/>
      <c r="G28" s="3343"/>
    </row>
    <row r="29" spans="1:9">
      <c r="A29" s="1314" t="s">
        <v>1121</v>
      </c>
      <c r="B29" s="1313" t="s">
        <v>1122</v>
      </c>
      <c r="C29" s="1313"/>
      <c r="D29" s="1313"/>
      <c r="E29" s="1313" t="s">
        <v>1123</v>
      </c>
      <c r="F29" s="1313"/>
      <c r="G29" s="1313"/>
    </row>
    <row r="30" spans="1:9">
      <c r="A30" s="1312">
        <v>2</v>
      </c>
      <c r="B30" s="1313" t="s">
        <v>1124</v>
      </c>
      <c r="C30" s="1313">
        <f>C27*D30</f>
        <v>0</v>
      </c>
      <c r="D30" s="1315">
        <v>0.2</v>
      </c>
      <c r="E30" s="1313" t="s">
        <v>1125</v>
      </c>
      <c r="F30" s="1313"/>
      <c r="G30" s="1313"/>
    </row>
    <row r="31" spans="1:9">
      <c r="A31" s="1312">
        <v>3</v>
      </c>
      <c r="B31" s="1313" t="s">
        <v>1126</v>
      </c>
      <c r="C31" s="1313">
        <f>C25*D31</f>
        <v>0</v>
      </c>
      <c r="D31" s="1315">
        <v>0.15</v>
      </c>
      <c r="E31" s="1313" t="s">
        <v>1127</v>
      </c>
      <c r="F31" s="1313"/>
      <c r="G31" s="1313"/>
    </row>
    <row r="32" spans="1:9">
      <c r="A32" s="1312">
        <v>4</v>
      </c>
      <c r="B32" s="1313" t="s">
        <v>1128</v>
      </c>
      <c r="C32" s="1313">
        <f>C27*D32</f>
        <v>0</v>
      </c>
      <c r="D32" s="1315">
        <v>0.05</v>
      </c>
      <c r="E32" s="3334"/>
      <c r="F32" s="3334"/>
      <c r="G32" s="3334"/>
    </row>
    <row r="33" spans="1:7" hidden="1">
      <c r="A33" s="3344" t="s">
        <v>1129</v>
      </c>
      <c r="B33" s="3345"/>
      <c r="C33" s="3345"/>
      <c r="D33" s="3346"/>
      <c r="E33" s="3342"/>
      <c r="F33" s="3342"/>
      <c r="G33" s="3342"/>
    </row>
    <row r="34" spans="1:7" hidden="1">
      <c r="A34" s="1316">
        <v>1</v>
      </c>
      <c r="B34" s="1313" t="s">
        <v>1130</v>
      </c>
      <c r="C34" s="1313"/>
      <c r="D34" s="1313"/>
      <c r="E34" s="3343"/>
      <c r="F34" s="3343"/>
      <c r="G34" s="3343"/>
    </row>
    <row r="35" spans="1:7" hidden="1">
      <c r="A35" s="1316">
        <v>2</v>
      </c>
      <c r="B35" s="1313" t="s">
        <v>1131</v>
      </c>
      <c r="C35" s="1313"/>
      <c r="D35" s="1313"/>
      <c r="E35" s="3343"/>
      <c r="F35" s="3343"/>
      <c r="G35" s="3343"/>
    </row>
    <row r="36" spans="1:7" hidden="1">
      <c r="A36" s="1316">
        <v>3</v>
      </c>
      <c r="B36" s="1313" t="s">
        <v>1132</v>
      </c>
      <c r="C36" s="1313"/>
      <c r="D36" s="1313"/>
      <c r="E36" s="3343"/>
      <c r="F36" s="3343"/>
      <c r="G36" s="3343"/>
    </row>
    <row r="37" spans="1:7" hidden="1">
      <c r="A37" s="1316">
        <v>4</v>
      </c>
      <c r="B37" s="1313" t="s">
        <v>1133</v>
      </c>
      <c r="C37" s="1313"/>
      <c r="D37" s="1313"/>
      <c r="E37" s="3343"/>
      <c r="F37" s="3343"/>
      <c r="G37" s="3343"/>
    </row>
    <row r="38" spans="1:7" hidden="1">
      <c r="A38" s="3344" t="s">
        <v>1134</v>
      </c>
      <c r="B38" s="3345"/>
      <c r="C38" s="3345"/>
      <c r="D38" s="3346"/>
      <c r="E38" s="3342"/>
      <c r="F38" s="3342"/>
      <c r="G38" s="334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394" customWidth="1"/>
    <col min="2" max="2" width="15.75" style="394" customWidth="1"/>
    <col min="3" max="3" width="15.125" style="394" customWidth="1"/>
    <col min="4" max="4" width="12.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2612"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29" s="1616" customFormat="1" ht="28.5" customHeight="1" thickBot="1">
      <c r="A1" s="1605" t="s">
        <v>2518</v>
      </c>
      <c r="B1" s="2572" t="s">
        <v>2632</v>
      </c>
      <c r="C1" s="1621" t="s">
        <v>2520</v>
      </c>
      <c r="D1" s="1608"/>
      <c r="E1" s="2645"/>
      <c r="F1" s="2574"/>
      <c r="G1" s="1618" t="s">
        <v>2633</v>
      </c>
      <c r="H1" s="1617"/>
      <c r="I1" s="1617"/>
      <c r="J1" s="1617"/>
      <c r="K1" s="1619"/>
      <c r="L1" s="1620"/>
      <c r="M1" s="1621"/>
      <c r="N1" s="1621"/>
      <c r="O1" s="1621"/>
      <c r="P1" s="2646"/>
      <c r="Q1" s="2647"/>
      <c r="R1" s="2647"/>
      <c r="S1" s="2647"/>
      <c r="T1" s="2647"/>
      <c r="U1" s="2647"/>
      <c r="V1" s="2647"/>
      <c r="W1" s="2647"/>
      <c r="X1" s="2647"/>
      <c r="Y1" s="2647"/>
      <c r="Z1" s="2647"/>
      <c r="AA1" s="2647"/>
      <c r="AB1" s="2647"/>
      <c r="AC1" s="2648"/>
    </row>
    <row r="2" spans="1:29" s="389" customFormat="1" ht="28.5" customHeight="1" thickTop="1">
      <c r="A2" s="1604" t="s">
        <v>2320</v>
      </c>
      <c r="B2" s="1406" t="e">
        <f ca="1">IF(C2="——",ROUND(C49*D3/10000,0),ROUND(C49*D3/10000,0)-D2)</f>
        <v>#DIV/0!</v>
      </c>
      <c r="C2" s="2576"/>
      <c r="D2" s="1353" t="e">
        <f ca="1">SUMIF(INDIRECT("'"&amp;F2&amp;"'"&amp;"!A:A"),"承租人权益价值",INDIRECT("'"&amp;F2&amp;"'"&amp;"!c:c"))</f>
        <v>#REF!</v>
      </c>
      <c r="E2" s="2577" t="s">
        <v>2321</v>
      </c>
      <c r="F2" s="2578"/>
      <c r="G2" s="1113"/>
      <c r="H2" s="1113"/>
      <c r="I2" s="1113"/>
      <c r="J2" s="1113"/>
      <c r="K2" s="1113"/>
      <c r="L2" s="1116"/>
      <c r="M2" s="1117"/>
      <c r="N2" s="1117"/>
      <c r="O2" s="1117"/>
      <c r="P2" s="2649"/>
      <c r="Q2" s="1117"/>
      <c r="R2" s="1117"/>
      <c r="S2" s="1117"/>
      <c r="T2" s="1117"/>
      <c r="U2" s="1117"/>
      <c r="V2" s="1117"/>
      <c r="W2" s="1117"/>
      <c r="X2" s="1117"/>
      <c r="Y2" s="1117"/>
      <c r="Z2" s="1117"/>
      <c r="AA2" s="1117"/>
      <c r="AB2" s="1117"/>
      <c r="AC2" s="2650"/>
    </row>
    <row r="3" spans="1:29" s="389" customFormat="1" ht="28.5" customHeight="1" thickBot="1">
      <c r="A3" s="238" t="s">
        <v>2322</v>
      </c>
      <c r="B3" s="600" t="e">
        <f ca="1">IF(C2="——",C49,ROUND(B2*10000/D3,0))</f>
        <v>#DIV/0!</v>
      </c>
      <c r="C3" s="391" t="s">
        <v>2634</v>
      </c>
      <c r="D3" s="390">
        <f>IF(D1="",'数据-汇总表'!E3,SUMIF('数据-汇总表'!$C19:$C33,D1,'数据-汇总表'!$E19:$E33))</f>
        <v>20428.607999999997</v>
      </c>
      <c r="E3" s="2651"/>
      <c r="F3" s="1114"/>
      <c r="G3" s="1113"/>
      <c r="H3" s="1113"/>
      <c r="I3" s="1113"/>
      <c r="J3" s="1113"/>
      <c r="K3" s="1115"/>
      <c r="L3" s="1116"/>
      <c r="M3" s="1117"/>
      <c r="N3" s="1117"/>
      <c r="O3" s="1117"/>
      <c r="P3" s="2649"/>
      <c r="Q3" s="1117"/>
      <c r="R3" s="1117"/>
      <c r="S3" s="1117"/>
      <c r="T3" s="1117"/>
      <c r="U3" s="1117"/>
      <c r="V3" s="1117"/>
      <c r="W3" s="1117"/>
      <c r="X3" s="1117"/>
      <c r="Y3" s="1117"/>
      <c r="Z3" s="1117"/>
      <c r="AA3" s="1117"/>
      <c r="AB3" s="1117"/>
      <c r="AC3" s="2651"/>
    </row>
    <row r="4" spans="1:29" ht="15">
      <c r="A4" s="392" t="s">
        <v>2635</v>
      </c>
      <c r="B4" s="393"/>
      <c r="C4" s="3286" t="s">
        <v>2636</v>
      </c>
      <c r="D4" s="3287"/>
      <c r="E4" s="3288" t="s">
        <v>2637</v>
      </c>
      <c r="F4" s="3289"/>
      <c r="G4" s="3286" t="s">
        <v>2638</v>
      </c>
      <c r="H4" s="3287"/>
      <c r="I4" s="3286" t="s">
        <v>2639</v>
      </c>
      <c r="J4" s="3287"/>
      <c r="K4" s="601" t="s">
        <v>2640</v>
      </c>
      <c r="L4" s="1118"/>
      <c r="M4" s="1119"/>
      <c r="N4" s="1119"/>
      <c r="O4" s="1119"/>
      <c r="P4" s="3290" t="s">
        <v>2641</v>
      </c>
      <c r="Q4" s="3291"/>
      <c r="R4" s="3273" t="s">
        <v>2637</v>
      </c>
      <c r="S4" s="3274"/>
      <c r="T4" s="3273" t="s">
        <v>2638</v>
      </c>
      <c r="U4" s="3274"/>
      <c r="V4" s="3298" t="s">
        <v>2639</v>
      </c>
      <c r="W4" s="3298"/>
      <c r="X4" s="1800"/>
      <c r="Y4" s="3273" t="s">
        <v>2641</v>
      </c>
      <c r="Z4" s="3274"/>
      <c r="AA4" s="3268" t="s">
        <v>2637</v>
      </c>
      <c r="AB4" s="3298" t="s">
        <v>2638</v>
      </c>
      <c r="AC4" s="3268" t="s">
        <v>2639</v>
      </c>
    </row>
    <row r="5" spans="1:29" ht="15">
      <c r="A5" s="395"/>
      <c r="B5" s="396"/>
      <c r="C5" s="3311" t="s">
        <v>2532</v>
      </c>
      <c r="D5" s="3280"/>
      <c r="E5" s="3347" t="s">
        <v>2533</v>
      </c>
      <c r="F5" s="3278"/>
      <c r="G5" s="3311" t="s">
        <v>2534</v>
      </c>
      <c r="H5" s="3280"/>
      <c r="I5" s="3311" t="s">
        <v>2535</v>
      </c>
      <c r="J5" s="3280"/>
      <c r="K5" s="601"/>
      <c r="L5" s="1118"/>
      <c r="M5" s="1119"/>
      <c r="N5" s="1119"/>
      <c r="O5" s="1119"/>
      <c r="P5" s="3292"/>
      <c r="Q5" s="3293"/>
      <c r="R5" s="3275"/>
      <c r="S5" s="3276"/>
      <c r="T5" s="3275"/>
      <c r="U5" s="3276"/>
      <c r="V5" s="3298"/>
      <c r="W5" s="3298"/>
      <c r="X5" s="1800"/>
      <c r="Y5" s="3275"/>
      <c r="Z5" s="3276"/>
      <c r="AA5" s="3269"/>
      <c r="AB5" s="3298"/>
      <c r="AC5" s="3269"/>
    </row>
    <row r="6" spans="1:29" ht="15.75" thickBot="1">
      <c r="A6" s="397"/>
      <c r="B6" s="398"/>
      <c r="C6" s="3281" t="s">
        <v>2536</v>
      </c>
      <c r="D6" s="3282"/>
      <c r="E6" s="3283" t="s">
        <v>2536</v>
      </c>
      <c r="F6" s="3284"/>
      <c r="G6" s="3281" t="s">
        <v>2536</v>
      </c>
      <c r="H6" s="3282"/>
      <c r="I6" s="3281" t="s">
        <v>2536</v>
      </c>
      <c r="J6" s="3282"/>
      <c r="K6" s="601" t="s">
        <v>2537</v>
      </c>
      <c r="L6" s="1118"/>
      <c r="M6" s="1119"/>
      <c r="N6" s="1119"/>
      <c r="O6" s="1119"/>
      <c r="P6" s="3294"/>
      <c r="Q6" s="3295"/>
      <c r="R6" s="3275"/>
      <c r="S6" s="3276"/>
      <c r="T6" s="3296"/>
      <c r="U6" s="3297"/>
      <c r="V6" s="3298"/>
      <c r="W6" s="3298"/>
      <c r="X6" s="1800"/>
      <c r="Y6" s="3296"/>
      <c r="Z6" s="3297"/>
      <c r="AA6" s="3270"/>
      <c r="AB6" s="3298"/>
      <c r="AC6" s="3270"/>
    </row>
    <row r="7" spans="1:29" s="110" customFormat="1" ht="15.75" thickBot="1">
      <c r="A7" s="399" t="s">
        <v>2538</v>
      </c>
      <c r="B7" s="400"/>
      <c r="C7" s="401">
        <f>'数据-取费表'!B2</f>
        <v>43515</v>
      </c>
      <c r="D7" s="402">
        <v>100</v>
      </c>
      <c r="E7" s="403"/>
      <c r="F7" s="404">
        <f>SUMIF(58:58,YEAR(E7)&amp;"-"&amp;MONTH(E7),59:59)</f>
        <v>0</v>
      </c>
      <c r="G7" s="403"/>
      <c r="H7" s="402">
        <f>SUMIF(58:58,YEAR(G7)&amp;"-"&amp;MONTH(G7),59:59)</f>
        <v>0</v>
      </c>
      <c r="I7" s="403"/>
      <c r="J7" s="402">
        <f>SUMIF(58:58,YEAR(I7)&amp;"-"&amp;MONTH(I7),59:59)</f>
        <v>0</v>
      </c>
      <c r="K7" s="602"/>
      <c r="L7" s="1120"/>
      <c r="M7" s="1121"/>
      <c r="N7" s="1121"/>
      <c r="O7" s="1121"/>
      <c r="P7" s="3271" t="s">
        <v>2539</v>
      </c>
      <c r="Q7" s="3299"/>
      <c r="R7" s="761" t="s">
        <v>17</v>
      </c>
      <c r="S7" s="762">
        <f t="shared" ref="S7:S15" si="0">F7</f>
        <v>0</v>
      </c>
      <c r="T7" s="761" t="s">
        <v>17</v>
      </c>
      <c r="U7" s="762">
        <f t="shared" ref="U7:U15" si="1">H7</f>
        <v>0</v>
      </c>
      <c r="V7" s="761" t="s">
        <v>17</v>
      </c>
      <c r="W7" s="762">
        <f t="shared" ref="W7:W15" si="2">J7</f>
        <v>0</v>
      </c>
      <c r="X7" s="763"/>
      <c r="Y7" s="3271" t="s">
        <v>2539</v>
      </c>
      <c r="Z7" s="3272"/>
      <c r="AA7" s="764" t="e">
        <f>D7/F7</f>
        <v>#DIV/0!</v>
      </c>
      <c r="AB7" s="764" t="e">
        <f>D7/H7</f>
        <v>#DIV/0!</v>
      </c>
      <c r="AC7" s="764" t="e">
        <f>D7/J7</f>
        <v>#DIV/0!</v>
      </c>
    </row>
    <row r="8" spans="1:29" s="110" customFormat="1" ht="15.75" thickBot="1">
      <c r="A8" s="399" t="s">
        <v>2540</v>
      </c>
      <c r="B8" s="400"/>
      <c r="C8" s="405" t="s">
        <v>2642</v>
      </c>
      <c r="D8" s="402">
        <v>100</v>
      </c>
      <c r="E8" s="405"/>
      <c r="F8" s="404">
        <f>SUMIF(61:61,E8,62:62)-SUMIF(61:61,C8,62:62)+100</f>
        <v>0</v>
      </c>
      <c r="G8" s="405"/>
      <c r="H8" s="402">
        <f>SUMIF(61:61,G8,62:62)-SUMIF(61:61,C8,62:62)+100</f>
        <v>0</v>
      </c>
      <c r="I8" s="405"/>
      <c r="J8" s="402">
        <f>SUMIF(61:61,I8,62:62)-SUMIF(61:61,C8,62:62)+100</f>
        <v>0</v>
      </c>
      <c r="K8" s="602"/>
      <c r="L8" s="1120"/>
      <c r="M8" s="1121"/>
      <c r="N8" s="1121"/>
      <c r="O8" s="1121"/>
      <c r="P8" s="3271" t="s">
        <v>2542</v>
      </c>
      <c r="Q8" s="3272"/>
      <c r="R8" s="761" t="s">
        <v>17</v>
      </c>
      <c r="S8" s="762">
        <f t="shared" si="0"/>
        <v>0</v>
      </c>
      <c r="T8" s="761" t="s">
        <v>17</v>
      </c>
      <c r="U8" s="762">
        <f t="shared" si="1"/>
        <v>0</v>
      </c>
      <c r="V8" s="761" t="s">
        <v>17</v>
      </c>
      <c r="W8" s="762">
        <f t="shared" si="2"/>
        <v>0</v>
      </c>
      <c r="X8" s="763"/>
      <c r="Y8" s="3271" t="s">
        <v>2542</v>
      </c>
      <c r="Z8" s="3272"/>
      <c r="AA8" s="764" t="e">
        <f t="shared" ref="AA8:AA46" si="3">D8/F8</f>
        <v>#DIV/0!</v>
      </c>
      <c r="AB8" s="764" t="e">
        <f t="shared" ref="AB8:AB46" si="4">D8/H8</f>
        <v>#DIV/0!</v>
      </c>
      <c r="AC8" s="764" t="e">
        <f t="shared" ref="AC8:AC46" si="5">D8/J8</f>
        <v>#DIV/0!</v>
      </c>
    </row>
    <row r="9" spans="1:29" s="110" customFormat="1">
      <c r="A9" s="406" t="s">
        <v>2543</v>
      </c>
      <c r="B9" s="70" t="s">
        <v>2544</v>
      </c>
      <c r="C9" s="407"/>
      <c r="D9" s="126">
        <v>100</v>
      </c>
      <c r="E9" s="408"/>
      <c r="F9" s="409">
        <f>SUMIF(63:63,E9,64:64)-SUMIF(63:63,C9,64:64)+100</f>
        <v>100</v>
      </c>
      <c r="G9" s="408"/>
      <c r="H9" s="126">
        <f>SUMIF(63:63,G9,64:64)-SUMIF(63:63,C9,64:64)+100</f>
        <v>100</v>
      </c>
      <c r="I9" s="408"/>
      <c r="J9" s="126">
        <f>SUMIF(63:63,I9,64:64)-SUMIF(63:63,C9,64:64)+100</f>
        <v>100</v>
      </c>
      <c r="K9" s="602"/>
      <c r="L9" s="1120"/>
      <c r="M9" s="1121"/>
      <c r="N9" s="1121"/>
      <c r="O9" s="1121"/>
      <c r="P9" s="3309" t="s">
        <v>2545</v>
      </c>
      <c r="Q9" s="1782" t="str">
        <f t="shared" ref="Q9:Q15" si="6">B9</f>
        <v>用途</v>
      </c>
      <c r="R9" s="761" t="s">
        <v>17</v>
      </c>
      <c r="S9" s="762">
        <f t="shared" si="0"/>
        <v>100</v>
      </c>
      <c r="T9" s="761" t="s">
        <v>17</v>
      </c>
      <c r="U9" s="762">
        <f t="shared" si="1"/>
        <v>100</v>
      </c>
      <c r="V9" s="761" t="s">
        <v>17</v>
      </c>
      <c r="W9" s="762">
        <f t="shared" si="2"/>
        <v>100</v>
      </c>
      <c r="X9" s="763"/>
      <c r="Y9" s="3145" t="s">
        <v>2546</v>
      </c>
      <c r="Z9" s="54" t="str">
        <f t="shared" ref="Z9:Z15" si="7">Q9</f>
        <v>用途</v>
      </c>
      <c r="AA9" s="764">
        <f t="shared" si="3"/>
        <v>1</v>
      </c>
      <c r="AB9" s="764">
        <f t="shared" si="4"/>
        <v>1</v>
      </c>
      <c r="AC9" s="764">
        <f t="shared" si="5"/>
        <v>1</v>
      </c>
    </row>
    <row r="10" spans="1:29" s="418" customFormat="1" ht="27">
      <c r="A10" s="412"/>
      <c r="B10" s="413" t="s">
        <v>2547</v>
      </c>
      <c r="C10" s="414"/>
      <c r="D10" s="127">
        <v>100</v>
      </c>
      <c r="E10" s="415"/>
      <c r="F10" s="416">
        <f>SUMIF(65:65,E10,66:66)-SUMIF(65:65,C10,66:66)+100</f>
        <v>100</v>
      </c>
      <c r="G10" s="414"/>
      <c r="H10" s="127">
        <f>SUMIF(65:65,G10,66:66)-SUMIF(65:65,C10,66:66)+100</f>
        <v>100</v>
      </c>
      <c r="I10" s="414"/>
      <c r="J10" s="127">
        <f>SUMIF(65:65,I10,66:66)-SUMIF(65:65,C10,66:66)+100</f>
        <v>100</v>
      </c>
      <c r="K10" s="603"/>
      <c r="L10" s="1123"/>
      <c r="M10" s="1124"/>
      <c r="N10" s="1124"/>
      <c r="O10" s="1124"/>
      <c r="P10" s="3309"/>
      <c r="Q10" s="1782" t="str">
        <f t="shared" si="6"/>
        <v>土地使用年限（年）</v>
      </c>
      <c r="R10" s="761" t="s">
        <v>17</v>
      </c>
      <c r="S10" s="762">
        <f t="shared" si="0"/>
        <v>100</v>
      </c>
      <c r="T10" s="761" t="s">
        <v>17</v>
      </c>
      <c r="U10" s="762">
        <f t="shared" si="1"/>
        <v>100</v>
      </c>
      <c r="V10" s="761" t="s">
        <v>17</v>
      </c>
      <c r="W10" s="762">
        <f t="shared" si="2"/>
        <v>100</v>
      </c>
      <c r="X10" s="763"/>
      <c r="Y10" s="3145"/>
      <c r="Z10" s="54" t="str">
        <f t="shared" si="7"/>
        <v>土地使用年限（年）</v>
      </c>
      <c r="AA10" s="764">
        <f t="shared" si="3"/>
        <v>1</v>
      </c>
      <c r="AB10" s="764">
        <f t="shared" si="4"/>
        <v>1</v>
      </c>
      <c r="AC10" s="764">
        <f t="shared" si="5"/>
        <v>1</v>
      </c>
    </row>
    <row r="11" spans="1:29" ht="15">
      <c r="A11" s="419"/>
      <c r="B11" s="413" t="s">
        <v>2548</v>
      </c>
      <c r="C11" s="420"/>
      <c r="D11" s="127">
        <v>100</v>
      </c>
      <c r="E11" s="421"/>
      <c r="F11" s="416" t="e">
        <f>LOOKUP(E11,68:68,69:69)-LOOKUP(C11,68:68,69:69)+100</f>
        <v>#N/A</v>
      </c>
      <c r="G11" s="420"/>
      <c r="H11" s="127" t="e">
        <f>LOOKUP(G11,68:68,69:69)-LOOKUP(C11,68:68,69:69)+100</f>
        <v>#N/A</v>
      </c>
      <c r="I11" s="420"/>
      <c r="J11" s="127" t="e">
        <f>LOOKUP(I11,68:68,69:69)-LOOKUP(C11,68:68,69:69)+100</f>
        <v>#N/A</v>
      </c>
      <c r="K11" s="603"/>
      <c r="L11" s="1126"/>
      <c r="M11" s="1119"/>
      <c r="N11" s="1119"/>
      <c r="O11" s="1119"/>
      <c r="P11" s="3309"/>
      <c r="Q11" s="1782" t="str">
        <f t="shared" si="6"/>
        <v>容积率</v>
      </c>
      <c r="R11" s="761" t="s">
        <v>17</v>
      </c>
      <c r="S11" s="762" t="e">
        <f t="shared" si="0"/>
        <v>#N/A</v>
      </c>
      <c r="T11" s="761" t="s">
        <v>17</v>
      </c>
      <c r="U11" s="762" t="e">
        <f t="shared" si="1"/>
        <v>#N/A</v>
      </c>
      <c r="V11" s="761" t="s">
        <v>17</v>
      </c>
      <c r="W11" s="762" t="e">
        <f t="shared" si="2"/>
        <v>#N/A</v>
      </c>
      <c r="X11" s="763"/>
      <c r="Y11" s="3145"/>
      <c r="Z11" s="54" t="str">
        <f t="shared" si="7"/>
        <v>容积率</v>
      </c>
      <c r="AA11" s="764" t="e">
        <f t="shared" si="3"/>
        <v>#N/A</v>
      </c>
      <c r="AB11" s="764" t="e">
        <f t="shared" si="4"/>
        <v>#N/A</v>
      </c>
      <c r="AC11" s="764" t="e">
        <f t="shared" si="5"/>
        <v>#N/A</v>
      </c>
    </row>
    <row r="12" spans="1:29" s="110" customFormat="1" ht="15">
      <c r="A12" s="422"/>
      <c r="B12" s="2590">
        <v>111</v>
      </c>
      <c r="C12" s="423"/>
      <c r="D12" s="424">
        <v>100</v>
      </c>
      <c r="E12" s="425"/>
      <c r="F12" s="416">
        <f>SUMIF(70:70,E12,71:71)-SUMIF(70:70,C12,71:71)+100</f>
        <v>100</v>
      </c>
      <c r="G12" s="425"/>
      <c r="H12" s="127">
        <f>SUMIF(70:70,G12,71:71)-SUMIF(70:70,C12,71:71)+100</f>
        <v>100</v>
      </c>
      <c r="I12" s="425"/>
      <c r="J12" s="127">
        <f>SUMIF(70:70,I12,71:71)-SUMIF(70:70,C12,71:71)+100</f>
        <v>100</v>
      </c>
      <c r="K12" s="604"/>
      <c r="L12" s="1120"/>
      <c r="M12" s="1121"/>
      <c r="N12" s="1121"/>
      <c r="O12" s="1121"/>
      <c r="P12" s="3309"/>
      <c r="Q12" s="1782">
        <f t="shared" si="6"/>
        <v>111</v>
      </c>
      <c r="R12" s="761" t="s">
        <v>17</v>
      </c>
      <c r="S12" s="762">
        <f t="shared" si="0"/>
        <v>100</v>
      </c>
      <c r="T12" s="761" t="s">
        <v>17</v>
      </c>
      <c r="U12" s="762">
        <f t="shared" si="1"/>
        <v>100</v>
      </c>
      <c r="V12" s="761" t="s">
        <v>17</v>
      </c>
      <c r="W12" s="762">
        <f t="shared" si="2"/>
        <v>100</v>
      </c>
      <c r="X12" s="763"/>
      <c r="Y12" s="3145"/>
      <c r="Z12" s="54">
        <f t="shared" si="7"/>
        <v>111</v>
      </c>
      <c r="AA12" s="764">
        <f>D12/F12</f>
        <v>1</v>
      </c>
      <c r="AB12" s="764">
        <f>D12/H12</f>
        <v>1</v>
      </c>
      <c r="AC12" s="764">
        <f>D12/J12</f>
        <v>1</v>
      </c>
    </row>
    <row r="13" spans="1:29" ht="15">
      <c r="A13" s="419"/>
      <c r="B13" s="2590">
        <v>111</v>
      </c>
      <c r="C13" s="425"/>
      <c r="D13" s="426">
        <v>100</v>
      </c>
      <c r="E13" s="425"/>
      <c r="F13" s="416">
        <f>SUMIF(72:72,E13,73:73)-SUMIF(72:72,C13,73:73)+100</f>
        <v>100</v>
      </c>
      <c r="G13" s="425"/>
      <c r="H13" s="426">
        <f>SUMIF(72:72,G13,73:73)-SUMIF(72:72,C13,73:73)+100</f>
        <v>100</v>
      </c>
      <c r="I13" s="425"/>
      <c r="J13" s="426">
        <f>SUMIF(72:72,I13,73:73)-SUMIF(72:72,C13,73:73)+100</f>
        <v>100</v>
      </c>
      <c r="K13" s="604"/>
      <c r="L13" s="1128"/>
      <c r="M13" s="1119"/>
      <c r="N13" s="1119"/>
      <c r="O13" s="1119"/>
      <c r="P13" s="3309"/>
      <c r="Q13" s="1782">
        <f t="shared" si="6"/>
        <v>111</v>
      </c>
      <c r="R13" s="761" t="s">
        <v>17</v>
      </c>
      <c r="S13" s="762">
        <f t="shared" si="0"/>
        <v>100</v>
      </c>
      <c r="T13" s="761" t="s">
        <v>17</v>
      </c>
      <c r="U13" s="762">
        <f t="shared" si="1"/>
        <v>100</v>
      </c>
      <c r="V13" s="761" t="s">
        <v>17</v>
      </c>
      <c r="W13" s="762">
        <f t="shared" si="2"/>
        <v>100</v>
      </c>
      <c r="X13" s="763"/>
      <c r="Y13" s="3145"/>
      <c r="Z13" s="54">
        <f t="shared" si="7"/>
        <v>111</v>
      </c>
      <c r="AA13" s="764">
        <f t="shared" si="3"/>
        <v>1</v>
      </c>
      <c r="AB13" s="764">
        <f t="shared" si="4"/>
        <v>1</v>
      </c>
      <c r="AC13" s="764">
        <f t="shared" si="5"/>
        <v>1</v>
      </c>
    </row>
    <row r="14" spans="1:29" ht="15.75" thickBot="1">
      <c r="A14" s="427"/>
      <c r="B14" s="2592">
        <v>111</v>
      </c>
      <c r="C14" s="428"/>
      <c r="D14" s="429">
        <v>100</v>
      </c>
      <c r="E14" s="425"/>
      <c r="F14" s="430">
        <f>SUMIF(74:74,E14,75:75)-SUMIF(74:74,C14,75:75)+100</f>
        <v>100</v>
      </c>
      <c r="G14" s="425"/>
      <c r="H14" s="429">
        <f>SUMIF(74:74,G14,75:75)-SUMIF(74:74,C14,75:75)+100</f>
        <v>100</v>
      </c>
      <c r="I14" s="425"/>
      <c r="J14" s="429">
        <f>SUMIF(74:74,I14,75:75)-SUMIF(74:74,C14,75:75)+100</f>
        <v>100</v>
      </c>
      <c r="K14" s="604"/>
      <c r="L14" s="1128"/>
      <c r="M14" s="1119"/>
      <c r="N14" s="1119"/>
      <c r="O14" s="1119"/>
      <c r="P14" s="3309"/>
      <c r="Q14" s="1782">
        <f t="shared" si="6"/>
        <v>111</v>
      </c>
      <c r="R14" s="761" t="s">
        <v>17</v>
      </c>
      <c r="S14" s="762">
        <f t="shared" si="0"/>
        <v>100</v>
      </c>
      <c r="T14" s="761" t="s">
        <v>17</v>
      </c>
      <c r="U14" s="762">
        <f t="shared" si="1"/>
        <v>100</v>
      </c>
      <c r="V14" s="761" t="s">
        <v>17</v>
      </c>
      <c r="W14" s="762">
        <f t="shared" si="2"/>
        <v>100</v>
      </c>
      <c r="X14" s="763"/>
      <c r="Y14" s="3145"/>
      <c r="Z14" s="54">
        <f t="shared" si="7"/>
        <v>111</v>
      </c>
      <c r="AA14" s="764">
        <f t="shared" si="3"/>
        <v>1</v>
      </c>
      <c r="AB14" s="764">
        <f t="shared" si="4"/>
        <v>1</v>
      </c>
      <c r="AC14" s="764">
        <f t="shared" si="5"/>
        <v>1</v>
      </c>
    </row>
    <row r="15" spans="1:29" ht="15">
      <c r="A15" s="431" t="s">
        <v>2549</v>
      </c>
      <c r="B15" s="68" t="s">
        <v>2643</v>
      </c>
      <c r="C15" s="2593">
        <f>估价对象房地状况!C4</f>
        <v>0</v>
      </c>
      <c r="D15" s="432">
        <v>100</v>
      </c>
      <c r="E15" s="433"/>
      <c r="F15" s="434">
        <f>SUMIF(76:76,E16,77:77)-SUMIF(76:76,C16,77:77)+100</f>
        <v>100</v>
      </c>
      <c r="G15" s="435"/>
      <c r="H15" s="432">
        <f>SUMIF(76:76,G16,77:77)-SUMIF(76:76,C16,77:77)+100</f>
        <v>100</v>
      </c>
      <c r="I15" s="433"/>
      <c r="J15" s="432">
        <f>SUMIF(76:76,I16,77:77)-SUMIF(76:76,C16,77:77)+100</f>
        <v>100</v>
      </c>
      <c r="K15" s="605"/>
      <c r="L15" s="1128"/>
      <c r="M15" s="1119"/>
      <c r="N15" s="1119"/>
      <c r="O15" s="1119"/>
      <c r="P15" s="3318" t="s">
        <v>2550</v>
      </c>
      <c r="Q15" s="1797" t="str">
        <f t="shared" si="6"/>
        <v>商业繁华度</v>
      </c>
      <c r="R15" s="765" t="s">
        <v>17</v>
      </c>
      <c r="S15" s="766">
        <f t="shared" si="0"/>
        <v>100</v>
      </c>
      <c r="T15" s="765" t="s">
        <v>17</v>
      </c>
      <c r="U15" s="766">
        <f t="shared" si="1"/>
        <v>100</v>
      </c>
      <c r="V15" s="765" t="s">
        <v>17</v>
      </c>
      <c r="W15" s="766">
        <f t="shared" si="2"/>
        <v>100</v>
      </c>
      <c r="X15" s="1800"/>
      <c r="Y15" s="3300" t="s">
        <v>2550</v>
      </c>
      <c r="Z15" s="1801" t="str">
        <f t="shared" si="7"/>
        <v>商业繁华度</v>
      </c>
      <c r="AA15" s="1798">
        <f t="shared" si="3"/>
        <v>1</v>
      </c>
      <c r="AB15" s="1798">
        <f t="shared" si="4"/>
        <v>1</v>
      </c>
      <c r="AC15" s="1798">
        <f t="shared" si="5"/>
        <v>1</v>
      </c>
    </row>
    <row r="16" spans="1:29" ht="15">
      <c r="A16" s="419"/>
      <c r="B16" s="437"/>
      <c r="C16" s="438"/>
      <c r="D16" s="439"/>
      <c r="E16" s="438"/>
      <c r="F16" s="440"/>
      <c r="G16" s="438"/>
      <c r="H16" s="441"/>
      <c r="I16" s="438"/>
      <c r="J16" s="439"/>
      <c r="K16" s="606"/>
      <c r="L16" s="1128"/>
      <c r="M16" s="1119"/>
      <c r="N16" s="1119"/>
      <c r="O16" s="1119"/>
      <c r="P16" s="3319"/>
      <c r="Q16" s="1797"/>
      <c r="R16" s="765"/>
      <c r="S16" s="766"/>
      <c r="T16" s="765"/>
      <c r="U16" s="766"/>
      <c r="V16" s="765"/>
      <c r="W16" s="766"/>
      <c r="X16" s="1800"/>
      <c r="Y16" s="3301"/>
      <c r="Z16" s="1801"/>
      <c r="AA16" s="1798">
        <v>1</v>
      </c>
      <c r="AB16" s="1798">
        <v>1</v>
      </c>
      <c r="AC16" s="1798">
        <v>1</v>
      </c>
    </row>
    <row r="17" spans="1:29" ht="15">
      <c r="A17" s="419"/>
      <c r="B17" s="442" t="s">
        <v>2094</v>
      </c>
      <c r="C17" s="2597">
        <f>估价对象房地状况!C6</f>
        <v>0</v>
      </c>
      <c r="D17" s="441">
        <v>100</v>
      </c>
      <c r="E17" s="443"/>
      <c r="F17" s="444">
        <f>SUMIF(78:78,E18,79:79)-SUMIF(78:78,C18,79:79)+100</f>
        <v>100</v>
      </c>
      <c r="G17" s="445"/>
      <c r="H17" s="446">
        <f>SUMIF(78:78,G18,79:79)-SUMIF(78:78,C18,79:79)+100</f>
        <v>100</v>
      </c>
      <c r="I17" s="443"/>
      <c r="J17" s="446">
        <f>SUMIF(78:78,I18,79:79)-SUMIF(78:78,C18,79:79)+100</f>
        <v>100</v>
      </c>
      <c r="K17" s="605"/>
      <c r="L17" s="1128"/>
      <c r="M17" s="1119"/>
      <c r="N17" s="1119"/>
      <c r="O17" s="1119"/>
      <c r="P17" s="3319"/>
      <c r="Q17" s="1797" t="str">
        <f>B17</f>
        <v>交通便捷度</v>
      </c>
      <c r="R17" s="765" t="s">
        <v>17</v>
      </c>
      <c r="S17" s="766">
        <f>F17</f>
        <v>100</v>
      </c>
      <c r="T17" s="765" t="s">
        <v>17</v>
      </c>
      <c r="U17" s="766">
        <f>H17</f>
        <v>100</v>
      </c>
      <c r="V17" s="765" t="s">
        <v>17</v>
      </c>
      <c r="W17" s="766">
        <f>J17</f>
        <v>100</v>
      </c>
      <c r="X17" s="1800"/>
      <c r="Y17" s="3301"/>
      <c r="Z17" s="1801" t="str">
        <f>Q17</f>
        <v>交通便捷度</v>
      </c>
      <c r="AA17" s="1798">
        <f t="shared" si="3"/>
        <v>1</v>
      </c>
      <c r="AB17" s="1798">
        <f t="shared" si="4"/>
        <v>1</v>
      </c>
      <c r="AC17" s="1798">
        <f t="shared" si="5"/>
        <v>1</v>
      </c>
    </row>
    <row r="18" spans="1:29" ht="15">
      <c r="A18" s="419"/>
      <c r="B18" s="447"/>
      <c r="C18" s="2598"/>
      <c r="D18" s="441"/>
      <c r="E18" s="2600"/>
      <c r="F18" s="444"/>
      <c r="G18" s="2599"/>
      <c r="H18" s="439"/>
      <c r="I18" s="2600"/>
      <c r="J18" s="439"/>
      <c r="K18" s="606"/>
      <c r="L18" s="1128"/>
      <c r="M18" s="1119"/>
      <c r="N18" s="1119"/>
      <c r="O18" s="1119"/>
      <c r="P18" s="3319"/>
      <c r="Q18" s="1797"/>
      <c r="R18" s="765"/>
      <c r="S18" s="766"/>
      <c r="T18" s="765"/>
      <c r="U18" s="766"/>
      <c r="V18" s="765"/>
      <c r="W18" s="766"/>
      <c r="X18" s="1800"/>
      <c r="Y18" s="3301"/>
      <c r="Z18" s="1801"/>
      <c r="AA18" s="1798">
        <v>1</v>
      </c>
      <c r="AB18" s="1798">
        <v>1</v>
      </c>
      <c r="AC18" s="1798">
        <v>1</v>
      </c>
    </row>
    <row r="19" spans="1:29" ht="15">
      <c r="A19" s="419"/>
      <c r="B19" s="442" t="s">
        <v>2644</v>
      </c>
      <c r="C19" s="2597">
        <f>估价对象房地状况!C7</f>
        <v>0</v>
      </c>
      <c r="D19" s="446">
        <v>100</v>
      </c>
      <c r="E19" s="448"/>
      <c r="F19" s="449">
        <f>SUMIF(80:80,E20,81:81)-SUMIF(80:80,C20,81:81)+100</f>
        <v>100</v>
      </c>
      <c r="G19" s="450"/>
      <c r="H19" s="441">
        <f>SUMIF(80:80,G20,81:81)-SUMIF(80:80,C20,81:81)+100</f>
        <v>100</v>
      </c>
      <c r="I19" s="448"/>
      <c r="J19" s="441">
        <f>SUMIF(80:80,I20,81:81)-SUMIF(80:80,C20,81:81)+100</f>
        <v>100</v>
      </c>
      <c r="K19" s="605"/>
      <c r="L19" s="1128"/>
      <c r="M19" s="1119"/>
      <c r="N19" s="1119"/>
      <c r="O19" s="1119"/>
      <c r="P19" s="3319"/>
      <c r="Q19" s="1797" t="str">
        <f>B19</f>
        <v>公共配套设施</v>
      </c>
      <c r="R19" s="765" t="s">
        <v>17</v>
      </c>
      <c r="S19" s="766">
        <f>F19</f>
        <v>100</v>
      </c>
      <c r="T19" s="765" t="s">
        <v>17</v>
      </c>
      <c r="U19" s="766">
        <f>H19</f>
        <v>100</v>
      </c>
      <c r="V19" s="765" t="s">
        <v>17</v>
      </c>
      <c r="W19" s="766">
        <f>J19</f>
        <v>100</v>
      </c>
      <c r="X19" s="1800"/>
      <c r="Y19" s="3301"/>
      <c r="Z19" s="1801" t="str">
        <f>Q19</f>
        <v>公共配套设施</v>
      </c>
      <c r="AA19" s="1798">
        <f t="shared" si="3"/>
        <v>1</v>
      </c>
      <c r="AB19" s="1798">
        <f t="shared" si="4"/>
        <v>1</v>
      </c>
      <c r="AC19" s="1798">
        <f t="shared" si="5"/>
        <v>1</v>
      </c>
    </row>
    <row r="20" spans="1:29" ht="15">
      <c r="A20" s="419"/>
      <c r="B20" s="447"/>
      <c r="C20" s="438"/>
      <c r="D20" s="439"/>
      <c r="E20" s="2595"/>
      <c r="F20" s="440"/>
      <c r="G20" s="2594"/>
      <c r="H20" s="439"/>
      <c r="I20" s="2595"/>
      <c r="J20" s="439"/>
      <c r="K20" s="606"/>
      <c r="L20" s="1128"/>
      <c r="M20" s="1119"/>
      <c r="N20" s="1119"/>
      <c r="O20" s="1119"/>
      <c r="P20" s="3319"/>
      <c r="Q20" s="1797"/>
      <c r="R20" s="765"/>
      <c r="S20" s="766"/>
      <c r="T20" s="765"/>
      <c r="U20" s="766"/>
      <c r="V20" s="765"/>
      <c r="W20" s="766"/>
      <c r="X20" s="1800"/>
      <c r="Y20" s="3301"/>
      <c r="Z20" s="1801"/>
      <c r="AA20" s="1798">
        <v>1</v>
      </c>
      <c r="AB20" s="1798">
        <v>1</v>
      </c>
      <c r="AC20" s="1798">
        <v>1</v>
      </c>
    </row>
    <row r="21" spans="1:29" ht="15">
      <c r="A21" s="419"/>
      <c r="B21" s="1372" t="s">
        <v>2645</v>
      </c>
      <c r="C21" s="2597">
        <f>估价对象房地状况!C8</f>
        <v>0</v>
      </c>
      <c r="D21" s="446">
        <v>100</v>
      </c>
      <c r="E21" s="448"/>
      <c r="F21" s="449">
        <f>SUMIF(82:82,E22,83:83)-SUMIF(82:82,C22,83:83)+100</f>
        <v>100</v>
      </c>
      <c r="G21" s="450"/>
      <c r="H21" s="441">
        <f>SUMIF(82:82,G22,83:83)-SUMIF(82:82,C22,83:83)+100</f>
        <v>100</v>
      </c>
      <c r="I21" s="448"/>
      <c r="J21" s="441">
        <f>SUMIF(82:82,I22,83:83)-SUMIF(82:82,C22,83:83)+100</f>
        <v>100</v>
      </c>
      <c r="K21" s="605"/>
      <c r="L21" s="1128"/>
      <c r="M21" s="1119"/>
      <c r="N21" s="1119"/>
      <c r="O21" s="1119"/>
      <c r="P21" s="3319"/>
      <c r="Q21" s="1797" t="str">
        <f>B21</f>
        <v>基础设施水平</v>
      </c>
      <c r="R21" s="765" t="s">
        <v>17</v>
      </c>
      <c r="S21" s="766">
        <f>F21</f>
        <v>100</v>
      </c>
      <c r="T21" s="765" t="s">
        <v>17</v>
      </c>
      <c r="U21" s="766">
        <f>H21</f>
        <v>100</v>
      </c>
      <c r="V21" s="765" t="s">
        <v>17</v>
      </c>
      <c r="W21" s="766">
        <f>J21</f>
        <v>100</v>
      </c>
      <c r="X21" s="1800"/>
      <c r="Y21" s="3301"/>
      <c r="Z21" s="1801" t="str">
        <f>Q21</f>
        <v>基础设施水平</v>
      </c>
      <c r="AA21" s="1798">
        <f t="shared" ref="AA21" si="8">D21/F21</f>
        <v>1</v>
      </c>
      <c r="AB21" s="1798">
        <f t="shared" ref="AB21" si="9">D21/H21</f>
        <v>1</v>
      </c>
      <c r="AC21" s="1798">
        <f t="shared" ref="AC21" si="10">D21/J21</f>
        <v>1</v>
      </c>
    </row>
    <row r="22" spans="1:29" ht="15">
      <c r="A22" s="419"/>
      <c r="B22" s="1372"/>
      <c r="C22" s="2598"/>
      <c r="D22" s="439"/>
      <c r="E22" s="438"/>
      <c r="F22" s="440"/>
      <c r="G22" s="438"/>
      <c r="H22" s="439"/>
      <c r="I22" s="438"/>
      <c r="J22" s="439"/>
      <c r="K22" s="1371"/>
      <c r="L22" s="1128"/>
      <c r="M22" s="1119"/>
      <c r="N22" s="1119"/>
      <c r="O22" s="1119"/>
      <c r="P22" s="3319"/>
      <c r="Q22" s="1797"/>
      <c r="R22" s="765"/>
      <c r="S22" s="766"/>
      <c r="T22" s="765"/>
      <c r="U22" s="766"/>
      <c r="V22" s="765"/>
      <c r="W22" s="766"/>
      <c r="X22" s="1800"/>
      <c r="Y22" s="3301"/>
      <c r="Z22" s="1801"/>
      <c r="AA22" s="1798">
        <v>1</v>
      </c>
      <c r="AB22" s="1798">
        <v>1</v>
      </c>
      <c r="AC22" s="1798">
        <v>1</v>
      </c>
    </row>
    <row r="23" spans="1:29" ht="15">
      <c r="A23" s="419"/>
      <c r="B23" s="442" t="s">
        <v>2097</v>
      </c>
      <c r="C23" s="2652">
        <f>估价对象房地状况!C9</f>
        <v>0</v>
      </c>
      <c r="D23" s="441">
        <v>100</v>
      </c>
      <c r="E23" s="443"/>
      <c r="F23" s="444">
        <f>SUMIF(84:84,E24,85:85)-SUMIF(84:84,C24,85:85)+100</f>
        <v>100</v>
      </c>
      <c r="G23" s="445"/>
      <c r="H23" s="441">
        <f>SUMIF(84:84,G24,85:85)-SUMIF(84:84,C24,85:85)+100</f>
        <v>100</v>
      </c>
      <c r="I23" s="443"/>
      <c r="J23" s="441">
        <f>SUMIF(84:84,I24,85:85)-SUMIF(84:84,C24,85:85)+100</f>
        <v>100</v>
      </c>
      <c r="K23" s="605"/>
      <c r="L23" s="1128"/>
      <c r="M23" s="1119"/>
      <c r="N23" s="1119"/>
      <c r="O23" s="1119"/>
      <c r="P23" s="3319"/>
      <c r="Q23" s="1797" t="str">
        <f>B23</f>
        <v>自然及人文环境</v>
      </c>
      <c r="R23" s="765" t="s">
        <v>17</v>
      </c>
      <c r="S23" s="766">
        <f>F23</f>
        <v>100</v>
      </c>
      <c r="T23" s="765" t="s">
        <v>17</v>
      </c>
      <c r="U23" s="766">
        <f>H23</f>
        <v>100</v>
      </c>
      <c r="V23" s="765" t="s">
        <v>17</v>
      </c>
      <c r="W23" s="766">
        <f>J23</f>
        <v>100</v>
      </c>
      <c r="X23" s="1800"/>
      <c r="Y23" s="3301"/>
      <c r="Z23" s="1801" t="str">
        <f>Q23</f>
        <v>自然及人文环境</v>
      </c>
      <c r="AA23" s="1798">
        <f t="shared" si="3"/>
        <v>1</v>
      </c>
      <c r="AB23" s="1798">
        <f t="shared" si="4"/>
        <v>1</v>
      </c>
      <c r="AC23" s="1798">
        <f t="shared" si="5"/>
        <v>1</v>
      </c>
    </row>
    <row r="24" spans="1:29" ht="15">
      <c r="A24" s="419"/>
      <c r="B24" s="447"/>
      <c r="C24" s="438"/>
      <c r="D24" s="439"/>
      <c r="E24" s="2595"/>
      <c r="F24" s="440"/>
      <c r="G24" s="2594"/>
      <c r="H24" s="439"/>
      <c r="I24" s="2595"/>
      <c r="J24" s="439"/>
      <c r="K24" s="606"/>
      <c r="L24" s="1128"/>
      <c r="M24" s="1119"/>
      <c r="N24" s="1119"/>
      <c r="O24" s="1119"/>
      <c r="P24" s="3319"/>
      <c r="Q24" s="1797"/>
      <c r="R24" s="765"/>
      <c r="S24" s="766"/>
      <c r="T24" s="765"/>
      <c r="U24" s="766"/>
      <c r="V24" s="765"/>
      <c r="W24" s="766"/>
      <c r="X24" s="1800"/>
      <c r="Y24" s="3301"/>
      <c r="Z24" s="1801"/>
      <c r="AA24" s="1798">
        <v>1</v>
      </c>
      <c r="AB24" s="1798">
        <v>1</v>
      </c>
      <c r="AC24" s="1798">
        <v>1</v>
      </c>
    </row>
    <row r="25" spans="1:29" ht="15">
      <c r="A25" s="419"/>
      <c r="B25" s="413" t="s">
        <v>2646</v>
      </c>
      <c r="C25" s="607"/>
      <c r="D25" s="426">
        <v>100</v>
      </c>
      <c r="E25" s="607"/>
      <c r="F25" s="452">
        <f>SUMIF(86:86,E25,87:87)-SUMIF(86:86,C25,87:87)+100</f>
        <v>100</v>
      </c>
      <c r="G25" s="607"/>
      <c r="H25" s="426">
        <f>SUMIF(86:86,G25,87:87)-SUMIF(86:86,C25,87:87)+100</f>
        <v>100</v>
      </c>
      <c r="I25" s="607"/>
      <c r="J25" s="426">
        <f>SUMIF(86:86,I25,87:87)-SUMIF(86:86,C25,87:87)+100</f>
        <v>100</v>
      </c>
      <c r="K25" s="603"/>
      <c r="L25" s="1128"/>
      <c r="M25" s="1119"/>
      <c r="N25" s="1119"/>
      <c r="O25" s="1119"/>
      <c r="P25" s="3319"/>
      <c r="Q25" s="1797" t="str">
        <f t="shared" ref="Q25:Q46" si="11">B25</f>
        <v>临街状况</v>
      </c>
      <c r="R25" s="765" t="s">
        <v>17</v>
      </c>
      <c r="S25" s="766">
        <f>F25</f>
        <v>100</v>
      </c>
      <c r="T25" s="765" t="s">
        <v>17</v>
      </c>
      <c r="U25" s="766">
        <f>H25</f>
        <v>100</v>
      </c>
      <c r="V25" s="765" t="s">
        <v>17</v>
      </c>
      <c r="W25" s="766">
        <f>J25</f>
        <v>100</v>
      </c>
      <c r="X25" s="1800"/>
      <c r="Y25" s="3301"/>
      <c r="Z25" s="1801" t="str">
        <f>Q25</f>
        <v>临街状况</v>
      </c>
      <c r="AA25" s="1798">
        <f t="shared" si="3"/>
        <v>1</v>
      </c>
      <c r="AB25" s="1798">
        <f t="shared" si="4"/>
        <v>1</v>
      </c>
      <c r="AC25" s="1798">
        <f t="shared" si="5"/>
        <v>1</v>
      </c>
    </row>
    <row r="26" spans="1:29" ht="15">
      <c r="A26" s="419"/>
      <c r="B26" s="1374" t="s">
        <v>2647</v>
      </c>
      <c r="C26" s="425"/>
      <c r="D26" s="426">
        <v>100</v>
      </c>
      <c r="E26" s="425"/>
      <c r="F26" s="452">
        <f>SUMIF(88:88,E26,89:89)-SUMIF(88:88,C26,89:89)+100</f>
        <v>100</v>
      </c>
      <c r="G26" s="425"/>
      <c r="H26" s="426">
        <f>SUMIF(88:88,G26,89:89)-SUMIF(88:88,C26,89:89)+100</f>
        <v>100</v>
      </c>
      <c r="I26" s="425"/>
      <c r="J26" s="426">
        <f>SUMIF(88:88,I26,89:89)-SUMIF(88:88,C26,89:89)+100</f>
        <v>100</v>
      </c>
      <c r="K26" s="604"/>
      <c r="L26" s="1128"/>
      <c r="M26" s="1119"/>
      <c r="N26" s="1119"/>
      <c r="O26" s="1119"/>
      <c r="P26" s="3319"/>
      <c r="Q26" s="1797" t="str">
        <f t="shared" si="11"/>
        <v>平面位置/可视性</v>
      </c>
      <c r="R26" s="765" t="s">
        <v>17</v>
      </c>
      <c r="S26" s="766">
        <f>F26</f>
        <v>100</v>
      </c>
      <c r="T26" s="765" t="s">
        <v>17</v>
      </c>
      <c r="U26" s="766">
        <f>H26</f>
        <v>100</v>
      </c>
      <c r="V26" s="765" t="s">
        <v>17</v>
      </c>
      <c r="W26" s="766">
        <f>J26</f>
        <v>100</v>
      </c>
      <c r="X26" s="1800"/>
      <c r="Y26" s="3301"/>
      <c r="Z26" s="1801" t="str">
        <f>Q26</f>
        <v>平面位置/可视性</v>
      </c>
      <c r="AA26" s="1798">
        <f t="shared" si="3"/>
        <v>1</v>
      </c>
      <c r="AB26" s="1798">
        <f t="shared" si="4"/>
        <v>1</v>
      </c>
      <c r="AC26" s="1798">
        <f t="shared" si="5"/>
        <v>1</v>
      </c>
    </row>
    <row r="27" spans="1:29" s="110" customFormat="1" ht="15">
      <c r="A27" s="422"/>
      <c r="B27" s="442" t="s">
        <v>2648</v>
      </c>
      <c r="C27" s="2653"/>
      <c r="D27" s="453">
        <v>100</v>
      </c>
      <c r="E27" s="2653"/>
      <c r="F27" s="455">
        <f>SUMIF(90:90,E27,91:91)-SUMIF(90:90,C27,91:91)+100</f>
        <v>100</v>
      </c>
      <c r="G27" s="2653"/>
      <c r="H27" s="453">
        <f>SUMIF(90:90,G27,91:91)-SUMIF(90:90,C27,91:91)+100</f>
        <v>100</v>
      </c>
      <c r="I27" s="2653"/>
      <c r="J27" s="453">
        <f>SUMIF(90:90,I27,91:91)-SUMIF(90:90,C27,91:91)+100</f>
        <v>100</v>
      </c>
      <c r="K27" s="603"/>
      <c r="L27" s="1120"/>
      <c r="M27" s="1121"/>
      <c r="N27" s="1121"/>
      <c r="O27" s="1121"/>
      <c r="P27" s="3319"/>
      <c r="Q27" s="1782" t="str">
        <f t="shared" si="11"/>
        <v>人流量</v>
      </c>
      <c r="R27" s="761" t="s">
        <v>17</v>
      </c>
      <c r="S27" s="762">
        <f>F27</f>
        <v>100</v>
      </c>
      <c r="T27" s="761" t="s">
        <v>17</v>
      </c>
      <c r="U27" s="762">
        <f>H27</f>
        <v>100</v>
      </c>
      <c r="V27" s="761" t="s">
        <v>17</v>
      </c>
      <c r="W27" s="762">
        <f>J27</f>
        <v>100</v>
      </c>
      <c r="X27" s="763"/>
      <c r="Y27" s="3301"/>
      <c r="Z27" s="54" t="str">
        <f>Q27</f>
        <v>人流量</v>
      </c>
      <c r="AA27" s="1798">
        <f>D27/F27</f>
        <v>1</v>
      </c>
      <c r="AB27" s="1798">
        <f>D27/H27</f>
        <v>1</v>
      </c>
      <c r="AC27" s="1798">
        <f>D27/J27</f>
        <v>1</v>
      </c>
    </row>
    <row r="28" spans="1:29" ht="15">
      <c r="A28" s="419"/>
      <c r="B28" s="413" t="s">
        <v>2649</v>
      </c>
      <c r="C28" s="607"/>
      <c r="D28" s="426">
        <v>100</v>
      </c>
      <c r="E28" s="607"/>
      <c r="F28" s="452">
        <f>SUMIF(92:92,E28,93:93)-SUMIF(92:92,C28,93:93)+100</f>
        <v>100</v>
      </c>
      <c r="G28" s="607"/>
      <c r="H28" s="426">
        <f>SUMIF(92:92,G28,93:93)-SUMIF(92:92,C28,93:93)+100</f>
        <v>100</v>
      </c>
      <c r="I28" s="607"/>
      <c r="J28" s="426">
        <f>SUMIF(92:92,I28,93:93)-SUMIF(92:92,C28,93:93)+100</f>
        <v>100</v>
      </c>
      <c r="K28" s="604"/>
      <c r="L28" s="1128"/>
      <c r="M28" s="1119"/>
      <c r="N28" s="1119"/>
      <c r="O28" s="1119"/>
      <c r="P28" s="3319"/>
      <c r="Q28" s="1797" t="str">
        <f t="shared" si="11"/>
        <v>楼层</v>
      </c>
      <c r="R28" s="765" t="s">
        <v>17</v>
      </c>
      <c r="S28" s="766">
        <f t="shared" ref="S28:S46" si="12">F28</f>
        <v>100</v>
      </c>
      <c r="T28" s="765" t="s">
        <v>17</v>
      </c>
      <c r="U28" s="766">
        <f t="shared" ref="U28:U46" si="13">H28</f>
        <v>100</v>
      </c>
      <c r="V28" s="765" t="s">
        <v>17</v>
      </c>
      <c r="W28" s="766">
        <f t="shared" ref="W28:W46" si="14">J28</f>
        <v>100</v>
      </c>
      <c r="X28" s="1800"/>
      <c r="Y28" s="3301"/>
      <c r="Z28" s="1801" t="str">
        <f t="shared" ref="Z28:Z46" si="15">Q28</f>
        <v>楼层</v>
      </c>
      <c r="AA28" s="1798">
        <f t="shared" si="3"/>
        <v>1</v>
      </c>
      <c r="AB28" s="1798">
        <f t="shared" si="4"/>
        <v>1</v>
      </c>
      <c r="AC28" s="1798">
        <f t="shared" si="5"/>
        <v>1</v>
      </c>
    </row>
    <row r="29" spans="1:29" ht="15">
      <c r="A29" s="419"/>
      <c r="B29" s="1374">
        <v>111</v>
      </c>
      <c r="C29" s="425"/>
      <c r="D29" s="426">
        <v>100</v>
      </c>
      <c r="E29" s="425"/>
      <c r="F29" s="452">
        <f>SUMIF(94:94,E29,95:95)-SUMIF(94:94,C29,95:95)+100</f>
        <v>100</v>
      </c>
      <c r="G29" s="425"/>
      <c r="H29" s="426">
        <f>SUMIF(94:94,G29,95:95)-SUMIF(94:94,C29,95:95)+100</f>
        <v>100</v>
      </c>
      <c r="I29" s="425"/>
      <c r="J29" s="426">
        <f>SUMIF(94:94,I29,95:95)-SUMIF(94:94,C29,95:95)+100</f>
        <v>100</v>
      </c>
      <c r="K29" s="604"/>
      <c r="L29" s="1128"/>
      <c r="M29" s="1119"/>
      <c r="N29" s="1119"/>
      <c r="O29" s="1119"/>
      <c r="P29" s="3319"/>
      <c r="Q29" s="1797">
        <f t="shared" si="11"/>
        <v>111</v>
      </c>
      <c r="R29" s="765" t="s">
        <v>17</v>
      </c>
      <c r="S29" s="766">
        <f t="shared" si="12"/>
        <v>100</v>
      </c>
      <c r="T29" s="765" t="s">
        <v>17</v>
      </c>
      <c r="U29" s="766">
        <f t="shared" si="13"/>
        <v>100</v>
      </c>
      <c r="V29" s="765" t="s">
        <v>17</v>
      </c>
      <c r="W29" s="766">
        <f t="shared" si="14"/>
        <v>100</v>
      </c>
      <c r="X29" s="1800"/>
      <c r="Y29" s="3301"/>
      <c r="Z29" s="1801">
        <f t="shared" si="15"/>
        <v>111</v>
      </c>
      <c r="AA29" s="1798">
        <f t="shared" si="3"/>
        <v>1</v>
      </c>
      <c r="AB29" s="1798">
        <f t="shared" si="4"/>
        <v>1</v>
      </c>
      <c r="AC29" s="1798">
        <f t="shared" si="5"/>
        <v>1</v>
      </c>
    </row>
    <row r="30" spans="1:29" ht="15">
      <c r="A30" s="419"/>
      <c r="B30" s="1374">
        <v>111</v>
      </c>
      <c r="C30" s="425"/>
      <c r="D30" s="426">
        <v>100</v>
      </c>
      <c r="E30" s="425"/>
      <c r="F30" s="452">
        <f>SUMIF(96:96,E30,97:97)-SUMIF(96:96,C30,97:97)+100</f>
        <v>100</v>
      </c>
      <c r="G30" s="425"/>
      <c r="H30" s="426">
        <f>SUMIF(96:96,G30,97:97)-SUMIF(96:96,C30,97:97)+100</f>
        <v>100</v>
      </c>
      <c r="I30" s="425"/>
      <c r="J30" s="426">
        <f>SUMIF(96:96,I30,97:97)-SUMIF(96:96,C30,97:97)+100</f>
        <v>100</v>
      </c>
      <c r="K30" s="604"/>
      <c r="L30" s="1128"/>
      <c r="M30" s="1119"/>
      <c r="N30" s="1119"/>
      <c r="O30" s="1119"/>
      <c r="P30" s="3319"/>
      <c r="Q30" s="1797">
        <f t="shared" si="11"/>
        <v>111</v>
      </c>
      <c r="R30" s="765" t="s">
        <v>17</v>
      </c>
      <c r="S30" s="766">
        <f t="shared" si="12"/>
        <v>100</v>
      </c>
      <c r="T30" s="765" t="s">
        <v>17</v>
      </c>
      <c r="U30" s="766">
        <f t="shared" si="13"/>
        <v>100</v>
      </c>
      <c r="V30" s="765" t="s">
        <v>17</v>
      </c>
      <c r="W30" s="766">
        <f t="shared" si="14"/>
        <v>100</v>
      </c>
      <c r="X30" s="1800"/>
      <c r="Y30" s="3301"/>
      <c r="Z30" s="1801">
        <f t="shared" si="15"/>
        <v>111</v>
      </c>
      <c r="AA30" s="1798">
        <f t="shared" si="3"/>
        <v>1</v>
      </c>
      <c r="AB30" s="1798">
        <f t="shared" si="4"/>
        <v>1</v>
      </c>
      <c r="AC30" s="1798">
        <f t="shared" si="5"/>
        <v>1</v>
      </c>
    </row>
    <row r="31" spans="1:29" ht="15.75" thickBot="1">
      <c r="A31" s="427"/>
      <c r="B31" s="1374">
        <v>111</v>
      </c>
      <c r="C31" s="428"/>
      <c r="D31" s="429">
        <v>100</v>
      </c>
      <c r="E31" s="425"/>
      <c r="F31" s="430">
        <f>SUMIF(98:98,E31,99:99)-SUMIF(98:98,C31,99:99)+100</f>
        <v>100</v>
      </c>
      <c r="G31" s="425"/>
      <c r="H31" s="429">
        <f>SUMIF(98:98,G31,99:99)-SUMIF(98:98,C31,99:99)+100</f>
        <v>100</v>
      </c>
      <c r="I31" s="425"/>
      <c r="J31" s="429">
        <f>SUMIF(98:98,I31,99:99)-SUMIF(98:98,C31,99:99)+100</f>
        <v>100</v>
      </c>
      <c r="K31" s="604"/>
      <c r="L31" s="1128"/>
      <c r="M31" s="1119"/>
      <c r="N31" s="1119"/>
      <c r="O31" s="1119"/>
      <c r="P31" s="3319"/>
      <c r="Q31" s="1797">
        <f t="shared" si="11"/>
        <v>111</v>
      </c>
      <c r="R31" s="765" t="s">
        <v>17</v>
      </c>
      <c r="S31" s="766">
        <f t="shared" si="12"/>
        <v>100</v>
      </c>
      <c r="T31" s="765" t="s">
        <v>17</v>
      </c>
      <c r="U31" s="766">
        <f t="shared" si="13"/>
        <v>100</v>
      </c>
      <c r="V31" s="765" t="s">
        <v>17</v>
      </c>
      <c r="W31" s="766">
        <f t="shared" si="14"/>
        <v>100</v>
      </c>
      <c r="X31" s="1800"/>
      <c r="Y31" s="3301"/>
      <c r="Z31" s="1801">
        <f t="shared" si="15"/>
        <v>111</v>
      </c>
      <c r="AA31" s="1798">
        <f t="shared" si="3"/>
        <v>1</v>
      </c>
      <c r="AB31" s="1798">
        <f t="shared" si="4"/>
        <v>1</v>
      </c>
      <c r="AC31" s="1798">
        <f t="shared" si="5"/>
        <v>1</v>
      </c>
    </row>
    <row r="32" spans="1:29" ht="15">
      <c r="A32" s="431" t="s">
        <v>2553</v>
      </c>
      <c r="B32" s="70" t="s">
        <v>2650</v>
      </c>
      <c r="C32" s="2607"/>
      <c r="D32" s="458">
        <v>100</v>
      </c>
      <c r="E32" s="2607"/>
      <c r="F32" s="452">
        <f>SUMIF(100:100,E32,101:101)-SUMIF(100:100,C32,101:101)+100</f>
        <v>100</v>
      </c>
      <c r="G32" s="2607"/>
      <c r="H32" s="426">
        <f>SUMIF(100:100,G32,101:101)-SUMIF(100:100,C32,101:101)+100</f>
        <v>100</v>
      </c>
      <c r="I32" s="2607"/>
      <c r="J32" s="458">
        <f>SUMIF(100:100,I32,101:101)-SUMIF(100:100,C32,101:101)+100</f>
        <v>100</v>
      </c>
      <c r="K32" s="603"/>
      <c r="L32" s="1128"/>
      <c r="M32" s="1119"/>
      <c r="N32" s="1119"/>
      <c r="O32" s="1119"/>
      <c r="P32" s="3314" t="s">
        <v>2555</v>
      </c>
      <c r="Q32" s="1797" t="str">
        <f t="shared" si="11"/>
        <v>商业类型</v>
      </c>
      <c r="R32" s="765" t="s">
        <v>17</v>
      </c>
      <c r="S32" s="766">
        <f t="shared" si="12"/>
        <v>100</v>
      </c>
      <c r="T32" s="765" t="s">
        <v>17</v>
      </c>
      <c r="U32" s="766">
        <f t="shared" si="13"/>
        <v>100</v>
      </c>
      <c r="V32" s="765" t="s">
        <v>17</v>
      </c>
      <c r="W32" s="766">
        <f t="shared" si="14"/>
        <v>100</v>
      </c>
      <c r="X32" s="1800"/>
      <c r="Y32" s="3303" t="s">
        <v>2555</v>
      </c>
      <c r="Z32" s="1801" t="str">
        <f t="shared" si="15"/>
        <v>商业类型</v>
      </c>
      <c r="AA32" s="1798">
        <f t="shared" si="3"/>
        <v>1</v>
      </c>
      <c r="AB32" s="1798">
        <f t="shared" si="4"/>
        <v>1</v>
      </c>
      <c r="AC32" s="1798">
        <f t="shared" si="5"/>
        <v>1</v>
      </c>
    </row>
    <row r="33" spans="1:29" s="462" customFormat="1" ht="15">
      <c r="A33" s="459"/>
      <c r="B33" s="413" t="s">
        <v>2556</v>
      </c>
      <c r="C33" s="460"/>
      <c r="D33" s="127">
        <v>100</v>
      </c>
      <c r="E33" s="421"/>
      <c r="F33" s="416" t="e">
        <f>LOOKUP(E33,103:103,104:104)-LOOKUP(C33,103:103,104:104)+100</f>
        <v>#N/A</v>
      </c>
      <c r="G33" s="420"/>
      <c r="H33" s="127" t="e">
        <f>LOOKUP(G33,103:103,104:104)-LOOKUP(C33,103:103,104:104)+100</f>
        <v>#N/A</v>
      </c>
      <c r="I33" s="420"/>
      <c r="J33" s="127" t="e">
        <f>LOOKUP(I33,103:103,104:104)-LOOKUP(C33,103:103,104:104)+100</f>
        <v>#N/A</v>
      </c>
      <c r="K33" s="604"/>
      <c r="L33" s="1126"/>
      <c r="M33" s="1129"/>
      <c r="N33" s="1129"/>
      <c r="O33" s="1129"/>
      <c r="P33" s="3315"/>
      <c r="Q33" s="767" t="str">
        <f t="shared" si="11"/>
        <v>项目建筑规模</v>
      </c>
      <c r="R33" s="768" t="s">
        <v>17</v>
      </c>
      <c r="S33" s="769" t="e">
        <f t="shared" si="12"/>
        <v>#N/A</v>
      </c>
      <c r="T33" s="768" t="s">
        <v>17</v>
      </c>
      <c r="U33" s="769" t="e">
        <f t="shared" si="13"/>
        <v>#N/A</v>
      </c>
      <c r="V33" s="768" t="s">
        <v>17</v>
      </c>
      <c r="W33" s="769" t="e">
        <f t="shared" si="14"/>
        <v>#N/A</v>
      </c>
      <c r="X33" s="770"/>
      <c r="Y33" s="3303"/>
      <c r="Z33" s="771" t="str">
        <f t="shared" si="15"/>
        <v>项目建筑规模</v>
      </c>
      <c r="AA33" s="1798" t="e">
        <f t="shared" si="3"/>
        <v>#N/A</v>
      </c>
      <c r="AB33" s="1798" t="e">
        <f t="shared" si="4"/>
        <v>#N/A</v>
      </c>
      <c r="AC33" s="1798" t="e">
        <f t="shared" si="5"/>
        <v>#N/A</v>
      </c>
    </row>
    <row r="34" spans="1:29" ht="15">
      <c r="A34" s="463"/>
      <c r="B34" s="413" t="s">
        <v>2557</v>
      </c>
      <c r="C34" s="2608"/>
      <c r="D34" s="426">
        <v>100</v>
      </c>
      <c r="E34" s="2608"/>
      <c r="F34" s="452">
        <f>SUMIF(105:105,E34,106:106)-SUMIF(105:105,C34,106:106)+100</f>
        <v>100</v>
      </c>
      <c r="G34" s="2608"/>
      <c r="H34" s="426">
        <f>SUMIF(105:105,G34,106:106)-SUMIF(105:105,C34,106:106)+100</f>
        <v>100</v>
      </c>
      <c r="I34" s="2608"/>
      <c r="J34" s="426">
        <f>SUMIF(105:105,I34,106:106)-SUMIF(105:105,C34,106:106)+100</f>
        <v>100</v>
      </c>
      <c r="K34" s="603"/>
      <c r="L34" s="1128"/>
      <c r="M34" s="1119"/>
      <c r="N34" s="1119"/>
      <c r="O34" s="1119"/>
      <c r="P34" s="3315"/>
      <c r="Q34" s="1797" t="str">
        <f t="shared" si="11"/>
        <v>建筑结构</v>
      </c>
      <c r="R34" s="765" t="s">
        <v>17</v>
      </c>
      <c r="S34" s="766">
        <f t="shared" si="12"/>
        <v>100</v>
      </c>
      <c r="T34" s="765" t="s">
        <v>17</v>
      </c>
      <c r="U34" s="766">
        <f t="shared" si="13"/>
        <v>100</v>
      </c>
      <c r="V34" s="765" t="s">
        <v>17</v>
      </c>
      <c r="W34" s="766">
        <f t="shared" si="14"/>
        <v>100</v>
      </c>
      <c r="X34" s="1800"/>
      <c r="Y34" s="3303"/>
      <c r="Z34" s="1801" t="str">
        <f t="shared" si="15"/>
        <v>建筑结构</v>
      </c>
      <c r="AA34" s="1798">
        <f t="shared" si="3"/>
        <v>1</v>
      </c>
      <c r="AB34" s="1798">
        <f t="shared" si="4"/>
        <v>1</v>
      </c>
      <c r="AC34" s="1798">
        <f t="shared" si="5"/>
        <v>1</v>
      </c>
    </row>
    <row r="35" spans="1:29" ht="15">
      <c r="A35" s="463"/>
      <c r="B35" s="413" t="s">
        <v>2651</v>
      </c>
      <c r="C35" s="2603"/>
      <c r="D35" s="426">
        <v>100</v>
      </c>
      <c r="E35" s="2603"/>
      <c r="F35" s="452">
        <f>SUMIF(107:107,E35,108:108)-SUMIF(107:107,C35,108:108)+100</f>
        <v>100</v>
      </c>
      <c r="G35" s="2603"/>
      <c r="H35" s="426">
        <f>SUMIF(107:107,G35,108:108)-SUMIF(107:107,C35,108:108)+100</f>
        <v>100</v>
      </c>
      <c r="I35" s="2603"/>
      <c r="J35" s="426">
        <f>SUMIF(107:107,I35,108:108)-SUMIF(107:107,C35,108:108)+100</f>
        <v>100</v>
      </c>
      <c r="K35" s="603"/>
      <c r="L35" s="1128"/>
      <c r="M35" s="1119"/>
      <c r="N35" s="1119"/>
      <c r="O35" s="1119"/>
      <c r="P35" s="3315"/>
      <c r="Q35" s="1797" t="str">
        <f t="shared" si="11"/>
        <v>公共部分装修</v>
      </c>
      <c r="R35" s="765" t="s">
        <v>17</v>
      </c>
      <c r="S35" s="766">
        <f t="shared" si="12"/>
        <v>100</v>
      </c>
      <c r="T35" s="765" t="s">
        <v>17</v>
      </c>
      <c r="U35" s="766">
        <f t="shared" si="13"/>
        <v>100</v>
      </c>
      <c r="V35" s="765" t="s">
        <v>17</v>
      </c>
      <c r="W35" s="766">
        <f t="shared" si="14"/>
        <v>100</v>
      </c>
      <c r="X35" s="1800"/>
      <c r="Y35" s="3303"/>
      <c r="Z35" s="1801" t="str">
        <f t="shared" si="15"/>
        <v>公共部分装修</v>
      </c>
      <c r="AA35" s="1798">
        <f t="shared" si="3"/>
        <v>1</v>
      </c>
      <c r="AB35" s="1798">
        <f t="shared" si="4"/>
        <v>1</v>
      </c>
      <c r="AC35" s="1798">
        <f t="shared" si="5"/>
        <v>1</v>
      </c>
    </row>
    <row r="36" spans="1:29" ht="15">
      <c r="A36" s="463"/>
      <c r="B36" s="413" t="s">
        <v>2652</v>
      </c>
      <c r="C36" s="465"/>
      <c r="D36" s="426">
        <v>100</v>
      </c>
      <c r="E36" s="465"/>
      <c r="F36" s="452" t="e">
        <f>LOOKUP(E36,110:110,111:111)-LOOKUP(C36,110:110,111:111)+100</f>
        <v>#N/A</v>
      </c>
      <c r="G36" s="465"/>
      <c r="H36" s="452" t="e">
        <f>LOOKUP(G36,110:110,111:111)-LOOKUP(C36,110:110,111:111)+100</f>
        <v>#N/A</v>
      </c>
      <c r="I36" s="465"/>
      <c r="J36" s="426" t="e">
        <f>LOOKUP(I36,110:110,111:111)-LOOKUP(C36,110:110,111:111)+100</f>
        <v>#N/A</v>
      </c>
      <c r="K36" s="603"/>
      <c r="L36" s="1128"/>
      <c r="M36" s="1119"/>
      <c r="N36" s="1119"/>
      <c r="O36" s="1119"/>
      <c r="P36" s="3315"/>
      <c r="Q36" s="1797" t="str">
        <f t="shared" si="11"/>
        <v>成新度</v>
      </c>
      <c r="R36" s="765" t="s">
        <v>17</v>
      </c>
      <c r="S36" s="766" t="e">
        <f t="shared" si="12"/>
        <v>#N/A</v>
      </c>
      <c r="T36" s="765" t="s">
        <v>17</v>
      </c>
      <c r="U36" s="766" t="e">
        <f t="shared" si="13"/>
        <v>#N/A</v>
      </c>
      <c r="V36" s="765" t="s">
        <v>17</v>
      </c>
      <c r="W36" s="766" t="e">
        <f t="shared" si="14"/>
        <v>#N/A</v>
      </c>
      <c r="X36" s="1800"/>
      <c r="Y36" s="3303"/>
      <c r="Z36" s="1801" t="str">
        <f t="shared" si="15"/>
        <v>成新度</v>
      </c>
      <c r="AA36" s="1798" t="e">
        <f t="shared" si="3"/>
        <v>#N/A</v>
      </c>
      <c r="AB36" s="1798" t="e">
        <f t="shared" si="4"/>
        <v>#N/A</v>
      </c>
      <c r="AC36" s="1798" t="e">
        <f t="shared" si="5"/>
        <v>#N/A</v>
      </c>
    </row>
    <row r="37" spans="1:29" s="110" customFormat="1" ht="15">
      <c r="A37" s="464"/>
      <c r="B37" s="413" t="s">
        <v>2653</v>
      </c>
      <c r="C37" s="2603"/>
      <c r="D37" s="127">
        <v>100</v>
      </c>
      <c r="E37" s="2603"/>
      <c r="F37" s="452">
        <f>SUMIF(112:112,E37,113:113)-SUMIF(112:112,C37,113:113)+100</f>
        <v>100</v>
      </c>
      <c r="G37" s="2603"/>
      <c r="H37" s="426">
        <f>SUMIF(112:112,G37,113:113)-SUMIF(112:112,C37,113:113)+100</f>
        <v>100</v>
      </c>
      <c r="I37" s="2603"/>
      <c r="J37" s="426">
        <f>SUMIF(112:112,I37,113:113)-SUMIF(112:112,C37,113:113)+100</f>
        <v>100</v>
      </c>
      <c r="K37" s="603"/>
      <c r="L37" s="1120"/>
      <c r="M37" s="1121"/>
      <c r="N37" s="1121"/>
      <c r="O37" s="1121"/>
      <c r="P37" s="3315"/>
      <c r="Q37" s="1782" t="str">
        <f t="shared" si="11"/>
        <v>市政基础设施</v>
      </c>
      <c r="R37" s="761" t="s">
        <v>17</v>
      </c>
      <c r="S37" s="762">
        <f t="shared" si="12"/>
        <v>100</v>
      </c>
      <c r="T37" s="761" t="s">
        <v>17</v>
      </c>
      <c r="U37" s="762">
        <f t="shared" si="13"/>
        <v>100</v>
      </c>
      <c r="V37" s="761" t="s">
        <v>17</v>
      </c>
      <c r="W37" s="762">
        <f t="shared" si="14"/>
        <v>100</v>
      </c>
      <c r="X37" s="763"/>
      <c r="Y37" s="3303"/>
      <c r="Z37" s="54" t="str">
        <f t="shared" si="15"/>
        <v>市政基础设施</v>
      </c>
      <c r="AA37" s="764">
        <f t="shared" si="3"/>
        <v>1</v>
      </c>
      <c r="AB37" s="764">
        <f t="shared" si="4"/>
        <v>1</v>
      </c>
      <c r="AC37" s="764">
        <f t="shared" si="5"/>
        <v>1</v>
      </c>
    </row>
    <row r="38" spans="1:29" ht="15">
      <c r="A38" s="463"/>
      <c r="B38" s="413" t="s">
        <v>2654</v>
      </c>
      <c r="C38" s="2603"/>
      <c r="D38" s="426">
        <v>100</v>
      </c>
      <c r="E38" s="2603"/>
      <c r="F38" s="452">
        <f>SUMIF(114:114,E38,115:115)-SUMIF(114:114,C38,115:115)+100</f>
        <v>100</v>
      </c>
      <c r="G38" s="2603"/>
      <c r="H38" s="426">
        <f>SUMIF(114:114,G38,115:115)-SUMIF(114:114,C38,115:115)+100</f>
        <v>100</v>
      </c>
      <c r="I38" s="2603"/>
      <c r="J38" s="426">
        <f>SUMIF(114:114,I38,115:115)-SUMIF(114:114,C38,115:115)+100</f>
        <v>100</v>
      </c>
      <c r="K38" s="603"/>
      <c r="L38" s="1128"/>
      <c r="M38" s="1119"/>
      <c r="N38" s="1119"/>
      <c r="O38" s="1119"/>
      <c r="P38" s="3315" t="s">
        <v>2555</v>
      </c>
      <c r="Q38" s="1797" t="str">
        <f t="shared" si="11"/>
        <v>业态</v>
      </c>
      <c r="R38" s="765" t="s">
        <v>17</v>
      </c>
      <c r="S38" s="766">
        <f t="shared" si="12"/>
        <v>100</v>
      </c>
      <c r="T38" s="765" t="s">
        <v>17</v>
      </c>
      <c r="U38" s="766">
        <f t="shared" si="13"/>
        <v>100</v>
      </c>
      <c r="V38" s="765" t="s">
        <v>17</v>
      </c>
      <c r="W38" s="766">
        <f t="shared" si="14"/>
        <v>100</v>
      </c>
      <c r="X38" s="1800"/>
      <c r="Y38" s="3303" t="s">
        <v>2555</v>
      </c>
      <c r="Z38" s="1801" t="str">
        <f t="shared" si="15"/>
        <v>业态</v>
      </c>
      <c r="AA38" s="1798">
        <f t="shared" si="3"/>
        <v>1</v>
      </c>
      <c r="AB38" s="1798">
        <f t="shared" si="4"/>
        <v>1</v>
      </c>
      <c r="AC38" s="1798">
        <f t="shared" si="5"/>
        <v>1</v>
      </c>
    </row>
    <row r="39" spans="1:29" ht="15">
      <c r="A39" s="463"/>
      <c r="B39" s="413" t="s">
        <v>2655</v>
      </c>
      <c r="C39" s="2603"/>
      <c r="D39" s="426">
        <v>100</v>
      </c>
      <c r="E39" s="2603"/>
      <c r="F39" s="452">
        <f>SUMIF(116:116,E39,117:117)-SUMIF(116:116,C39,117:117)+100</f>
        <v>100</v>
      </c>
      <c r="G39" s="2603"/>
      <c r="H39" s="426">
        <f>SUMIF(116:116,G39,117:117)-SUMIF(116:116,C39,117:117)+100</f>
        <v>100</v>
      </c>
      <c r="I39" s="2603"/>
      <c r="J39" s="426">
        <f>SUMIF(116:116,I39,117:117)-SUMIF(116:116,C39,117:117)+100</f>
        <v>100</v>
      </c>
      <c r="K39" s="603"/>
      <c r="L39" s="1128"/>
      <c r="M39" s="1119"/>
      <c r="N39" s="1119"/>
      <c r="O39" s="1119"/>
      <c r="P39" s="3315"/>
      <c r="Q39" s="1797" t="str">
        <f t="shared" si="11"/>
        <v>层高</v>
      </c>
      <c r="R39" s="765" t="s">
        <v>17</v>
      </c>
      <c r="S39" s="766">
        <f t="shared" si="12"/>
        <v>100</v>
      </c>
      <c r="T39" s="765" t="s">
        <v>17</v>
      </c>
      <c r="U39" s="766">
        <f t="shared" si="13"/>
        <v>100</v>
      </c>
      <c r="V39" s="765" t="s">
        <v>17</v>
      </c>
      <c r="W39" s="766">
        <f t="shared" si="14"/>
        <v>100</v>
      </c>
      <c r="X39" s="1800"/>
      <c r="Y39" s="3303"/>
      <c r="Z39" s="1801" t="str">
        <f t="shared" si="15"/>
        <v>层高</v>
      </c>
      <c r="AA39" s="1798">
        <f t="shared" si="3"/>
        <v>1</v>
      </c>
      <c r="AB39" s="1798">
        <f t="shared" si="4"/>
        <v>1</v>
      </c>
      <c r="AC39" s="1798">
        <f t="shared" si="5"/>
        <v>1</v>
      </c>
    </row>
    <row r="40" spans="1:29" ht="15">
      <c r="A40" s="463"/>
      <c r="B40" s="413" t="s">
        <v>2656</v>
      </c>
      <c r="C40" s="608"/>
      <c r="D40" s="426">
        <v>100</v>
      </c>
      <c r="E40" s="609"/>
      <c r="F40" s="452">
        <f>SUMIF(118:118,E40,119:119)-SUMIF(118:118,C40,119:119)+100</f>
        <v>100</v>
      </c>
      <c r="G40" s="609"/>
      <c r="H40" s="426">
        <f>SUMIF(118:118,G40,119:119)-SUMIF(118:118,C40,119:119)+100</f>
        <v>100</v>
      </c>
      <c r="I40" s="609"/>
      <c r="J40" s="426">
        <f>SUMIF(118:118,I40,119:119)-SUMIF(118:118,C40,119:119)+100</f>
        <v>100</v>
      </c>
      <c r="K40" s="604"/>
      <c r="L40" s="1128"/>
      <c r="M40" s="1119"/>
      <c r="N40" s="1119"/>
      <c r="O40" s="1119"/>
      <c r="P40" s="3315"/>
      <c r="Q40" s="1797" t="str">
        <f t="shared" si="11"/>
        <v>单套建筑面积</v>
      </c>
      <c r="R40" s="765" t="s">
        <v>17</v>
      </c>
      <c r="S40" s="766">
        <f t="shared" si="12"/>
        <v>100</v>
      </c>
      <c r="T40" s="765" t="s">
        <v>17</v>
      </c>
      <c r="U40" s="766">
        <f t="shared" si="13"/>
        <v>100</v>
      </c>
      <c r="V40" s="765" t="s">
        <v>17</v>
      </c>
      <c r="W40" s="766">
        <f t="shared" si="14"/>
        <v>100</v>
      </c>
      <c r="X40" s="1800"/>
      <c r="Y40" s="3303"/>
      <c r="Z40" s="1801" t="str">
        <f t="shared" si="15"/>
        <v>单套建筑面积</v>
      </c>
      <c r="AA40" s="1798">
        <f t="shared" si="3"/>
        <v>1</v>
      </c>
      <c r="AB40" s="1798">
        <f t="shared" si="4"/>
        <v>1</v>
      </c>
      <c r="AC40" s="1798">
        <f t="shared" si="5"/>
        <v>1</v>
      </c>
    </row>
    <row r="41" spans="1:29" s="462" customFormat="1" ht="15">
      <c r="A41" s="459"/>
      <c r="B41" s="1799" t="s">
        <v>2657</v>
      </c>
      <c r="C41" s="607"/>
      <c r="D41" s="426">
        <v>100</v>
      </c>
      <c r="E41" s="607"/>
      <c r="F41" s="452">
        <f>SUMIF(120:120,E41,121:121)-SUMIF(120:120,C41,121:121)+100</f>
        <v>100</v>
      </c>
      <c r="G41" s="607"/>
      <c r="H41" s="426">
        <f>SUMIF(120:120,G41,121:121)-SUMIF(120:120,C41,121:121)+100</f>
        <v>100</v>
      </c>
      <c r="I41" s="607"/>
      <c r="J41" s="426">
        <f>SUMIF(120:120,I41,121:121)-SUMIF(120:120,C41,121:121)+100</f>
        <v>100</v>
      </c>
      <c r="K41" s="603"/>
      <c r="L41" s="1126"/>
      <c r="M41" s="1129"/>
      <c r="N41" s="1129"/>
      <c r="O41" s="1129"/>
      <c r="P41" s="3315"/>
      <c r="Q41" s="767" t="str">
        <f t="shared" si="11"/>
        <v>进深比</v>
      </c>
      <c r="R41" s="768" t="s">
        <v>17</v>
      </c>
      <c r="S41" s="769">
        <f t="shared" si="12"/>
        <v>100</v>
      </c>
      <c r="T41" s="768" t="s">
        <v>17</v>
      </c>
      <c r="U41" s="769">
        <f t="shared" si="13"/>
        <v>100</v>
      </c>
      <c r="V41" s="768" t="s">
        <v>17</v>
      </c>
      <c r="W41" s="769">
        <f t="shared" si="14"/>
        <v>100</v>
      </c>
      <c r="X41" s="770"/>
      <c r="Y41" s="3303"/>
      <c r="Z41" s="771" t="str">
        <f t="shared" si="15"/>
        <v>进深比</v>
      </c>
      <c r="AA41" s="1798">
        <f t="shared" si="3"/>
        <v>1</v>
      </c>
      <c r="AB41" s="1798">
        <f t="shared" si="4"/>
        <v>1</v>
      </c>
      <c r="AC41" s="1798">
        <f t="shared" si="5"/>
        <v>1</v>
      </c>
    </row>
    <row r="42" spans="1:29" ht="15">
      <c r="A42" s="463"/>
      <c r="B42" s="413" t="s">
        <v>2658</v>
      </c>
      <c r="C42" s="2603"/>
      <c r="D42" s="426">
        <v>100</v>
      </c>
      <c r="E42" s="2603"/>
      <c r="F42" s="452">
        <f>SUMIF(122:122,E42,123:123)-SUMIF(122:122,C42,123:123)+100</f>
        <v>100</v>
      </c>
      <c r="G42" s="2603"/>
      <c r="H42" s="426">
        <f>SUMIF(122:122,G42,123:123)-SUMIF(122:122,C42,123:123)+100</f>
        <v>100</v>
      </c>
      <c r="I42" s="2603"/>
      <c r="J42" s="426">
        <f>SUMIF(122:122,I42,123:123)-SUMIF(122:122,C42,123:123)+100</f>
        <v>100</v>
      </c>
      <c r="K42" s="603"/>
      <c r="L42" s="1128"/>
      <c r="M42" s="1119"/>
      <c r="N42" s="1119"/>
      <c r="O42" s="1119"/>
      <c r="P42" s="3315"/>
      <c r="Q42" s="1797" t="str">
        <f t="shared" si="11"/>
        <v>内部装修</v>
      </c>
      <c r="R42" s="765" t="s">
        <v>17</v>
      </c>
      <c r="S42" s="766">
        <f t="shared" si="12"/>
        <v>100</v>
      </c>
      <c r="T42" s="765" t="s">
        <v>17</v>
      </c>
      <c r="U42" s="766">
        <f t="shared" si="13"/>
        <v>100</v>
      </c>
      <c r="V42" s="765" t="s">
        <v>17</v>
      </c>
      <c r="W42" s="766">
        <f t="shared" si="14"/>
        <v>100</v>
      </c>
      <c r="X42" s="1800"/>
      <c r="Y42" s="3303"/>
      <c r="Z42" s="1801" t="str">
        <f t="shared" si="15"/>
        <v>内部装修</v>
      </c>
      <c r="AA42" s="1798">
        <f t="shared" si="3"/>
        <v>1</v>
      </c>
      <c r="AB42" s="1798">
        <f t="shared" si="4"/>
        <v>1</v>
      </c>
      <c r="AC42" s="1798">
        <f t="shared" si="5"/>
        <v>1</v>
      </c>
    </row>
    <row r="43" spans="1:29" ht="15">
      <c r="A43" s="463"/>
      <c r="B43" s="413" t="s">
        <v>2566</v>
      </c>
      <c r="C43" s="2603"/>
      <c r="D43" s="426">
        <v>100</v>
      </c>
      <c r="E43" s="2603"/>
      <c r="F43" s="452">
        <f>SUMIF(124:124,E43,125:125)-SUMIF(124:124,C43,125:125)+100</f>
        <v>100</v>
      </c>
      <c r="G43" s="2603"/>
      <c r="H43" s="426">
        <f>SUMIF(124:124,G43,125:125)-SUMIF(124:124,C43,125:125)+100</f>
        <v>100</v>
      </c>
      <c r="I43" s="2603"/>
      <c r="J43" s="426">
        <f>SUMIF(124:124,I43,125:125)-SUMIF(124:124,C43,125:125)+100</f>
        <v>100</v>
      </c>
      <c r="K43" s="603"/>
      <c r="L43" s="1128"/>
      <c r="M43" s="1119"/>
      <c r="N43" s="1119"/>
      <c r="O43" s="1119"/>
      <c r="P43" s="3315"/>
      <c r="Q43" s="1797" t="str">
        <f t="shared" si="11"/>
        <v>内部装修维护情况</v>
      </c>
      <c r="R43" s="765" t="s">
        <v>17</v>
      </c>
      <c r="S43" s="766">
        <f t="shared" si="12"/>
        <v>100</v>
      </c>
      <c r="T43" s="765" t="s">
        <v>17</v>
      </c>
      <c r="U43" s="766">
        <f t="shared" si="13"/>
        <v>100</v>
      </c>
      <c r="V43" s="765" t="s">
        <v>17</v>
      </c>
      <c r="W43" s="766">
        <f t="shared" si="14"/>
        <v>100</v>
      </c>
      <c r="X43" s="1800"/>
      <c r="Y43" s="3303"/>
      <c r="Z43" s="1801" t="str">
        <f t="shared" si="15"/>
        <v>内部装修维护情况</v>
      </c>
      <c r="AA43" s="1798">
        <f t="shared" si="3"/>
        <v>1</v>
      </c>
      <c r="AB43" s="1798">
        <f t="shared" si="4"/>
        <v>1</v>
      </c>
      <c r="AC43" s="1798">
        <f t="shared" si="5"/>
        <v>1</v>
      </c>
    </row>
    <row r="44" spans="1:29" s="110" customFormat="1" ht="15">
      <c r="A44" s="464"/>
      <c r="B44" s="1374">
        <v>111</v>
      </c>
      <c r="C44" s="460"/>
      <c r="D44" s="127">
        <v>100</v>
      </c>
      <c r="E44" s="425"/>
      <c r="F44" s="416">
        <f>SUMIF(126:126,E44,127:127)-SUMIF(126:126,C44,127:127)+100</f>
        <v>100</v>
      </c>
      <c r="G44" s="425"/>
      <c r="H44" s="127">
        <f>SUMIF(126:126,G44,127:127)-SUMIF(126:126,C44,127:127)+100</f>
        <v>100</v>
      </c>
      <c r="I44" s="425"/>
      <c r="J44" s="127">
        <f>SUMIF(126:126,I44,127:127)-SUMIF(126:126,C44,127:127)+100</f>
        <v>100</v>
      </c>
      <c r="K44" s="604"/>
      <c r="L44" s="1120"/>
      <c r="M44" s="1121"/>
      <c r="N44" s="1121"/>
      <c r="O44" s="1121"/>
      <c r="P44" s="3315"/>
      <c r="Q44" s="1782">
        <f t="shared" si="11"/>
        <v>111</v>
      </c>
      <c r="R44" s="761" t="s">
        <v>17</v>
      </c>
      <c r="S44" s="762">
        <f t="shared" si="12"/>
        <v>100</v>
      </c>
      <c r="T44" s="761" t="s">
        <v>17</v>
      </c>
      <c r="U44" s="762">
        <f t="shared" si="13"/>
        <v>100</v>
      </c>
      <c r="V44" s="761" t="s">
        <v>17</v>
      </c>
      <c r="W44" s="762">
        <f t="shared" si="14"/>
        <v>100</v>
      </c>
      <c r="X44" s="763"/>
      <c r="Y44" s="3303"/>
      <c r="Z44" s="54">
        <f t="shared" si="15"/>
        <v>111</v>
      </c>
      <c r="AA44" s="764">
        <f t="shared" si="3"/>
        <v>1</v>
      </c>
      <c r="AB44" s="764">
        <f t="shared" si="4"/>
        <v>1</v>
      </c>
      <c r="AC44" s="764">
        <f t="shared" si="5"/>
        <v>1</v>
      </c>
    </row>
    <row r="45" spans="1:29" ht="15">
      <c r="A45" s="463"/>
      <c r="B45" s="1374">
        <v>111</v>
      </c>
      <c r="C45" s="425"/>
      <c r="D45" s="426">
        <v>100</v>
      </c>
      <c r="E45" s="425"/>
      <c r="F45" s="452">
        <f>SUMIF(128:128,E45,129:129)-SUMIF(128:128,C45,129:129)+100</f>
        <v>100</v>
      </c>
      <c r="G45" s="425"/>
      <c r="H45" s="426">
        <f>SUMIF(128:128,G45,129:129)-SUMIF(128:128,C45,129:129)+100</f>
        <v>100</v>
      </c>
      <c r="I45" s="425"/>
      <c r="J45" s="426">
        <f>SUMIF(128:128,I45,129:129)-SUMIF(128:128,C45,129:129)+100</f>
        <v>100</v>
      </c>
      <c r="K45" s="604"/>
      <c r="L45" s="1128"/>
      <c r="M45" s="1119"/>
      <c r="N45" s="1119"/>
      <c r="O45" s="1119"/>
      <c r="P45" s="3315"/>
      <c r="Q45" s="1797">
        <f t="shared" si="11"/>
        <v>111</v>
      </c>
      <c r="R45" s="765" t="s">
        <v>17</v>
      </c>
      <c r="S45" s="766">
        <f t="shared" si="12"/>
        <v>100</v>
      </c>
      <c r="T45" s="765" t="s">
        <v>17</v>
      </c>
      <c r="U45" s="766">
        <f t="shared" si="13"/>
        <v>100</v>
      </c>
      <c r="V45" s="765" t="s">
        <v>17</v>
      </c>
      <c r="W45" s="766">
        <f t="shared" si="14"/>
        <v>100</v>
      </c>
      <c r="X45" s="1800"/>
      <c r="Y45" s="3303"/>
      <c r="Z45" s="1801">
        <f t="shared" si="15"/>
        <v>111</v>
      </c>
      <c r="AA45" s="1798">
        <f t="shared" si="3"/>
        <v>1</v>
      </c>
      <c r="AB45" s="1798">
        <f t="shared" si="4"/>
        <v>1</v>
      </c>
      <c r="AC45" s="1798">
        <f t="shared" si="5"/>
        <v>1</v>
      </c>
    </row>
    <row r="46" spans="1:29" ht="15.75" thickBot="1">
      <c r="A46" s="469"/>
      <c r="B46" s="2592">
        <v>111</v>
      </c>
      <c r="C46" s="428"/>
      <c r="D46" s="429">
        <v>100</v>
      </c>
      <c r="E46" s="425"/>
      <c r="F46" s="430">
        <f>SUMIF(130:130,E46,131:131)-SUMIF(130:130,C46,131:131)+100</f>
        <v>100</v>
      </c>
      <c r="G46" s="425"/>
      <c r="H46" s="429">
        <f>SUMIF(130:130,G46,131:131)-SUMIF(130:130,C46,131:131)+100</f>
        <v>100</v>
      </c>
      <c r="I46" s="425"/>
      <c r="J46" s="429">
        <f>SUMIF(130:130,I46,131:131)-SUMIF(130:130,C46,131:131)+100</f>
        <v>100</v>
      </c>
      <c r="K46" s="604"/>
      <c r="L46" s="1128"/>
      <c r="M46" s="1119"/>
      <c r="N46" s="1119"/>
      <c r="O46" s="1119"/>
      <c r="P46" s="3316"/>
      <c r="Q46" s="1797">
        <f t="shared" si="11"/>
        <v>111</v>
      </c>
      <c r="R46" s="765" t="s">
        <v>17</v>
      </c>
      <c r="S46" s="766">
        <f t="shared" si="12"/>
        <v>100</v>
      </c>
      <c r="T46" s="765" t="s">
        <v>17</v>
      </c>
      <c r="U46" s="766">
        <f t="shared" si="13"/>
        <v>100</v>
      </c>
      <c r="V46" s="765" t="s">
        <v>17</v>
      </c>
      <c r="W46" s="766">
        <f t="shared" si="14"/>
        <v>100</v>
      </c>
      <c r="X46" s="1800"/>
      <c r="Y46" s="3317"/>
      <c r="Z46" s="1801">
        <f t="shared" si="15"/>
        <v>111</v>
      </c>
      <c r="AA46" s="1798">
        <f t="shared" si="3"/>
        <v>1</v>
      </c>
      <c r="AB46" s="1798">
        <f t="shared" si="4"/>
        <v>1</v>
      </c>
      <c r="AC46" s="1798">
        <f t="shared" si="5"/>
        <v>1</v>
      </c>
    </row>
    <row r="47" spans="1:29" ht="15">
      <c r="A47" s="470" t="s">
        <v>2567</v>
      </c>
      <c r="B47" s="471"/>
      <c r="C47" s="1395" t="s">
        <v>1</v>
      </c>
      <c r="D47" s="1396"/>
      <c r="E47" s="1397"/>
      <c r="F47" s="1398"/>
      <c r="G47" s="1399"/>
      <c r="H47" s="1400"/>
      <c r="I47" s="1397"/>
      <c r="J47" s="1400"/>
      <c r="K47" s="774"/>
      <c r="L47" s="1131"/>
      <c r="M47" s="1132"/>
      <c r="N47" s="1119"/>
      <c r="O47" s="1132"/>
      <c r="P47" s="3285" t="str">
        <f>A47</f>
        <v>成交单价（元/平方米）</v>
      </c>
      <c r="Q47" s="3285"/>
      <c r="R47" s="3298">
        <f>E47</f>
        <v>0</v>
      </c>
      <c r="S47" s="3298"/>
      <c r="T47" s="3298">
        <f>G47</f>
        <v>0</v>
      </c>
      <c r="U47" s="3298"/>
      <c r="V47" s="3298">
        <f>I47</f>
        <v>0</v>
      </c>
      <c r="W47" s="3298"/>
      <c r="X47" s="750"/>
      <c r="Y47" s="772"/>
      <c r="Z47" s="750"/>
      <c r="AA47" s="750"/>
      <c r="AB47" s="750"/>
      <c r="AC47" s="750"/>
    </row>
    <row r="48" spans="1:29" ht="15.75" thickBot="1">
      <c r="A48" s="477" t="s">
        <v>2659</v>
      </c>
      <c r="B48" s="478"/>
      <c r="C48" s="1401" t="e">
        <f>R49</f>
        <v>#DIV/0!</v>
      </c>
      <c r="D48" s="1402"/>
      <c r="E48" s="1403" t="e">
        <f>R48</f>
        <v>#DIV/0!</v>
      </c>
      <c r="F48" s="1403"/>
      <c r="G48" s="1401" t="e">
        <f>T48</f>
        <v>#DIV/0!</v>
      </c>
      <c r="H48" s="1402"/>
      <c r="I48" s="1403" t="e">
        <f>V48</f>
        <v>#DIV/0!</v>
      </c>
      <c r="J48" s="1402"/>
      <c r="K48" s="775"/>
      <c r="L48" s="1131"/>
      <c r="M48" s="1132"/>
      <c r="N48" s="1119"/>
      <c r="O48" s="1132"/>
      <c r="P48" s="3285" t="str">
        <f>A48</f>
        <v>比较价值（元/平方米）</v>
      </c>
      <c r="Q48" s="3285"/>
      <c r="R48" s="3313" t="e">
        <f>IF(F1="售价",ROUND(PRODUCT(R47,AA7:AA46),0),ROUND(PRODUCT(R47,AA7:AA46),1))</f>
        <v>#DIV/0!</v>
      </c>
      <c r="S48" s="3313"/>
      <c r="T48" s="3313" t="e">
        <f>IF(F1="售价",ROUND(PRODUCT(T47,AB7:AB46),0),ROUND(PRODUCT(T47,AB7:AB46),1))</f>
        <v>#DIV/0!</v>
      </c>
      <c r="U48" s="3313"/>
      <c r="V48" s="3313" t="e">
        <f>IF(F1="售价",ROUND(PRODUCT(V47,AC7:AC46),0),ROUND(PRODUCT(V47,AC7:AC46),1))</f>
        <v>#DIV/0!</v>
      </c>
      <c r="W48" s="3313"/>
      <c r="X48" s="750"/>
      <c r="Y48" s="750"/>
      <c r="Z48" s="750"/>
      <c r="AA48" s="750"/>
      <c r="AB48" s="750"/>
      <c r="AC48" s="750"/>
    </row>
    <row r="49" spans="1:29" ht="15.75" thickBot="1">
      <c r="A49" s="483" t="s">
        <v>2660</v>
      </c>
      <c r="B49" s="484"/>
      <c r="C49" s="1405" t="e">
        <f>R49</f>
        <v>#DIV/0!</v>
      </c>
      <c r="D49" s="1405"/>
      <c r="E49" s="1405"/>
      <c r="F49" s="1405"/>
      <c r="G49" s="1405"/>
      <c r="H49" s="1405"/>
      <c r="I49" s="1405"/>
      <c r="J49" s="1405"/>
      <c r="K49" s="776"/>
      <c r="L49" s="1131"/>
      <c r="M49" s="1132"/>
      <c r="N49" s="1119"/>
      <c r="O49" s="1132"/>
      <c r="P49" s="3305" t="str">
        <f>A49</f>
        <v>估价对象XX用房的比较价值（楼面单价，元/平方米）</v>
      </c>
      <c r="Q49" s="3306"/>
      <c r="R49" s="3312" t="e">
        <f>IF(F1="售价",ROUND(AVERAGE(R48:V48),0),ROUND(AVERAGE(R48:V48),1))</f>
        <v>#DIV/0!</v>
      </c>
      <c r="S49" s="3312"/>
      <c r="T49" s="3312"/>
      <c r="U49" s="3312"/>
      <c r="V49" s="3312"/>
      <c r="W49" s="3312"/>
      <c r="X49" s="750"/>
      <c r="Y49" s="750"/>
      <c r="Z49" s="750"/>
      <c r="AA49" s="750"/>
      <c r="AB49" s="750"/>
      <c r="AC49" s="750"/>
    </row>
    <row r="50" spans="1:29">
      <c r="A50" s="1132"/>
      <c r="B50" s="1132"/>
      <c r="C50" s="1132"/>
      <c r="D50" s="1132"/>
      <c r="E50" s="1132"/>
      <c r="F50" s="1132"/>
      <c r="G50" s="1135"/>
      <c r="H50" s="1132"/>
      <c r="I50" s="1132"/>
      <c r="J50" s="1132"/>
      <c r="K50" s="1093"/>
      <c r="L50" s="1094"/>
      <c r="M50" s="1132"/>
      <c r="N50" s="1132"/>
      <c r="O50" s="1132"/>
      <c r="P50" s="666"/>
      <c r="Q50" s="750"/>
      <c r="R50" s="750"/>
      <c r="S50" s="750"/>
      <c r="T50" s="750"/>
      <c r="U50" s="750"/>
      <c r="V50" s="750"/>
      <c r="W50" s="750"/>
      <c r="X50" s="750"/>
      <c r="Y50" s="750"/>
      <c r="Z50" s="750"/>
      <c r="AA50" s="750"/>
      <c r="AB50" s="750"/>
      <c r="AC50" s="750"/>
    </row>
    <row r="51" spans="1:29">
      <c r="A51" s="1132"/>
      <c r="B51" s="1132"/>
      <c r="C51" s="1132"/>
      <c r="D51" s="1132"/>
      <c r="E51" s="1132"/>
      <c r="F51" s="1132"/>
      <c r="G51" s="1132"/>
      <c r="H51" s="1132"/>
      <c r="I51" s="1132"/>
      <c r="J51" s="1132"/>
      <c r="K51" s="1093"/>
      <c r="L51" s="1094"/>
      <c r="M51" s="1132"/>
      <c r="N51" s="1132"/>
      <c r="O51" s="1132"/>
      <c r="P51" s="666"/>
      <c r="Q51" s="750"/>
      <c r="R51" s="750"/>
      <c r="S51" s="750"/>
      <c r="T51" s="750"/>
      <c r="U51" s="750"/>
      <c r="V51" s="750"/>
      <c r="W51" s="750"/>
      <c r="X51" s="750"/>
      <c r="Y51" s="750"/>
      <c r="Z51" s="750"/>
      <c r="AA51" s="750"/>
      <c r="AB51" s="750"/>
      <c r="AC51" s="750"/>
    </row>
    <row r="52" spans="1:29" ht="13.5" customHeight="1">
      <c r="A52" s="1132"/>
      <c r="B52" s="1132"/>
      <c r="C52" s="488" t="s">
        <v>2661</v>
      </c>
      <c r="D52" s="489"/>
      <c r="E52" s="490" t="e">
        <f>IF(E47&lt;E48,E48/E47-1,E47/E48-1)</f>
        <v>#DIV/0!</v>
      </c>
      <c r="F52" s="491" t="e">
        <f>IF(OR(E52&gt;=0.3,E52&lt;=-0.3),"超过30%","")</f>
        <v>#DIV/0!</v>
      </c>
      <c r="G52" s="490" t="e">
        <f>IF(G47&lt;G48,G48/G47-1,G47/G48-1)</f>
        <v>#DIV/0!</v>
      </c>
      <c r="H52" s="491" t="e">
        <f>IF(OR(G52&gt;=0.3,G52&lt;=-0.3),"超过30%","")</f>
        <v>#DIV/0!</v>
      </c>
      <c r="I52" s="490" t="e">
        <f>IF(I47&lt;I48,I48/I47-1,I47/I48-1)</f>
        <v>#DIV/0!</v>
      </c>
      <c r="J52" s="491" t="e">
        <f>IF(OR(I52&gt;=0.3,I52&lt;=-0.3),"超过30%","")</f>
        <v>#DIV/0!</v>
      </c>
      <c r="K52" s="1093"/>
      <c r="L52" s="1094"/>
      <c r="M52" s="1132"/>
      <c r="N52" s="1132"/>
      <c r="O52" s="1132"/>
      <c r="P52" s="666"/>
      <c r="Q52" s="750"/>
      <c r="R52" s="750"/>
      <c r="S52" s="750"/>
      <c r="T52" s="750"/>
      <c r="U52" s="750"/>
      <c r="V52" s="750"/>
      <c r="W52" s="750"/>
      <c r="X52" s="750"/>
      <c r="Y52" s="750"/>
      <c r="Z52" s="750"/>
      <c r="AA52" s="750"/>
      <c r="AB52" s="750"/>
      <c r="AC52" s="750"/>
    </row>
    <row r="53" spans="1:29" ht="13.5" customHeight="1">
      <c r="A53" s="1132"/>
      <c r="B53" s="1132"/>
      <c r="C53" s="488" t="s">
        <v>2662</v>
      </c>
      <c r="D53" s="492"/>
      <c r="E53" s="490" t="e">
        <f>IF(E48&lt;G48,G48/E48-1,E48/G48-1)</f>
        <v>#DIV/0!</v>
      </c>
      <c r="F53" s="491" t="e">
        <f>IF(OR(E53&gt;=0.2,E53&lt;=-0.2),"超过20%","")</f>
        <v>#DIV/0!</v>
      </c>
      <c r="G53" s="490" t="e">
        <f>IF(G48&lt;I48,I48/G48-1,G48/I48-1)</f>
        <v>#DIV/0!</v>
      </c>
      <c r="H53" s="491" t="e">
        <f>IF(OR(G53&gt;=0.2,G53&lt;=-0.2),"超过20%","")</f>
        <v>#DIV/0!</v>
      </c>
      <c r="I53" s="490" t="e">
        <f>IF(I48&lt;E48,E48/I48-1,I48/E48-1)</f>
        <v>#DIV/0!</v>
      </c>
      <c r="J53" s="491" t="e">
        <f>IF(OR(I53&gt;=0.2,I53&lt;=-0.2),"超过20%","")</f>
        <v>#DIV/0!</v>
      </c>
      <c r="K53" s="1093"/>
      <c r="L53" s="1094"/>
      <c r="M53" s="1132"/>
      <c r="N53" s="1132"/>
      <c r="O53" s="1132"/>
      <c r="P53" s="666"/>
      <c r="Q53" s="750"/>
      <c r="R53" s="750"/>
      <c r="S53" s="750"/>
      <c r="T53" s="750"/>
      <c r="U53" s="750"/>
      <c r="V53" s="750"/>
      <c r="W53" s="750"/>
      <c r="X53" s="750"/>
      <c r="Y53" s="750"/>
      <c r="Z53" s="750"/>
      <c r="AA53" s="750"/>
      <c r="AB53" s="750"/>
      <c r="AC53" s="750"/>
    </row>
    <row r="54" spans="1:29" s="493" customFormat="1" ht="13.5" customHeight="1">
      <c r="A54" s="1133"/>
      <c r="B54" s="1133"/>
      <c r="C54" s="488" t="s">
        <v>2663</v>
      </c>
      <c r="D54" s="492"/>
      <c r="E54" s="490" t="e">
        <f>IF(E47&lt;G47,G47/E47-1,E47/G47-1)</f>
        <v>#DIV/0!</v>
      </c>
      <c r="F54" s="491" t="e">
        <f>IF(OR(E54&gt;=0.3,E54&lt;=-0.3),"超过30%","")</f>
        <v>#DIV/0!</v>
      </c>
      <c r="G54" s="490" t="e">
        <f>IF(G47&lt;I47,I47/G47-1,G47/I47-1)</f>
        <v>#DIV/0!</v>
      </c>
      <c r="H54" s="491" t="e">
        <f>IF(OR(G54&gt;=0.3,G54&lt;=-0.3),"超过30%","")</f>
        <v>#DIV/0!</v>
      </c>
      <c r="I54" s="490" t="e">
        <f>IF(I47&lt;E47,E47/I47-1,I47/E47-1)</f>
        <v>#DIV/0!</v>
      </c>
      <c r="J54" s="491" t="e">
        <f>IF(OR(I54&gt;=0.3,I54&lt;=-0.3),"超过30%","")</f>
        <v>#DIV/0!</v>
      </c>
      <c r="K54" s="1136"/>
      <c r="L54" s="1137"/>
      <c r="M54" s="1133"/>
      <c r="N54" s="1133"/>
      <c r="O54" s="1133"/>
      <c r="P54" s="2654"/>
      <c r="Q54" s="751"/>
      <c r="R54" s="751"/>
      <c r="S54" s="751"/>
      <c r="T54" s="751"/>
      <c r="U54" s="751"/>
      <c r="V54" s="751"/>
      <c r="W54" s="751"/>
      <c r="X54" s="751"/>
      <c r="Y54" s="751"/>
      <c r="Z54" s="751"/>
      <c r="AA54" s="751"/>
      <c r="AB54" s="751"/>
      <c r="AC54" s="751"/>
    </row>
    <row r="55" spans="1:29" s="493" customFormat="1">
      <c r="A55" s="1133"/>
      <c r="B55" s="1134"/>
      <c r="C55" s="1138"/>
      <c r="D55" s="1133"/>
      <c r="E55" s="1133"/>
      <c r="F55" s="1133"/>
      <c r="G55" s="1133"/>
      <c r="H55" s="1133"/>
      <c r="I55" s="1133"/>
      <c r="J55" s="1133"/>
      <c r="K55" s="1136"/>
      <c r="L55" s="1137"/>
      <c r="M55" s="1133"/>
      <c r="N55" s="1133"/>
      <c r="O55" s="1133"/>
      <c r="P55" s="2654"/>
      <c r="Q55" s="751"/>
      <c r="R55" s="751"/>
      <c r="S55" s="751"/>
      <c r="T55" s="751"/>
      <c r="U55" s="751"/>
      <c r="V55" s="751"/>
      <c r="W55" s="751"/>
      <c r="X55" s="751"/>
      <c r="Y55" s="751"/>
      <c r="Z55" s="751"/>
      <c r="AA55" s="751"/>
      <c r="AB55" s="751"/>
      <c r="AC55" s="751"/>
    </row>
    <row r="56" spans="1:29">
      <c r="A56" s="1132"/>
      <c r="B56" s="1134"/>
      <c r="C56" s="1138"/>
      <c r="D56" s="1132"/>
      <c r="E56" s="1132"/>
      <c r="F56" s="1132"/>
      <c r="G56" s="1132"/>
      <c r="H56" s="1132"/>
      <c r="I56" s="1132"/>
      <c r="J56" s="1132"/>
      <c r="K56" s="1093"/>
      <c r="L56" s="1094"/>
      <c r="M56" s="1132"/>
      <c r="N56" s="1132"/>
      <c r="O56" s="1132"/>
      <c r="P56" s="666"/>
      <c r="Q56" s="750"/>
      <c r="R56" s="750"/>
      <c r="S56" s="750"/>
      <c r="T56" s="750"/>
      <c r="U56" s="750"/>
      <c r="V56" s="750"/>
      <c r="W56" s="750"/>
      <c r="X56" s="750"/>
      <c r="Y56" s="750"/>
      <c r="Z56" s="750"/>
      <c r="AA56" s="750"/>
      <c r="AB56" s="750"/>
      <c r="AC56" s="750"/>
    </row>
    <row r="57" spans="1:29" ht="21.75" thickBot="1">
      <c r="A57" s="754" t="s">
        <v>2664</v>
      </c>
      <c r="B57" s="750"/>
      <c r="C57" s="755"/>
      <c r="D57" s="755"/>
      <c r="E57" s="755"/>
      <c r="F57" s="756"/>
      <c r="G57" s="756"/>
      <c r="H57" s="755"/>
      <c r="I57" s="755"/>
      <c r="J57" s="755"/>
      <c r="K57" s="757"/>
      <c r="L57" s="1149"/>
      <c r="M57" s="1147"/>
      <c r="N57" s="1147"/>
      <c r="O57" s="1147"/>
      <c r="P57" s="2655"/>
      <c r="Q57" s="2656"/>
      <c r="R57" s="750"/>
      <c r="S57" s="750"/>
      <c r="T57" s="750"/>
      <c r="U57" s="750"/>
      <c r="V57" s="750"/>
      <c r="W57" s="750"/>
      <c r="X57" s="750"/>
      <c r="Y57" s="750"/>
      <c r="Z57" s="750"/>
      <c r="AA57" s="750"/>
      <c r="AB57" s="750"/>
      <c r="AC57" s="750"/>
    </row>
    <row r="58" spans="1:29" s="499" customFormat="1" ht="15">
      <c r="A58" s="496" t="s">
        <v>2538</v>
      </c>
      <c r="B58" s="497"/>
      <c r="C58" s="1561" t="str">
        <f>YEAR(C7)&amp;"-"&amp;MONTH(C7)</f>
        <v>2019-2</v>
      </c>
      <c r="D58" s="1562">
        <f>EDATE(C58,-1)</f>
        <v>43466</v>
      </c>
      <c r="E58" s="1562">
        <f t="shared" ref="E58:N58" si="16">EDATE(D58,-1)</f>
        <v>43435</v>
      </c>
      <c r="F58" s="1562">
        <f t="shared" si="16"/>
        <v>43405</v>
      </c>
      <c r="G58" s="1562">
        <f t="shared" si="16"/>
        <v>43374</v>
      </c>
      <c r="H58" s="1562">
        <f t="shared" si="16"/>
        <v>43344</v>
      </c>
      <c r="I58" s="1562">
        <f t="shared" si="16"/>
        <v>43313</v>
      </c>
      <c r="J58" s="1562">
        <f t="shared" si="16"/>
        <v>43282</v>
      </c>
      <c r="K58" s="1562">
        <f t="shared" si="16"/>
        <v>43252</v>
      </c>
      <c r="L58" s="1562">
        <f t="shared" si="16"/>
        <v>43221</v>
      </c>
      <c r="M58" s="1562">
        <f t="shared" si="16"/>
        <v>43191</v>
      </c>
      <c r="N58" s="1562">
        <f t="shared" si="16"/>
        <v>43160</v>
      </c>
      <c r="O58" s="1562">
        <f>EDATE(N58,-1)</f>
        <v>43132</v>
      </c>
      <c r="P58" s="1557"/>
    </row>
    <row r="59" spans="1:29" s="110" customFormat="1" ht="15">
      <c r="A59" s="500"/>
      <c r="B59" s="501"/>
      <c r="C59" s="1560">
        <v>100</v>
      </c>
      <c r="D59" s="503"/>
      <c r="E59" s="503"/>
      <c r="F59" s="503"/>
      <c r="G59" s="503"/>
      <c r="H59" s="503"/>
      <c r="I59" s="503"/>
      <c r="J59" s="503"/>
      <c r="K59" s="503"/>
      <c r="L59" s="503"/>
      <c r="M59" s="504"/>
      <c r="N59" s="503"/>
      <c r="O59" s="504"/>
      <c r="P59" s="2616"/>
    </row>
    <row r="60" spans="1:29" s="110" customFormat="1" ht="15.75" thickBot="1">
      <c r="A60" s="506" t="s">
        <v>2575</v>
      </c>
      <c r="B60" s="507"/>
      <c r="C60" s="508"/>
      <c r="D60" s="509"/>
      <c r="E60" s="509"/>
      <c r="F60" s="509"/>
      <c r="G60" s="509"/>
      <c r="H60" s="509"/>
      <c r="I60" s="509"/>
      <c r="J60" s="509"/>
      <c r="K60" s="509"/>
      <c r="L60" s="509"/>
      <c r="M60" s="510"/>
      <c r="N60" s="509"/>
      <c r="O60" s="510"/>
      <c r="P60" s="2616"/>
      <c r="Q60" s="495"/>
    </row>
    <row r="61" spans="1:29" s="110" customFormat="1" ht="15">
      <c r="A61" s="512" t="s">
        <v>2540</v>
      </c>
      <c r="B61" s="501"/>
      <c r="C61" s="513" t="s">
        <v>2642</v>
      </c>
      <c r="D61" s="514"/>
      <c r="E61" s="514"/>
      <c r="F61" s="514"/>
      <c r="G61" s="514"/>
      <c r="H61" s="514"/>
      <c r="I61" s="514"/>
      <c r="J61" s="514"/>
      <c r="K61" s="514"/>
      <c r="L61" s="515"/>
      <c r="M61" s="516"/>
      <c r="N61" s="1139"/>
      <c r="O61" s="1139"/>
      <c r="P61" s="2617"/>
      <c r="Q61" s="495"/>
    </row>
    <row r="62" spans="1:29" s="110" customFormat="1" ht="15.75" thickBot="1">
      <c r="A62" s="512"/>
      <c r="B62" s="501"/>
      <c r="C62" s="502">
        <v>100</v>
      </c>
      <c r="D62" s="503"/>
      <c r="E62" s="503"/>
      <c r="F62" s="503"/>
      <c r="G62" s="503"/>
      <c r="H62" s="503"/>
      <c r="I62" s="503"/>
      <c r="J62" s="503"/>
      <c r="K62" s="503"/>
      <c r="L62" s="503"/>
      <c r="M62" s="505"/>
      <c r="N62" s="1139"/>
      <c r="O62" s="1139"/>
      <c r="P62" s="2616"/>
      <c r="Q62" s="495"/>
    </row>
    <row r="63" spans="1:29">
      <c r="A63" s="518" t="s">
        <v>2578</v>
      </c>
      <c r="B63" s="519" t="s">
        <v>2544</v>
      </c>
      <c r="C63" s="520">
        <f>C9</f>
        <v>0</v>
      </c>
      <c r="D63" s="521"/>
      <c r="E63" s="521"/>
      <c r="F63" s="521"/>
      <c r="G63" s="521"/>
      <c r="H63" s="521"/>
      <c r="I63" s="521"/>
      <c r="J63" s="521"/>
      <c r="K63" s="522"/>
      <c r="L63" s="523"/>
      <c r="M63" s="524"/>
      <c r="N63" s="1140"/>
      <c r="O63" s="1140"/>
      <c r="P63" s="2618"/>
      <c r="Q63" s="495"/>
    </row>
    <row r="64" spans="1:29" ht="15.75" thickBot="1">
      <c r="A64" s="525"/>
      <c r="B64" s="526"/>
      <c r="C64" s="527">
        <v>100</v>
      </c>
      <c r="D64" s="527"/>
      <c r="E64" s="527"/>
      <c r="F64" s="527"/>
      <c r="G64" s="527"/>
      <c r="H64" s="527"/>
      <c r="I64" s="527"/>
      <c r="J64" s="527"/>
      <c r="K64" s="527"/>
      <c r="L64" s="527"/>
      <c r="M64" s="528"/>
      <c r="N64" s="1141"/>
      <c r="O64" s="1141"/>
      <c r="P64" s="2618"/>
      <c r="Q64" s="495"/>
    </row>
    <row r="65" spans="1:17" ht="27.75" thickTop="1">
      <c r="A65" s="525"/>
      <c r="B65" s="529" t="s">
        <v>2547</v>
      </c>
      <c r="C65" s="530" t="s">
        <v>2579</v>
      </c>
      <c r="D65" s="530" t="s">
        <v>2580</v>
      </c>
      <c r="E65" s="530" t="s">
        <v>2581</v>
      </c>
      <c r="F65" s="530" t="s">
        <v>2582</v>
      </c>
      <c r="G65" s="530" t="s">
        <v>2583</v>
      </c>
      <c r="H65" s="530" t="s">
        <v>2584</v>
      </c>
      <c r="I65" s="530" t="s">
        <v>2585</v>
      </c>
      <c r="J65" s="530"/>
      <c r="K65" s="531"/>
      <c r="L65" s="532"/>
      <c r="M65" s="533"/>
      <c r="N65" s="1140"/>
      <c r="O65" s="1140"/>
      <c r="P65" s="2618"/>
      <c r="Q65" s="495"/>
    </row>
    <row r="66" spans="1:17" ht="15.75" thickBot="1">
      <c r="A66" s="525"/>
      <c r="B66" s="534"/>
      <c r="C66" s="535" t="s">
        <v>24</v>
      </c>
      <c r="D66" s="535" t="s">
        <v>25</v>
      </c>
      <c r="E66" s="535" t="s">
        <v>26</v>
      </c>
      <c r="F66" s="535">
        <v>100</v>
      </c>
      <c r="G66" s="535">
        <f>F66-$K10</f>
        <v>100</v>
      </c>
      <c r="H66" s="535">
        <f>G66-$K10</f>
        <v>100</v>
      </c>
      <c r="I66" s="535">
        <f>H66-$K10</f>
        <v>100</v>
      </c>
      <c r="J66" s="535"/>
      <c r="K66" s="535"/>
      <c r="L66" s="535"/>
      <c r="M66" s="536"/>
      <c r="N66" s="1141"/>
      <c r="O66" s="1141"/>
      <c r="P66" s="2618"/>
      <c r="Q66" s="495"/>
    </row>
    <row r="67" spans="1:17" ht="15.75" thickTop="1">
      <c r="A67" s="525"/>
      <c r="B67" s="537" t="s">
        <v>2548</v>
      </c>
      <c r="C67" s="538" t="str">
        <f>C68&amp;"（含）"&amp;"-"&amp;D68</f>
        <v>（含）-</v>
      </c>
      <c r="D67" s="538" t="str">
        <f t="shared" ref="D67:L67" si="17">D68&amp;"（含）"&amp;"-"&amp;E68</f>
        <v>（含）-</v>
      </c>
      <c r="E67" s="538" t="str">
        <f t="shared" si="17"/>
        <v>（含）-</v>
      </c>
      <c r="F67" s="538" t="str">
        <f t="shared" si="17"/>
        <v>（含）-</v>
      </c>
      <c r="G67" s="538" t="str">
        <f t="shared" si="17"/>
        <v>（含）-</v>
      </c>
      <c r="H67" s="538" t="str">
        <f t="shared" si="17"/>
        <v>（含）-</v>
      </c>
      <c r="I67" s="538" t="str">
        <f t="shared" si="17"/>
        <v>（含）-</v>
      </c>
      <c r="J67" s="538" t="str">
        <f t="shared" si="17"/>
        <v>（含）-</v>
      </c>
      <c r="K67" s="538" t="str">
        <f t="shared" si="17"/>
        <v>（含）-</v>
      </c>
      <c r="L67" s="538" t="str">
        <f t="shared" si="17"/>
        <v>（含）-</v>
      </c>
      <c r="M67" s="439" t="str">
        <f>M68&amp;"（含）"&amp;"-"&amp;P68</f>
        <v>（含）-</v>
      </c>
      <c r="N67" s="1141"/>
      <c r="O67" s="1141"/>
      <c r="P67" s="2618"/>
      <c r="Q67" s="495"/>
    </row>
    <row r="68" spans="1:17" ht="15">
      <c r="A68" s="525"/>
      <c r="B68" s="539"/>
      <c r="C68" s="540"/>
      <c r="D68" s="540"/>
      <c r="E68" s="540"/>
      <c r="F68" s="540"/>
      <c r="G68" s="540"/>
      <c r="H68" s="540"/>
      <c r="I68" s="540"/>
      <c r="J68" s="540"/>
      <c r="K68" s="541"/>
      <c r="L68" s="542"/>
      <c r="M68" s="543"/>
      <c r="N68" s="1140"/>
      <c r="O68" s="1140"/>
      <c r="P68" s="2618"/>
      <c r="Q68" s="495"/>
    </row>
    <row r="69" spans="1:17" ht="15.75" thickBot="1">
      <c r="A69" s="525"/>
      <c r="B69" s="526"/>
      <c r="C69" s="535">
        <v>100</v>
      </c>
      <c r="D69" s="535">
        <f t="shared" ref="D69:M69" si="18">C69-$K11</f>
        <v>100</v>
      </c>
      <c r="E69" s="535">
        <f t="shared" si="18"/>
        <v>100</v>
      </c>
      <c r="F69" s="535">
        <f t="shared" si="18"/>
        <v>100</v>
      </c>
      <c r="G69" s="535">
        <f t="shared" si="18"/>
        <v>100</v>
      </c>
      <c r="H69" s="535">
        <f t="shared" si="18"/>
        <v>100</v>
      </c>
      <c r="I69" s="535">
        <f t="shared" si="18"/>
        <v>100</v>
      </c>
      <c r="J69" s="535">
        <f t="shared" si="18"/>
        <v>100</v>
      </c>
      <c r="K69" s="535">
        <f t="shared" si="18"/>
        <v>100</v>
      </c>
      <c r="L69" s="535">
        <f t="shared" si="18"/>
        <v>100</v>
      </c>
      <c r="M69" s="536">
        <f t="shared" si="18"/>
        <v>100</v>
      </c>
      <c r="N69" s="1141"/>
      <c r="O69" s="1141"/>
      <c r="P69" s="2618"/>
      <c r="Q69" s="495"/>
    </row>
    <row r="70" spans="1:17" s="462" customFormat="1" ht="15.75" thickTop="1">
      <c r="A70" s="544"/>
      <c r="B70" s="529">
        <f>B12</f>
        <v>111</v>
      </c>
      <c r="C70" s="545"/>
      <c r="D70" s="545"/>
      <c r="E70" s="545"/>
      <c r="F70" s="545"/>
      <c r="G70" s="545"/>
      <c r="H70" s="546"/>
      <c r="I70" s="546"/>
      <c r="J70" s="546"/>
      <c r="K70" s="546"/>
      <c r="L70" s="547"/>
      <c r="M70" s="548"/>
      <c r="N70" s="1142"/>
      <c r="O70" s="1142"/>
      <c r="P70" s="2619"/>
      <c r="Q70" s="550"/>
    </row>
    <row r="71" spans="1:17" s="462" customFormat="1" ht="15.75" thickBot="1">
      <c r="A71" s="544"/>
      <c r="B71" s="534"/>
      <c r="C71" s="551"/>
      <c r="D71" s="527"/>
      <c r="E71" s="527"/>
      <c r="F71" s="527"/>
      <c r="G71" s="527"/>
      <c r="H71" s="527"/>
      <c r="I71" s="527"/>
      <c r="J71" s="527"/>
      <c r="K71" s="527"/>
      <c r="L71" s="527"/>
      <c r="M71" s="528"/>
      <c r="N71" s="1141"/>
      <c r="O71" s="1141"/>
      <c r="P71" s="2619"/>
      <c r="Q71" s="550"/>
    </row>
    <row r="72" spans="1:17" s="462" customFormat="1" ht="15.75" thickTop="1">
      <c r="A72" s="544"/>
      <c r="B72" s="529">
        <f>B13</f>
        <v>111</v>
      </c>
      <c r="C72" s="545"/>
      <c r="D72" s="545"/>
      <c r="E72" s="545"/>
      <c r="F72" s="545"/>
      <c r="G72" s="545"/>
      <c r="H72" s="546"/>
      <c r="I72" s="546"/>
      <c r="J72" s="546"/>
      <c r="K72" s="546"/>
      <c r="L72" s="547"/>
      <c r="M72" s="548"/>
      <c r="N72" s="1142"/>
      <c r="O72" s="1142"/>
      <c r="P72" s="2620"/>
      <c r="Q72" s="552"/>
    </row>
    <row r="73" spans="1:17" s="462" customFormat="1" ht="15.75" thickBot="1">
      <c r="A73" s="544"/>
      <c r="B73" s="534"/>
      <c r="C73" s="551"/>
      <c r="D73" s="527"/>
      <c r="E73" s="527"/>
      <c r="F73" s="527"/>
      <c r="G73" s="551"/>
      <c r="H73" s="553"/>
      <c r="I73" s="553"/>
      <c r="J73" s="553"/>
      <c r="K73" s="553"/>
      <c r="L73" s="553"/>
      <c r="M73" s="554"/>
      <c r="N73" s="1142"/>
      <c r="O73" s="1142"/>
      <c r="P73" s="2619"/>
      <c r="Q73" s="550"/>
    </row>
    <row r="74" spans="1:17" s="462" customFormat="1" ht="15.75" thickTop="1">
      <c r="A74" s="544"/>
      <c r="B74" s="537">
        <f>B14</f>
        <v>111</v>
      </c>
      <c r="C74" s="545"/>
      <c r="D74" s="545"/>
      <c r="E74" s="545"/>
      <c r="F74" s="545"/>
      <c r="G74" s="514"/>
      <c r="H74" s="555"/>
      <c r="I74" s="555"/>
      <c r="J74" s="555"/>
      <c r="K74" s="555"/>
      <c r="L74" s="556"/>
      <c r="M74" s="557"/>
      <c r="N74" s="1142"/>
      <c r="O74" s="1142"/>
      <c r="P74" s="2621"/>
      <c r="Q74" s="550"/>
    </row>
    <row r="75" spans="1:17" s="462" customFormat="1" ht="15.75" thickBot="1">
      <c r="A75" s="559"/>
      <c r="B75" s="560"/>
      <c r="C75" s="561"/>
      <c r="D75" s="561"/>
      <c r="E75" s="561"/>
      <c r="F75" s="561"/>
      <c r="G75" s="561"/>
      <c r="H75" s="562"/>
      <c r="I75" s="562"/>
      <c r="J75" s="562"/>
      <c r="K75" s="562"/>
      <c r="L75" s="562"/>
      <c r="M75" s="563"/>
      <c r="N75" s="1142"/>
      <c r="O75" s="1142"/>
      <c r="P75" s="2619"/>
      <c r="Q75" s="550"/>
    </row>
    <row r="76" spans="1:17">
      <c r="A76" s="518" t="s">
        <v>2549</v>
      </c>
      <c r="B76" s="519" t="s">
        <v>2586</v>
      </c>
      <c r="C76" s="564" t="s">
        <v>2587</v>
      </c>
      <c r="D76" s="564" t="s">
        <v>2588</v>
      </c>
      <c r="E76" s="564" t="s">
        <v>2589</v>
      </c>
      <c r="F76" s="564" t="s">
        <v>2590</v>
      </c>
      <c r="G76" s="564" t="s">
        <v>2591</v>
      </c>
      <c r="H76" s="520"/>
      <c r="I76" s="520"/>
      <c r="J76" s="520"/>
      <c r="K76" s="565"/>
      <c r="L76" s="566"/>
      <c r="M76" s="567"/>
      <c r="N76" s="1140"/>
      <c r="O76" s="1140"/>
      <c r="P76" s="2622"/>
      <c r="Q76" s="495"/>
    </row>
    <row r="77" spans="1:17" ht="15.75" thickBot="1">
      <c r="A77" s="525"/>
      <c r="B77" s="534"/>
      <c r="C77" s="535">
        <v>100</v>
      </c>
      <c r="D77" s="535">
        <f>C77-$K15</f>
        <v>100</v>
      </c>
      <c r="E77" s="535">
        <f>D77-$K15</f>
        <v>100</v>
      </c>
      <c r="F77" s="535">
        <f>E77-$K15</f>
        <v>100</v>
      </c>
      <c r="G77" s="535">
        <f>F77-$K15</f>
        <v>100</v>
      </c>
      <c r="H77" s="535"/>
      <c r="I77" s="535"/>
      <c r="J77" s="535"/>
      <c r="K77" s="535"/>
      <c r="L77" s="535"/>
      <c r="M77" s="536"/>
      <c r="N77" s="1141"/>
      <c r="O77" s="1141"/>
      <c r="P77" s="2618"/>
      <c r="Q77" s="495"/>
    </row>
    <row r="78" spans="1:17" ht="15.75" thickTop="1">
      <c r="A78" s="525"/>
      <c r="B78" s="529" t="s">
        <v>2592</v>
      </c>
      <c r="C78" s="569" t="s">
        <v>2587</v>
      </c>
      <c r="D78" s="569" t="s">
        <v>2588</v>
      </c>
      <c r="E78" s="569" t="s">
        <v>2589</v>
      </c>
      <c r="F78" s="569" t="s">
        <v>2590</v>
      </c>
      <c r="G78" s="569" t="s">
        <v>2591</v>
      </c>
      <c r="H78" s="530"/>
      <c r="I78" s="530"/>
      <c r="J78" s="530"/>
      <c r="K78" s="531"/>
      <c r="L78" s="532"/>
      <c r="M78" s="533"/>
      <c r="N78" s="1140"/>
      <c r="O78" s="1140"/>
      <c r="P78" s="2618"/>
      <c r="Q78" s="495"/>
    </row>
    <row r="79" spans="1:17" ht="15.75" thickBot="1">
      <c r="A79" s="525"/>
      <c r="B79" s="534"/>
      <c r="C79" s="535">
        <v>100</v>
      </c>
      <c r="D79" s="535">
        <f>C79-$K17</f>
        <v>100</v>
      </c>
      <c r="E79" s="535">
        <f>D79-$K17</f>
        <v>100</v>
      </c>
      <c r="F79" s="535">
        <f>E79-$K17</f>
        <v>100</v>
      </c>
      <c r="G79" s="535">
        <f>F79-$K17</f>
        <v>100</v>
      </c>
      <c r="H79" s="535"/>
      <c r="I79" s="535"/>
      <c r="J79" s="535"/>
      <c r="K79" s="535"/>
      <c r="L79" s="535"/>
      <c r="M79" s="536"/>
      <c r="N79" s="1141"/>
      <c r="O79" s="1141"/>
      <c r="P79" s="2618"/>
      <c r="Q79" s="495"/>
    </row>
    <row r="80" spans="1:17" ht="15.75" thickTop="1">
      <c r="A80" s="525"/>
      <c r="B80" s="529" t="s">
        <v>2593</v>
      </c>
      <c r="C80" s="569" t="s">
        <v>2587</v>
      </c>
      <c r="D80" s="569" t="s">
        <v>2588</v>
      </c>
      <c r="E80" s="569" t="s">
        <v>2589</v>
      </c>
      <c r="F80" s="569" t="s">
        <v>2590</v>
      </c>
      <c r="G80" s="569" t="s">
        <v>2591</v>
      </c>
      <c r="H80" s="530"/>
      <c r="I80" s="530"/>
      <c r="J80" s="530"/>
      <c r="K80" s="531"/>
      <c r="L80" s="532"/>
      <c r="M80" s="533"/>
      <c r="N80" s="1140"/>
      <c r="O80" s="1140"/>
      <c r="P80" s="2618"/>
      <c r="Q80" s="495"/>
    </row>
    <row r="81" spans="1:17" ht="15.75" thickBot="1">
      <c r="A81" s="525"/>
      <c r="B81" s="534"/>
      <c r="C81" s="535">
        <v>100</v>
      </c>
      <c r="D81" s="535">
        <f>C81-$K19</f>
        <v>100</v>
      </c>
      <c r="E81" s="535">
        <f>D81-$K19</f>
        <v>100</v>
      </c>
      <c r="F81" s="535">
        <f>E81-$K19</f>
        <v>100</v>
      </c>
      <c r="G81" s="535">
        <f>F81-$K19</f>
        <v>100</v>
      </c>
      <c r="H81" s="535"/>
      <c r="I81" s="535"/>
      <c r="J81" s="535"/>
      <c r="K81" s="535"/>
      <c r="L81" s="535"/>
      <c r="M81" s="536"/>
      <c r="N81" s="1141"/>
      <c r="O81" s="1141"/>
      <c r="P81" s="2618"/>
      <c r="Q81" s="495"/>
    </row>
    <row r="82" spans="1:17" ht="15.75" thickTop="1">
      <c r="A82" s="525"/>
      <c r="B82" s="537" t="s">
        <v>2645</v>
      </c>
      <c r="C82" s="651" t="s">
        <v>2665</v>
      </c>
      <c r="D82" s="651" t="s">
        <v>2666</v>
      </c>
      <c r="E82" s="651" t="s">
        <v>2667</v>
      </c>
      <c r="F82" s="651" t="s">
        <v>2668</v>
      </c>
      <c r="G82" s="651" t="s">
        <v>2669</v>
      </c>
      <c r="H82" s="530"/>
      <c r="I82" s="530"/>
      <c r="J82" s="530"/>
      <c r="K82" s="530"/>
      <c r="L82" s="530"/>
      <c r="M82" s="1370"/>
      <c r="N82" s="1141"/>
      <c r="O82" s="1141"/>
      <c r="P82" s="2618"/>
      <c r="Q82" s="495"/>
    </row>
    <row r="83" spans="1:17" ht="15.75" thickBot="1">
      <c r="A83" s="525"/>
      <c r="B83" s="537"/>
      <c r="C83" s="535">
        <v>100</v>
      </c>
      <c r="D83" s="535">
        <f>C83-$K21</f>
        <v>100</v>
      </c>
      <c r="E83" s="535">
        <f t="shared" ref="E83:G83" si="19">D83-$K21</f>
        <v>100</v>
      </c>
      <c r="F83" s="535">
        <f t="shared" si="19"/>
        <v>100</v>
      </c>
      <c r="G83" s="535">
        <f t="shared" si="19"/>
        <v>100</v>
      </c>
      <c r="H83" s="651"/>
      <c r="I83" s="651"/>
      <c r="J83" s="651"/>
      <c r="K83" s="651"/>
      <c r="L83" s="651"/>
      <c r="M83" s="441"/>
      <c r="N83" s="1141"/>
      <c r="O83" s="1141"/>
      <c r="P83" s="2618"/>
      <c r="Q83" s="495"/>
    </row>
    <row r="84" spans="1:17" ht="15.75" thickTop="1">
      <c r="A84" s="525"/>
      <c r="B84" s="529" t="s">
        <v>2599</v>
      </c>
      <c r="C84" s="569" t="s">
        <v>2587</v>
      </c>
      <c r="D84" s="569" t="s">
        <v>2588</v>
      </c>
      <c r="E84" s="569" t="s">
        <v>2589</v>
      </c>
      <c r="F84" s="569" t="s">
        <v>2590</v>
      </c>
      <c r="G84" s="569" t="s">
        <v>2591</v>
      </c>
      <c r="H84" s="530"/>
      <c r="I84" s="530"/>
      <c r="J84" s="530"/>
      <c r="K84" s="531"/>
      <c r="L84" s="532"/>
      <c r="M84" s="533"/>
      <c r="N84" s="1140"/>
      <c r="O84" s="1140"/>
      <c r="P84" s="2618"/>
      <c r="Q84" s="495"/>
    </row>
    <row r="85" spans="1:17" ht="15.75" thickBot="1">
      <c r="A85" s="525"/>
      <c r="B85" s="534"/>
      <c r="C85" s="535">
        <v>100</v>
      </c>
      <c r="D85" s="535">
        <f>C85-$K23</f>
        <v>100</v>
      </c>
      <c r="E85" s="535">
        <f>D85-$K23</f>
        <v>100</v>
      </c>
      <c r="F85" s="535">
        <f>E85-$K23</f>
        <v>100</v>
      </c>
      <c r="G85" s="535">
        <f>F85-$K23</f>
        <v>100</v>
      </c>
      <c r="H85" s="535"/>
      <c r="I85" s="535"/>
      <c r="J85" s="535"/>
      <c r="K85" s="535"/>
      <c r="L85" s="535"/>
      <c r="M85" s="536"/>
      <c r="N85" s="1141"/>
      <c r="O85" s="1141"/>
      <c r="P85" s="2618"/>
      <c r="Q85" s="495"/>
    </row>
    <row r="86" spans="1:17" s="110" customFormat="1" ht="15.75" thickTop="1">
      <c r="A86" s="570"/>
      <c r="B86" s="529" t="s">
        <v>2670</v>
      </c>
      <c r="C86" s="545"/>
      <c r="D86" s="545"/>
      <c r="E86" s="545"/>
      <c r="F86" s="545"/>
      <c r="G86" s="545"/>
      <c r="H86" s="545"/>
      <c r="I86" s="545"/>
      <c r="J86" s="545"/>
      <c r="K86" s="545"/>
      <c r="L86" s="571"/>
      <c r="M86" s="572"/>
      <c r="N86" s="1139"/>
      <c r="O86" s="1139"/>
      <c r="P86" s="2618"/>
      <c r="Q86" s="495"/>
    </row>
    <row r="87" spans="1:17" s="110" customFormat="1" ht="15.75" thickBot="1">
      <c r="A87" s="570"/>
      <c r="B87" s="534"/>
      <c r="C87" s="573">
        <v>100</v>
      </c>
      <c r="D87" s="535">
        <f t="shared" ref="D87:M87" si="20">C87-$K25</f>
        <v>100</v>
      </c>
      <c r="E87" s="535">
        <f t="shared" si="20"/>
        <v>100</v>
      </c>
      <c r="F87" s="535">
        <f t="shared" si="20"/>
        <v>100</v>
      </c>
      <c r="G87" s="535">
        <f t="shared" si="20"/>
        <v>100</v>
      </c>
      <c r="H87" s="535">
        <f t="shared" si="20"/>
        <v>100</v>
      </c>
      <c r="I87" s="535">
        <f t="shared" si="20"/>
        <v>100</v>
      </c>
      <c r="J87" s="535">
        <f t="shared" si="20"/>
        <v>100</v>
      </c>
      <c r="K87" s="535">
        <f t="shared" si="20"/>
        <v>100</v>
      </c>
      <c r="L87" s="535">
        <f t="shared" si="20"/>
        <v>100</v>
      </c>
      <c r="M87" s="535">
        <f t="shared" si="20"/>
        <v>100</v>
      </c>
      <c r="N87" s="1141"/>
      <c r="O87" s="1141"/>
      <c r="P87" s="2618"/>
      <c r="Q87" s="495"/>
    </row>
    <row r="88" spans="1:17" s="110" customFormat="1" ht="15.75" thickTop="1">
      <c r="A88" s="570"/>
      <c r="B88" s="529" t="str">
        <f>B26</f>
        <v>平面位置/可视性</v>
      </c>
      <c r="C88" s="545"/>
      <c r="D88" s="545"/>
      <c r="E88" s="545"/>
      <c r="F88" s="2623"/>
      <c r="G88" s="545"/>
      <c r="H88" s="545"/>
      <c r="I88" s="545"/>
      <c r="J88" s="545"/>
      <c r="K88" s="545"/>
      <c r="L88" s="545"/>
      <c r="M88" s="572"/>
      <c r="N88" s="1139"/>
      <c r="O88" s="1139"/>
      <c r="P88" s="2618"/>
      <c r="Q88" s="495"/>
    </row>
    <row r="89" spans="1:17" s="110" customFormat="1" ht="15.75" thickBot="1">
      <c r="A89" s="570"/>
      <c r="B89" s="534"/>
      <c r="C89" s="551"/>
      <c r="D89" s="527"/>
      <c r="E89" s="527"/>
      <c r="F89" s="527"/>
      <c r="G89" s="527"/>
      <c r="H89" s="527"/>
      <c r="I89" s="527"/>
      <c r="J89" s="527"/>
      <c r="K89" s="527"/>
      <c r="L89" s="527"/>
      <c r="M89" s="527"/>
      <c r="N89" s="1141"/>
      <c r="O89" s="1141"/>
      <c r="P89" s="2618"/>
      <c r="Q89" s="495"/>
    </row>
    <row r="90" spans="1:17" s="462" customFormat="1" ht="15.75" thickTop="1">
      <c r="A90" s="544"/>
      <c r="B90" s="529" t="str">
        <f>B27</f>
        <v>人流量</v>
      </c>
      <c r="C90" s="545"/>
      <c r="D90" s="545"/>
      <c r="E90" s="545"/>
      <c r="F90" s="545"/>
      <c r="G90" s="545"/>
      <c r="H90" s="546"/>
      <c r="I90" s="546"/>
      <c r="J90" s="546"/>
      <c r="K90" s="546"/>
      <c r="L90" s="547"/>
      <c r="M90" s="548"/>
      <c r="N90" s="1142"/>
      <c r="O90" s="1142"/>
      <c r="P90" s="2619"/>
      <c r="Q90" s="550"/>
    </row>
    <row r="91" spans="1:17" s="462" customFormat="1" ht="15.75" thickBot="1">
      <c r="A91" s="544"/>
      <c r="B91" s="534"/>
      <c r="C91" s="573">
        <v>100</v>
      </c>
      <c r="D91" s="535">
        <f>C91-$K27</f>
        <v>100</v>
      </c>
      <c r="E91" s="535">
        <f t="shared" ref="E91:M91" si="21">D91-$K27</f>
        <v>100</v>
      </c>
      <c r="F91" s="535">
        <f t="shared" si="21"/>
        <v>100</v>
      </c>
      <c r="G91" s="535">
        <f t="shared" si="21"/>
        <v>100</v>
      </c>
      <c r="H91" s="535">
        <f t="shared" si="21"/>
        <v>100</v>
      </c>
      <c r="I91" s="535">
        <f t="shared" si="21"/>
        <v>100</v>
      </c>
      <c r="J91" s="535">
        <f t="shared" si="21"/>
        <v>100</v>
      </c>
      <c r="K91" s="535">
        <f t="shared" si="21"/>
        <v>100</v>
      </c>
      <c r="L91" s="535">
        <f t="shared" si="21"/>
        <v>100</v>
      </c>
      <c r="M91" s="535">
        <f t="shared" si="21"/>
        <v>100</v>
      </c>
      <c r="N91" s="1142"/>
      <c r="O91" s="1142"/>
      <c r="P91" s="2619"/>
      <c r="Q91" s="550"/>
    </row>
    <row r="92" spans="1:17" ht="15.75" thickTop="1">
      <c r="A92" s="525"/>
      <c r="B92" s="529" t="str">
        <f>B28</f>
        <v>楼层</v>
      </c>
      <c r="C92" s="545"/>
      <c r="D92" s="545"/>
      <c r="E92" s="545"/>
      <c r="F92" s="545"/>
      <c r="G92" s="545"/>
      <c r="H92" s="545"/>
      <c r="I92" s="545"/>
      <c r="J92" s="545"/>
      <c r="K92" s="545"/>
      <c r="L92" s="571"/>
      <c r="M92" s="572"/>
      <c r="N92" s="1140"/>
      <c r="O92" s="1140"/>
      <c r="P92" s="2618"/>
      <c r="Q92" s="495"/>
    </row>
    <row r="93" spans="1:17" ht="15.75" thickBot="1">
      <c r="A93" s="525"/>
      <c r="B93" s="534"/>
      <c r="C93" s="527"/>
      <c r="D93" s="527"/>
      <c r="E93" s="527"/>
      <c r="F93" s="527"/>
      <c r="G93" s="527"/>
      <c r="H93" s="527"/>
      <c r="I93" s="527"/>
      <c r="J93" s="527"/>
      <c r="K93" s="527"/>
      <c r="L93" s="527"/>
      <c r="M93" s="528"/>
      <c r="N93" s="1141"/>
      <c r="O93" s="1141"/>
      <c r="P93" s="2618"/>
      <c r="Q93" s="495"/>
    </row>
    <row r="94" spans="1:17" ht="15.75" thickTop="1">
      <c r="A94" s="525"/>
      <c r="B94" s="529">
        <f>B29</f>
        <v>111</v>
      </c>
      <c r="C94" s="545"/>
      <c r="D94" s="545"/>
      <c r="E94" s="545"/>
      <c r="F94" s="545"/>
      <c r="G94" s="574"/>
      <c r="H94" s="574"/>
      <c r="I94" s="574"/>
      <c r="J94" s="574"/>
      <c r="K94" s="575"/>
      <c r="L94" s="576"/>
      <c r="M94" s="577"/>
      <c r="N94" s="1140"/>
      <c r="O94" s="1140"/>
      <c r="P94" s="2618"/>
      <c r="Q94" s="495"/>
    </row>
    <row r="95" spans="1:17" ht="15.75" thickBot="1">
      <c r="A95" s="525"/>
      <c r="B95" s="534"/>
      <c r="C95" s="551"/>
      <c r="D95" s="527"/>
      <c r="E95" s="527"/>
      <c r="F95" s="527"/>
      <c r="G95" s="527"/>
      <c r="H95" s="527"/>
      <c r="I95" s="527"/>
      <c r="J95" s="527"/>
      <c r="K95" s="527"/>
      <c r="L95" s="527"/>
      <c r="M95" s="528"/>
      <c r="N95" s="1141"/>
      <c r="O95" s="1141"/>
      <c r="P95" s="2618"/>
      <c r="Q95" s="495"/>
    </row>
    <row r="96" spans="1:17" ht="15.75" thickTop="1">
      <c r="A96" s="525"/>
      <c r="B96" s="529">
        <f>B30</f>
        <v>111</v>
      </c>
      <c r="C96" s="545"/>
      <c r="D96" s="545"/>
      <c r="E96" s="545"/>
      <c r="F96" s="545"/>
      <c r="G96" s="574"/>
      <c r="H96" s="574"/>
      <c r="I96" s="574"/>
      <c r="J96" s="574"/>
      <c r="K96" s="575"/>
      <c r="L96" s="576"/>
      <c r="M96" s="577"/>
      <c r="N96" s="1140"/>
      <c r="O96" s="1140"/>
      <c r="P96" s="2618"/>
      <c r="Q96" s="495"/>
    </row>
    <row r="97" spans="1:17" ht="15.75" thickBot="1">
      <c r="A97" s="525"/>
      <c r="B97" s="534"/>
      <c r="C97" s="551"/>
      <c r="D97" s="527"/>
      <c r="E97" s="527"/>
      <c r="F97" s="527"/>
      <c r="G97" s="527"/>
      <c r="H97" s="527"/>
      <c r="I97" s="527"/>
      <c r="J97" s="527"/>
      <c r="K97" s="527"/>
      <c r="L97" s="527"/>
      <c r="M97" s="528"/>
      <c r="N97" s="1141"/>
      <c r="O97" s="1141"/>
      <c r="P97" s="2618"/>
      <c r="Q97" s="495"/>
    </row>
    <row r="98" spans="1:17" ht="15.75" thickTop="1">
      <c r="A98" s="525"/>
      <c r="B98" s="537">
        <f>B31</f>
        <v>111</v>
      </c>
      <c r="C98" s="545"/>
      <c r="D98" s="545"/>
      <c r="E98" s="545"/>
      <c r="F98" s="545"/>
      <c r="G98" s="578"/>
      <c r="H98" s="578"/>
      <c r="I98" s="578"/>
      <c r="J98" s="578"/>
      <c r="K98" s="579"/>
      <c r="L98" s="580"/>
      <c r="M98" s="581"/>
      <c r="N98" s="1140"/>
      <c r="O98" s="1140"/>
      <c r="P98" s="2618"/>
      <c r="Q98" s="495"/>
    </row>
    <row r="99" spans="1:17" ht="15.75" thickBot="1">
      <c r="A99" s="2624"/>
      <c r="B99" s="560"/>
      <c r="C99" s="561"/>
      <c r="D99" s="561"/>
      <c r="E99" s="561"/>
      <c r="F99" s="561"/>
      <c r="G99" s="582"/>
      <c r="H99" s="582"/>
      <c r="I99" s="582"/>
      <c r="J99" s="582"/>
      <c r="K99" s="582"/>
      <c r="L99" s="582"/>
      <c r="M99" s="583"/>
      <c r="N99" s="1141"/>
      <c r="O99" s="1141"/>
      <c r="P99" s="2618"/>
      <c r="Q99" s="495"/>
    </row>
    <row r="100" spans="1:17">
      <c r="A100" s="518" t="s">
        <v>2553</v>
      </c>
      <c r="B100" s="519" t="s">
        <v>2671</v>
      </c>
      <c r="C100" s="521"/>
      <c r="D100" s="521"/>
      <c r="E100" s="521"/>
      <c r="F100" s="521"/>
      <c r="G100" s="521"/>
      <c r="H100" s="521"/>
      <c r="I100" s="521"/>
      <c r="J100" s="521"/>
      <c r="K100" s="522"/>
      <c r="L100" s="523"/>
      <c r="M100" s="524"/>
      <c r="N100" s="1140"/>
      <c r="O100" s="1140"/>
      <c r="P100" s="2618"/>
      <c r="Q100" s="495"/>
    </row>
    <row r="101" spans="1:17" ht="15.75" thickBot="1">
      <c r="A101" s="525"/>
      <c r="B101" s="534"/>
      <c r="C101" s="535">
        <v>100</v>
      </c>
      <c r="D101" s="535">
        <f t="shared" ref="D101:M101" si="22">C101-$K32</f>
        <v>100</v>
      </c>
      <c r="E101" s="535">
        <f t="shared" si="22"/>
        <v>100</v>
      </c>
      <c r="F101" s="535">
        <f t="shared" si="22"/>
        <v>100</v>
      </c>
      <c r="G101" s="535">
        <f t="shared" si="22"/>
        <v>100</v>
      </c>
      <c r="H101" s="535">
        <f t="shared" si="22"/>
        <v>100</v>
      </c>
      <c r="I101" s="535">
        <f t="shared" si="22"/>
        <v>100</v>
      </c>
      <c r="J101" s="535">
        <f t="shared" si="22"/>
        <v>100</v>
      </c>
      <c r="K101" s="535">
        <f t="shared" si="22"/>
        <v>100</v>
      </c>
      <c r="L101" s="535">
        <f t="shared" si="22"/>
        <v>100</v>
      </c>
      <c r="M101" s="536">
        <f t="shared" si="22"/>
        <v>100</v>
      </c>
      <c r="N101" s="1141"/>
      <c r="O101" s="1141"/>
      <c r="P101" s="2618"/>
      <c r="Q101" s="495"/>
    </row>
    <row r="102" spans="1:17" ht="15.75" thickTop="1">
      <c r="A102" s="525"/>
      <c r="B102" s="529" t="s">
        <v>2603</v>
      </c>
      <c r="C102" s="569" t="str">
        <f>C103&amp;"(含)"&amp;"-"&amp;D103</f>
        <v>(含)-</v>
      </c>
      <c r="D102" s="569" t="str">
        <f t="shared" ref="D102:L102" si="23">D103&amp;"(含)"&amp;"-"&amp;E103</f>
        <v>(含)-</v>
      </c>
      <c r="E102" s="569" t="str">
        <f t="shared" si="23"/>
        <v>(含)-</v>
      </c>
      <c r="F102" s="569" t="str">
        <f t="shared" si="23"/>
        <v>(含)-</v>
      </c>
      <c r="G102" s="569" t="str">
        <f t="shared" si="23"/>
        <v>(含)-</v>
      </c>
      <c r="H102" s="569" t="str">
        <f t="shared" si="23"/>
        <v>(含)-</v>
      </c>
      <c r="I102" s="569" t="str">
        <f t="shared" si="23"/>
        <v>(含)-</v>
      </c>
      <c r="J102" s="569" t="str">
        <f t="shared" si="23"/>
        <v>(含)-</v>
      </c>
      <c r="K102" s="569" t="str">
        <f t="shared" si="23"/>
        <v>(含)-</v>
      </c>
      <c r="L102" s="569" t="str">
        <f t="shared" si="23"/>
        <v>(含)-</v>
      </c>
      <c r="M102" s="613" t="str">
        <f>M103&amp;"(含)"&amp;"-"&amp;P103</f>
        <v>(含)-</v>
      </c>
      <c r="N102" s="1139"/>
      <c r="O102" s="1139"/>
      <c r="P102" s="2618"/>
      <c r="Q102" s="495"/>
    </row>
    <row r="103" spans="1:17" s="462" customFormat="1">
      <c r="A103" s="584"/>
      <c r="B103" s="585"/>
      <c r="C103" s="586"/>
      <c r="D103" s="586"/>
      <c r="E103" s="586"/>
      <c r="F103" s="586"/>
      <c r="G103" s="586"/>
      <c r="H103" s="586"/>
      <c r="I103" s="586"/>
      <c r="J103" s="587"/>
      <c r="K103" s="587"/>
      <c r="L103" s="588"/>
      <c r="M103" s="589"/>
      <c r="N103" s="1142"/>
      <c r="O103" s="1142"/>
      <c r="P103" s="2619"/>
      <c r="Q103" s="550"/>
    </row>
    <row r="104" spans="1:17" s="462" customFormat="1" ht="15.75" thickBot="1">
      <c r="A104" s="544"/>
      <c r="B104" s="534"/>
      <c r="C104" s="551"/>
      <c r="D104" s="527"/>
      <c r="E104" s="527"/>
      <c r="F104" s="527"/>
      <c r="G104" s="527"/>
      <c r="H104" s="527"/>
      <c r="I104" s="527"/>
      <c r="J104" s="527"/>
      <c r="K104" s="527"/>
      <c r="L104" s="527"/>
      <c r="M104" s="528"/>
      <c r="N104" s="1141"/>
      <c r="O104" s="1141"/>
      <c r="P104" s="2619"/>
      <c r="Q104" s="550"/>
    </row>
    <row r="105" spans="1:17" ht="15" thickTop="1">
      <c r="A105" s="590"/>
      <c r="B105" s="529" t="s">
        <v>2604</v>
      </c>
      <c r="C105" s="545"/>
      <c r="D105" s="545"/>
      <c r="E105" s="574"/>
      <c r="F105" s="574"/>
      <c r="G105" s="574"/>
      <c r="H105" s="574"/>
      <c r="I105" s="574"/>
      <c r="J105" s="574"/>
      <c r="K105" s="575"/>
      <c r="L105" s="576"/>
      <c r="M105" s="577"/>
      <c r="N105" s="1140"/>
      <c r="O105" s="1140"/>
      <c r="P105" s="2618"/>
      <c r="Q105" s="495"/>
    </row>
    <row r="106" spans="1:17" ht="15.75" thickBot="1">
      <c r="A106" s="525"/>
      <c r="B106" s="534"/>
      <c r="C106" s="535">
        <v>100</v>
      </c>
      <c r="D106" s="535">
        <f t="shared" ref="D106:M106" si="24">C106-$K34</f>
        <v>100</v>
      </c>
      <c r="E106" s="535">
        <f t="shared" si="24"/>
        <v>100</v>
      </c>
      <c r="F106" s="535">
        <f t="shared" si="24"/>
        <v>100</v>
      </c>
      <c r="G106" s="535">
        <f t="shared" si="24"/>
        <v>100</v>
      </c>
      <c r="H106" s="535">
        <f t="shared" si="24"/>
        <v>100</v>
      </c>
      <c r="I106" s="535">
        <f t="shared" si="24"/>
        <v>100</v>
      </c>
      <c r="J106" s="535">
        <f t="shared" si="24"/>
        <v>100</v>
      </c>
      <c r="K106" s="535">
        <f t="shared" si="24"/>
        <v>100</v>
      </c>
      <c r="L106" s="535">
        <f t="shared" si="24"/>
        <v>100</v>
      </c>
      <c r="M106" s="536">
        <f t="shared" si="24"/>
        <v>100</v>
      </c>
      <c r="N106" s="1141"/>
      <c r="O106" s="1141"/>
      <c r="P106" s="2618"/>
      <c r="Q106" s="495"/>
    </row>
    <row r="107" spans="1:17" ht="15" thickTop="1">
      <c r="A107" s="590"/>
      <c r="B107" s="529" t="s">
        <v>2606</v>
      </c>
      <c r="C107" s="545"/>
      <c r="D107" s="545"/>
      <c r="E107" s="545"/>
      <c r="F107" s="574"/>
      <c r="G107" s="574"/>
      <c r="H107" s="574"/>
      <c r="I107" s="574"/>
      <c r="J107" s="574"/>
      <c r="K107" s="575"/>
      <c r="L107" s="576"/>
      <c r="M107" s="577"/>
      <c r="N107" s="1140"/>
      <c r="O107" s="1140"/>
      <c r="P107" s="2618"/>
      <c r="Q107" s="495"/>
    </row>
    <row r="108" spans="1:17" ht="15.75" thickBot="1">
      <c r="A108" s="525"/>
      <c r="B108" s="534"/>
      <c r="C108" s="535">
        <v>100</v>
      </c>
      <c r="D108" s="535">
        <f t="shared" ref="D108:M108" si="25">C108-$K35</f>
        <v>100</v>
      </c>
      <c r="E108" s="535">
        <f t="shared" si="25"/>
        <v>100</v>
      </c>
      <c r="F108" s="535">
        <f t="shared" si="25"/>
        <v>100</v>
      </c>
      <c r="G108" s="535">
        <f t="shared" si="25"/>
        <v>100</v>
      </c>
      <c r="H108" s="535">
        <f t="shared" si="25"/>
        <v>100</v>
      </c>
      <c r="I108" s="535">
        <f t="shared" si="25"/>
        <v>100</v>
      </c>
      <c r="J108" s="535">
        <f t="shared" si="25"/>
        <v>100</v>
      </c>
      <c r="K108" s="535">
        <f t="shared" si="25"/>
        <v>100</v>
      </c>
      <c r="L108" s="535">
        <f t="shared" si="25"/>
        <v>100</v>
      </c>
      <c r="M108" s="536">
        <f t="shared" si="25"/>
        <v>100</v>
      </c>
      <c r="N108" s="1141"/>
      <c r="O108" s="1141"/>
      <c r="P108" s="2618"/>
      <c r="Q108" s="495"/>
    </row>
    <row r="109" spans="1:17" ht="15" thickTop="1">
      <c r="A109" s="590"/>
      <c r="B109" s="529" t="s">
        <v>1999</v>
      </c>
      <c r="C109" s="569" t="str">
        <f>C110&amp;"(含)"&amp;"-"&amp;D110</f>
        <v>0.5(含)-0.6</v>
      </c>
      <c r="D109" s="569" t="str">
        <f>D110&amp;"(含)"&amp;"-"&amp;E110</f>
        <v>0.6(含)-0.7</v>
      </c>
      <c r="E109" s="569" t="str">
        <f>E110&amp;"(含)"&amp;"-"&amp;F110</f>
        <v>0.7(含)-0.8</v>
      </c>
      <c r="F109" s="569" t="str">
        <f>F110&amp;"(含)"&amp;"-"&amp;G110</f>
        <v>0.8(含)-0.9</v>
      </c>
      <c r="G109" s="569" t="str">
        <f>G110&amp;"(含)"&amp;"-"&amp;ROUND(H110,0)&amp;"(含)"</f>
        <v>0.9(含)-1(含)</v>
      </c>
      <c r="H109" s="569"/>
      <c r="I109" s="574"/>
      <c r="J109" s="574"/>
      <c r="K109" s="575"/>
      <c r="L109" s="576"/>
      <c r="M109" s="577"/>
      <c r="N109" s="1140"/>
      <c r="O109" s="1140"/>
      <c r="P109" s="2618"/>
      <c r="Q109" s="495"/>
    </row>
    <row r="110" spans="1:17">
      <c r="A110" s="590"/>
      <c r="B110" s="537"/>
      <c r="C110" s="594">
        <v>0.5</v>
      </c>
      <c r="D110" s="594">
        <v>0.6</v>
      </c>
      <c r="E110" s="594">
        <v>0.7</v>
      </c>
      <c r="F110" s="594">
        <v>0.8</v>
      </c>
      <c r="G110" s="594">
        <v>0.9</v>
      </c>
      <c r="H110" s="594">
        <v>1.0001</v>
      </c>
      <c r="I110" s="614"/>
      <c r="J110" s="614"/>
      <c r="K110" s="615"/>
      <c r="L110" s="616"/>
      <c r="M110" s="617"/>
      <c r="N110" s="1140"/>
      <c r="O110" s="1140"/>
      <c r="P110" s="2618"/>
      <c r="Q110" s="495"/>
    </row>
    <row r="111" spans="1:17" ht="15.75" thickBot="1">
      <c r="A111" s="525"/>
      <c r="B111" s="534"/>
      <c r="C111" s="573">
        <v>100</v>
      </c>
      <c r="D111" s="535">
        <f>C111+$K36</f>
        <v>100</v>
      </c>
      <c r="E111" s="535">
        <f t="shared" ref="E111:M111" si="26">D111+$K36</f>
        <v>100</v>
      </c>
      <c r="F111" s="535">
        <f t="shared" si="26"/>
        <v>100</v>
      </c>
      <c r="G111" s="535">
        <f t="shared" si="26"/>
        <v>100</v>
      </c>
      <c r="H111" s="535">
        <f t="shared" si="26"/>
        <v>100</v>
      </c>
      <c r="I111" s="535">
        <f t="shared" si="26"/>
        <v>100</v>
      </c>
      <c r="J111" s="535">
        <f t="shared" si="26"/>
        <v>100</v>
      </c>
      <c r="K111" s="535">
        <f t="shared" si="26"/>
        <v>100</v>
      </c>
      <c r="L111" s="535">
        <f t="shared" si="26"/>
        <v>100</v>
      </c>
      <c r="M111" s="535">
        <f t="shared" si="26"/>
        <v>100</v>
      </c>
      <c r="N111" s="1141"/>
      <c r="O111" s="1141"/>
      <c r="P111" s="2618"/>
      <c r="Q111" s="495"/>
    </row>
    <row r="112" spans="1:17" s="462" customFormat="1" ht="15" thickTop="1">
      <c r="A112" s="584"/>
      <c r="B112" s="529" t="s">
        <v>2608</v>
      </c>
      <c r="C112" s="545"/>
      <c r="D112" s="545"/>
      <c r="E112" s="545"/>
      <c r="F112" s="545"/>
      <c r="G112" s="545"/>
      <c r="H112" s="574"/>
      <c r="I112" s="574"/>
      <c r="J112" s="574"/>
      <c r="K112" s="575"/>
      <c r="L112" s="576"/>
      <c r="M112" s="577"/>
      <c r="N112" s="1142"/>
      <c r="O112" s="1142"/>
      <c r="P112" s="2619"/>
      <c r="Q112" s="550"/>
    </row>
    <row r="113" spans="1:17" s="462" customFormat="1" ht="15.75" thickBot="1">
      <c r="A113" s="544"/>
      <c r="B113" s="534"/>
      <c r="C113" s="535">
        <v>100</v>
      </c>
      <c r="D113" s="535">
        <f>C113-$K37</f>
        <v>100</v>
      </c>
      <c r="E113" s="535">
        <f t="shared" ref="E113:M113" si="27">D113-$K37</f>
        <v>100</v>
      </c>
      <c r="F113" s="535">
        <f t="shared" si="27"/>
        <v>100</v>
      </c>
      <c r="G113" s="535">
        <f t="shared" si="27"/>
        <v>100</v>
      </c>
      <c r="H113" s="535">
        <f t="shared" si="27"/>
        <v>100</v>
      </c>
      <c r="I113" s="535">
        <f t="shared" si="27"/>
        <v>100</v>
      </c>
      <c r="J113" s="535">
        <f t="shared" si="27"/>
        <v>100</v>
      </c>
      <c r="K113" s="535">
        <f t="shared" si="27"/>
        <v>100</v>
      </c>
      <c r="L113" s="535">
        <f t="shared" si="27"/>
        <v>100</v>
      </c>
      <c r="M113" s="535">
        <f t="shared" si="27"/>
        <v>100</v>
      </c>
      <c r="N113" s="1142"/>
      <c r="O113" s="1142"/>
      <c r="P113" s="2619"/>
      <c r="Q113" s="550"/>
    </row>
    <row r="114" spans="1:17" ht="15" thickTop="1">
      <c r="A114" s="590"/>
      <c r="B114" s="529" t="s">
        <v>2672</v>
      </c>
      <c r="C114" s="545"/>
      <c r="D114" s="545"/>
      <c r="E114" s="574"/>
      <c r="F114" s="574"/>
      <c r="G114" s="574"/>
      <c r="H114" s="574"/>
      <c r="I114" s="574"/>
      <c r="J114" s="574"/>
      <c r="K114" s="575"/>
      <c r="L114" s="576"/>
      <c r="M114" s="577"/>
      <c r="N114" s="1140"/>
      <c r="O114" s="1140"/>
      <c r="P114" s="2618"/>
      <c r="Q114" s="495"/>
    </row>
    <row r="115" spans="1:17" ht="15.75" thickBot="1">
      <c r="A115" s="525"/>
      <c r="B115" s="534"/>
      <c r="C115" s="535">
        <v>100</v>
      </c>
      <c r="D115" s="535">
        <f t="shared" ref="D115:M115" si="28">C115-$K38</f>
        <v>100</v>
      </c>
      <c r="E115" s="535">
        <f t="shared" si="28"/>
        <v>100</v>
      </c>
      <c r="F115" s="535">
        <f t="shared" si="28"/>
        <v>100</v>
      </c>
      <c r="G115" s="535">
        <f t="shared" si="28"/>
        <v>100</v>
      </c>
      <c r="H115" s="535">
        <f t="shared" si="28"/>
        <v>100</v>
      </c>
      <c r="I115" s="535">
        <f t="shared" si="28"/>
        <v>100</v>
      </c>
      <c r="J115" s="535">
        <f t="shared" si="28"/>
        <v>100</v>
      </c>
      <c r="K115" s="535">
        <f t="shared" si="28"/>
        <v>100</v>
      </c>
      <c r="L115" s="535">
        <f t="shared" si="28"/>
        <v>100</v>
      </c>
      <c r="M115" s="536">
        <f t="shared" si="28"/>
        <v>100</v>
      </c>
      <c r="N115" s="1141"/>
      <c r="O115" s="1141"/>
      <c r="P115" s="2618"/>
      <c r="Q115" s="495"/>
    </row>
    <row r="116" spans="1:17" ht="15" thickTop="1">
      <c r="A116" s="590"/>
      <c r="B116" s="529" t="s">
        <v>2673</v>
      </c>
      <c r="C116" s="545"/>
      <c r="D116" s="545"/>
      <c r="E116" s="545"/>
      <c r="F116" s="545"/>
      <c r="G116" s="545"/>
      <c r="H116" s="574"/>
      <c r="I116" s="574"/>
      <c r="J116" s="574"/>
      <c r="K116" s="575"/>
      <c r="L116" s="576"/>
      <c r="M116" s="577"/>
      <c r="N116" s="1140"/>
      <c r="O116" s="1140"/>
      <c r="P116" s="2618"/>
      <c r="Q116" s="495"/>
    </row>
    <row r="117" spans="1:17" ht="15.75" thickBot="1">
      <c r="A117" s="525"/>
      <c r="B117" s="534"/>
      <c r="C117" s="535">
        <v>100</v>
      </c>
      <c r="D117" s="535">
        <f>C117-$K39</f>
        <v>100</v>
      </c>
      <c r="E117" s="535">
        <f>D117-$K39</f>
        <v>100</v>
      </c>
      <c r="F117" s="535">
        <f>E117-$K39</f>
        <v>100</v>
      </c>
      <c r="G117" s="535">
        <f>F117-$K39</f>
        <v>100</v>
      </c>
      <c r="H117" s="535"/>
      <c r="I117" s="535"/>
      <c r="J117" s="535"/>
      <c r="K117" s="535"/>
      <c r="L117" s="535"/>
      <c r="M117" s="536"/>
      <c r="N117" s="1141"/>
      <c r="O117" s="1141"/>
      <c r="P117" s="2618"/>
      <c r="Q117" s="495"/>
    </row>
    <row r="118" spans="1:17" ht="15" thickTop="1">
      <c r="A118" s="590"/>
      <c r="B118" s="529" t="s">
        <v>2674</v>
      </c>
      <c r="C118" s="618"/>
      <c r="D118" s="618"/>
      <c r="E118" s="618"/>
      <c r="F118" s="618"/>
      <c r="G118" s="618"/>
      <c r="H118" s="546"/>
      <c r="I118" s="546"/>
      <c r="J118" s="546"/>
      <c r="K118" s="546"/>
      <c r="L118" s="547"/>
      <c r="M118" s="548"/>
      <c r="N118" s="1140"/>
      <c r="O118" s="1140"/>
      <c r="P118" s="2618"/>
      <c r="Q118" s="495"/>
    </row>
    <row r="119" spans="1:17" ht="15.75" thickBot="1">
      <c r="A119" s="525"/>
      <c r="B119" s="534"/>
      <c r="C119" s="551"/>
      <c r="D119" s="527"/>
      <c r="E119" s="527"/>
      <c r="F119" s="527"/>
      <c r="G119" s="527"/>
      <c r="H119" s="527"/>
      <c r="I119" s="527"/>
      <c r="J119" s="527"/>
      <c r="K119" s="527"/>
      <c r="L119" s="527"/>
      <c r="M119" s="528"/>
      <c r="N119" s="1141"/>
      <c r="O119" s="1141"/>
      <c r="P119" s="2618"/>
      <c r="Q119" s="495"/>
    </row>
    <row r="120" spans="1:17" s="462" customFormat="1" ht="15" thickTop="1">
      <c r="A120" s="584"/>
      <c r="B120" s="529" t="s">
        <v>2675</v>
      </c>
      <c r="C120" s="574"/>
      <c r="D120" s="574"/>
      <c r="E120" s="574"/>
      <c r="F120" s="574"/>
      <c r="G120" s="546"/>
      <c r="H120" s="546"/>
      <c r="I120" s="546"/>
      <c r="J120" s="546"/>
      <c r="K120" s="546"/>
      <c r="L120" s="547"/>
      <c r="M120" s="548"/>
      <c r="N120" s="1142"/>
      <c r="O120" s="1142"/>
      <c r="P120" s="2619"/>
      <c r="Q120" s="550"/>
    </row>
    <row r="121" spans="1:17" s="462" customFormat="1" ht="15.75" thickBot="1">
      <c r="A121" s="544"/>
      <c r="B121" s="526"/>
      <c r="C121" s="573">
        <v>100</v>
      </c>
      <c r="D121" s="535">
        <f>C121-$K41</f>
        <v>100</v>
      </c>
      <c r="E121" s="535">
        <f t="shared" ref="E121:M121" si="29">D121-$K41</f>
        <v>100</v>
      </c>
      <c r="F121" s="535">
        <f t="shared" si="29"/>
        <v>100</v>
      </c>
      <c r="G121" s="535">
        <f t="shared" si="29"/>
        <v>100</v>
      </c>
      <c r="H121" s="535">
        <f t="shared" si="29"/>
        <v>100</v>
      </c>
      <c r="I121" s="535">
        <f t="shared" si="29"/>
        <v>100</v>
      </c>
      <c r="J121" s="535">
        <f t="shared" si="29"/>
        <v>100</v>
      </c>
      <c r="K121" s="535">
        <f t="shared" si="29"/>
        <v>100</v>
      </c>
      <c r="L121" s="535">
        <f t="shared" si="29"/>
        <v>100</v>
      </c>
      <c r="M121" s="536">
        <f t="shared" si="29"/>
        <v>100</v>
      </c>
      <c r="N121" s="1142"/>
      <c r="O121" s="1142"/>
      <c r="P121" s="2619"/>
      <c r="Q121" s="550"/>
    </row>
    <row r="122" spans="1:17" ht="15" thickTop="1">
      <c r="A122" s="590"/>
      <c r="B122" s="529" t="s">
        <v>2610</v>
      </c>
      <c r="C122" s="545"/>
      <c r="D122" s="545"/>
      <c r="E122" s="545"/>
      <c r="F122" s="574"/>
      <c r="G122" s="574"/>
      <c r="H122" s="574"/>
      <c r="I122" s="574"/>
      <c r="J122" s="574"/>
      <c r="K122" s="575"/>
      <c r="L122" s="576"/>
      <c r="M122" s="577"/>
      <c r="N122" s="1140"/>
      <c r="O122" s="1140"/>
      <c r="P122" s="2618"/>
      <c r="Q122" s="495"/>
    </row>
    <row r="123" spans="1:17" ht="15.75" thickBot="1">
      <c r="A123" s="525"/>
      <c r="B123" s="534"/>
      <c r="C123" s="535">
        <v>100</v>
      </c>
      <c r="D123" s="535">
        <f t="shared" ref="D123:M123" si="30">C123-$K42</f>
        <v>100</v>
      </c>
      <c r="E123" s="535">
        <f t="shared" si="30"/>
        <v>100</v>
      </c>
      <c r="F123" s="535">
        <f t="shared" si="30"/>
        <v>100</v>
      </c>
      <c r="G123" s="535">
        <f t="shared" si="30"/>
        <v>100</v>
      </c>
      <c r="H123" s="535">
        <f t="shared" si="30"/>
        <v>100</v>
      </c>
      <c r="I123" s="535">
        <f t="shared" si="30"/>
        <v>100</v>
      </c>
      <c r="J123" s="535">
        <f t="shared" si="30"/>
        <v>100</v>
      </c>
      <c r="K123" s="535">
        <f t="shared" si="30"/>
        <v>100</v>
      </c>
      <c r="L123" s="535">
        <f t="shared" si="30"/>
        <v>100</v>
      </c>
      <c r="M123" s="536">
        <f t="shared" si="30"/>
        <v>100</v>
      </c>
      <c r="N123" s="1141"/>
      <c r="O123" s="1141"/>
      <c r="P123" s="2618"/>
      <c r="Q123" s="495"/>
    </row>
    <row r="124" spans="1:17" ht="15" thickTop="1">
      <c r="A124" s="590"/>
      <c r="B124" s="529" t="s">
        <v>2611</v>
      </c>
      <c r="C124" s="569" t="s">
        <v>2587</v>
      </c>
      <c r="D124" s="569" t="s">
        <v>2588</v>
      </c>
      <c r="E124" s="569" t="s">
        <v>2589</v>
      </c>
      <c r="F124" s="569" t="s">
        <v>2590</v>
      </c>
      <c r="G124" s="569" t="s">
        <v>2591</v>
      </c>
      <c r="H124" s="530"/>
      <c r="I124" s="530"/>
      <c r="J124" s="530"/>
      <c r="K124" s="531"/>
      <c r="L124" s="532"/>
      <c r="M124" s="533"/>
      <c r="N124" s="1140"/>
      <c r="O124" s="1140"/>
      <c r="P124" s="2619"/>
      <c r="Q124" s="495"/>
    </row>
    <row r="125" spans="1:17" ht="15.75" thickBot="1">
      <c r="A125" s="525"/>
      <c r="B125" s="534"/>
      <c r="C125" s="535">
        <v>100</v>
      </c>
      <c r="D125" s="535">
        <f>C125-$K43</f>
        <v>100</v>
      </c>
      <c r="E125" s="535">
        <f>D125-$K43</f>
        <v>100</v>
      </c>
      <c r="F125" s="535">
        <f>E125-$K43</f>
        <v>100</v>
      </c>
      <c r="G125" s="535">
        <f>F125-$K43</f>
        <v>100</v>
      </c>
      <c r="H125" s="535"/>
      <c r="I125" s="535"/>
      <c r="J125" s="535"/>
      <c r="K125" s="535"/>
      <c r="L125" s="535"/>
      <c r="M125" s="536"/>
      <c r="N125" s="1141"/>
      <c r="O125" s="1141"/>
      <c r="P125" s="2618"/>
      <c r="Q125" s="495"/>
    </row>
    <row r="126" spans="1:17" s="462" customFormat="1" ht="15" thickTop="1">
      <c r="A126" s="584"/>
      <c r="B126" s="529">
        <f>B44</f>
        <v>111</v>
      </c>
      <c r="C126" s="545"/>
      <c r="D126" s="545"/>
      <c r="E126" s="545"/>
      <c r="F126" s="545"/>
      <c r="G126" s="545"/>
      <c r="H126" s="546"/>
      <c r="I126" s="546"/>
      <c r="J126" s="546"/>
      <c r="K126" s="546"/>
      <c r="L126" s="547"/>
      <c r="M126" s="548"/>
      <c r="N126" s="1142"/>
      <c r="O126" s="1142"/>
      <c r="P126" s="2619"/>
      <c r="Q126" s="550"/>
    </row>
    <row r="127" spans="1:17" s="462" customFormat="1" ht="15.75" thickBot="1">
      <c r="A127" s="544"/>
      <c r="B127" s="534"/>
      <c r="C127" s="551"/>
      <c r="D127" s="527"/>
      <c r="E127" s="527"/>
      <c r="F127" s="527"/>
      <c r="G127" s="551"/>
      <c r="H127" s="553"/>
      <c r="I127" s="553"/>
      <c r="J127" s="553"/>
      <c r="K127" s="553"/>
      <c r="L127" s="553"/>
      <c r="M127" s="554"/>
      <c r="N127" s="1142"/>
      <c r="O127" s="1142"/>
      <c r="P127" s="2619"/>
      <c r="Q127" s="550"/>
    </row>
    <row r="128" spans="1:17" ht="15" thickTop="1">
      <c r="A128" s="590"/>
      <c r="B128" s="529">
        <f>B45</f>
        <v>111</v>
      </c>
      <c r="C128" s="545"/>
      <c r="D128" s="545"/>
      <c r="E128" s="545"/>
      <c r="F128" s="545"/>
      <c r="G128" s="574"/>
      <c r="H128" s="574"/>
      <c r="I128" s="574"/>
      <c r="J128" s="574"/>
      <c r="K128" s="575"/>
      <c r="L128" s="576"/>
      <c r="M128" s="577"/>
      <c r="N128" s="1140"/>
      <c r="O128" s="1140"/>
      <c r="P128" s="2618"/>
      <c r="Q128" s="495"/>
    </row>
    <row r="129" spans="1:17" ht="15.75" thickBot="1">
      <c r="A129" s="525"/>
      <c r="B129" s="534"/>
      <c r="C129" s="551"/>
      <c r="D129" s="527"/>
      <c r="E129" s="527"/>
      <c r="F129" s="527"/>
      <c r="G129" s="527"/>
      <c r="H129" s="527"/>
      <c r="I129" s="527"/>
      <c r="J129" s="527"/>
      <c r="K129" s="527"/>
      <c r="L129" s="527"/>
      <c r="M129" s="528"/>
      <c r="N129" s="1141"/>
      <c r="O129" s="1141"/>
      <c r="P129" s="2618"/>
      <c r="Q129" s="495"/>
    </row>
    <row r="130" spans="1:17" ht="15" thickTop="1">
      <c r="A130" s="590"/>
      <c r="B130" s="537">
        <f>B46</f>
        <v>111</v>
      </c>
      <c r="C130" s="545"/>
      <c r="D130" s="545"/>
      <c r="E130" s="545"/>
      <c r="F130" s="545"/>
      <c r="G130" s="578"/>
      <c r="H130" s="578"/>
      <c r="I130" s="578"/>
      <c r="J130" s="578"/>
      <c r="K130" s="514"/>
      <c r="L130" s="515"/>
      <c r="M130" s="581"/>
      <c r="N130" s="1140"/>
      <c r="O130" s="1140"/>
      <c r="P130" s="2618"/>
      <c r="Q130" s="495"/>
    </row>
    <row r="131" spans="1:17" ht="15.75" thickBot="1">
      <c r="A131" s="2624"/>
      <c r="B131" s="560"/>
      <c r="C131" s="561"/>
      <c r="D131" s="561"/>
      <c r="E131" s="561"/>
      <c r="F131" s="561"/>
      <c r="G131" s="582"/>
      <c r="H131" s="582"/>
      <c r="I131" s="582"/>
      <c r="J131" s="582"/>
      <c r="K131" s="582"/>
      <c r="L131" s="582"/>
      <c r="M131" s="583"/>
      <c r="N131" s="1141"/>
      <c r="O131" s="1141"/>
      <c r="P131" s="2618"/>
      <c r="Q131" s="49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394" customWidth="1"/>
    <col min="2" max="2" width="15.75" style="394" customWidth="1"/>
    <col min="3" max="3" width="15.625" style="394" customWidth="1"/>
    <col min="4" max="4" width="12.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1111"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29" s="1616" customFormat="1" ht="28.5" customHeight="1" thickBot="1">
      <c r="A1" s="1605" t="s">
        <v>2518</v>
      </c>
      <c r="B1" s="2657" t="s">
        <v>2676</v>
      </c>
      <c r="C1" s="1607" t="s">
        <v>2520</v>
      </c>
      <c r="D1" s="1608"/>
      <c r="E1" s="1617"/>
      <c r="F1" s="2574"/>
      <c r="G1" s="1618" t="s">
        <v>2633</v>
      </c>
      <c r="H1" s="1617"/>
      <c r="I1" s="1617"/>
      <c r="J1" s="1617"/>
      <c r="K1" s="1619"/>
      <c r="L1" s="1620"/>
      <c r="M1" s="1621"/>
      <c r="N1" s="1621"/>
      <c r="O1" s="1621"/>
      <c r="P1" s="1607"/>
      <c r="Q1" s="1607"/>
      <c r="R1" s="1607"/>
      <c r="S1" s="1607"/>
      <c r="T1" s="1607"/>
      <c r="U1" s="1607"/>
      <c r="V1" s="1607"/>
      <c r="W1" s="1607"/>
      <c r="X1" s="1607"/>
      <c r="Y1" s="1607"/>
      <c r="Z1" s="1607"/>
      <c r="AA1" s="1607"/>
      <c r="AB1" s="1607"/>
      <c r="AC1" s="1615"/>
    </row>
    <row r="2" spans="1:29" s="389" customFormat="1" ht="28.5" customHeight="1" thickTop="1">
      <c r="A2" s="1604" t="s">
        <v>2320</v>
      </c>
      <c r="B2" s="1406" t="e">
        <f ca="1">IF(C2="——",ROUND(C50*D3/10000,0),ROUND(C50*D3/10000,0)-D2)</f>
        <v>#DIV/0!</v>
      </c>
      <c r="C2" s="2576"/>
      <c r="D2" s="1353" t="e">
        <f ca="1">SUMIF(INDIRECT("'"&amp;F2&amp;"'"&amp;"!A:A"),"承租人权益价值",INDIRECT("'"&amp;F2&amp;"'"&amp;"!c:c"))</f>
        <v>#REF!</v>
      </c>
      <c r="E2" s="2577" t="s">
        <v>2321</v>
      </c>
      <c r="F2" s="2578"/>
      <c r="G2" s="1113"/>
      <c r="H2" s="1113"/>
      <c r="I2" s="1113"/>
      <c r="J2" s="1113"/>
      <c r="K2" s="1113"/>
      <c r="L2" s="1116"/>
      <c r="M2" s="1117"/>
      <c r="N2" s="1117"/>
      <c r="O2" s="1117"/>
      <c r="P2" s="759"/>
      <c r="Q2" s="759"/>
      <c r="R2" s="759"/>
      <c r="S2" s="759"/>
      <c r="T2" s="759"/>
      <c r="U2" s="759"/>
      <c r="V2" s="759"/>
      <c r="W2" s="759"/>
      <c r="X2" s="759"/>
      <c r="Y2" s="759"/>
      <c r="Z2" s="759"/>
      <c r="AA2" s="759"/>
      <c r="AB2" s="759"/>
      <c r="AC2" s="760"/>
    </row>
    <row r="3" spans="1:29" s="389" customFormat="1" ht="28.5" customHeight="1" thickBot="1">
      <c r="A3" s="238" t="s">
        <v>2322</v>
      </c>
      <c r="B3" s="600" t="e">
        <f ca="1">IF(C2="——",C50,ROUND(B2*10000/D3,0))</f>
        <v>#DIV/0!</v>
      </c>
      <c r="C3" s="391" t="s">
        <v>2634</v>
      </c>
      <c r="D3" s="390">
        <f>IF(D1="",'数据-汇总表'!E3,SUMIF('数据-汇总表'!$C19:$C33,D1,'数据-汇总表'!$E19:$E33))</f>
        <v>20428.607999999997</v>
      </c>
      <c r="E3" s="2651"/>
      <c r="F3" s="1114"/>
      <c r="G3" s="1113"/>
      <c r="H3" s="1113"/>
      <c r="I3" s="1113"/>
      <c r="J3" s="1113"/>
      <c r="K3" s="1115"/>
      <c r="L3" s="1116"/>
      <c r="M3" s="1117"/>
      <c r="N3" s="1117"/>
      <c r="O3" s="1117"/>
      <c r="P3" s="759"/>
      <c r="Q3" s="759"/>
      <c r="R3" s="759"/>
      <c r="S3" s="759"/>
      <c r="T3" s="759"/>
      <c r="U3" s="759"/>
      <c r="V3" s="759"/>
      <c r="W3" s="759"/>
      <c r="X3" s="759"/>
      <c r="Y3" s="759"/>
      <c r="Z3" s="759"/>
      <c r="AA3" s="759"/>
      <c r="AB3" s="759"/>
      <c r="AC3" s="760"/>
    </row>
    <row r="4" spans="1:29" ht="15">
      <c r="A4" s="392" t="s">
        <v>2635</v>
      </c>
      <c r="B4" s="393"/>
      <c r="C4" s="3286" t="s">
        <v>2636</v>
      </c>
      <c r="D4" s="3287"/>
      <c r="E4" s="3288" t="s">
        <v>2637</v>
      </c>
      <c r="F4" s="3289"/>
      <c r="G4" s="3286" t="s">
        <v>2638</v>
      </c>
      <c r="H4" s="3287"/>
      <c r="I4" s="3286" t="s">
        <v>2639</v>
      </c>
      <c r="J4" s="3287"/>
      <c r="K4" s="601" t="s">
        <v>2640</v>
      </c>
      <c r="L4" s="1118"/>
      <c r="M4" s="1119"/>
      <c r="N4" s="1119"/>
      <c r="O4" s="1119"/>
      <c r="P4" s="3354" t="s">
        <v>2641</v>
      </c>
      <c r="Q4" s="3355"/>
      <c r="R4" s="3349" t="s">
        <v>2637</v>
      </c>
      <c r="S4" s="3350"/>
      <c r="T4" s="3349" t="s">
        <v>2638</v>
      </c>
      <c r="U4" s="3350"/>
      <c r="V4" s="3358" t="s">
        <v>2639</v>
      </c>
      <c r="W4" s="3358"/>
      <c r="X4" s="2658"/>
      <c r="Y4" s="3349" t="s">
        <v>2641</v>
      </c>
      <c r="Z4" s="3350"/>
      <c r="AA4" s="3348" t="s">
        <v>2637</v>
      </c>
      <c r="AB4" s="3348" t="s">
        <v>2638</v>
      </c>
      <c r="AC4" s="3351" t="s">
        <v>2639</v>
      </c>
    </row>
    <row r="5" spans="1:29" ht="15">
      <c r="A5" s="395"/>
      <c r="B5" s="396"/>
      <c r="C5" s="3311" t="s">
        <v>2532</v>
      </c>
      <c r="D5" s="3280"/>
      <c r="E5" s="3347" t="s">
        <v>2533</v>
      </c>
      <c r="F5" s="3278"/>
      <c r="G5" s="3311" t="s">
        <v>2534</v>
      </c>
      <c r="H5" s="3280"/>
      <c r="I5" s="3311" t="s">
        <v>2535</v>
      </c>
      <c r="J5" s="3280"/>
      <c r="K5" s="601"/>
      <c r="L5" s="1118"/>
      <c r="M5" s="1119"/>
      <c r="N5" s="1119"/>
      <c r="O5" s="1119"/>
      <c r="P5" s="3356"/>
      <c r="Q5" s="3293"/>
      <c r="R5" s="3275"/>
      <c r="S5" s="3276"/>
      <c r="T5" s="3275"/>
      <c r="U5" s="3276"/>
      <c r="V5" s="3298"/>
      <c r="W5" s="3298"/>
      <c r="X5" s="1800"/>
      <c r="Y5" s="3275"/>
      <c r="Z5" s="3276"/>
      <c r="AA5" s="3269"/>
      <c r="AB5" s="3269"/>
      <c r="AC5" s="3352"/>
    </row>
    <row r="6" spans="1:29" ht="15.75" thickBot="1">
      <c r="A6" s="397"/>
      <c r="B6" s="398"/>
      <c r="C6" s="3281" t="s">
        <v>2536</v>
      </c>
      <c r="D6" s="3282"/>
      <c r="E6" s="3283" t="s">
        <v>2536</v>
      </c>
      <c r="F6" s="3284"/>
      <c r="G6" s="3281" t="s">
        <v>2536</v>
      </c>
      <c r="H6" s="3282"/>
      <c r="I6" s="3281" t="s">
        <v>2536</v>
      </c>
      <c r="J6" s="3282"/>
      <c r="K6" s="601" t="s">
        <v>2537</v>
      </c>
      <c r="L6" s="1118"/>
      <c r="M6" s="1119"/>
      <c r="N6" s="1119"/>
      <c r="O6" s="1119"/>
      <c r="P6" s="3357"/>
      <c r="Q6" s="3295"/>
      <c r="R6" s="3275"/>
      <c r="S6" s="3276"/>
      <c r="T6" s="3296"/>
      <c r="U6" s="3297"/>
      <c r="V6" s="3298"/>
      <c r="W6" s="3298"/>
      <c r="X6" s="1800"/>
      <c r="Y6" s="3296"/>
      <c r="Z6" s="3297"/>
      <c r="AA6" s="3270"/>
      <c r="AB6" s="3270"/>
      <c r="AC6" s="3353"/>
    </row>
    <row r="7" spans="1:29" s="110" customFormat="1" ht="15.75" thickBot="1">
      <c r="A7" s="399" t="s">
        <v>2538</v>
      </c>
      <c r="B7" s="400"/>
      <c r="C7" s="401">
        <f>'数据-取费表'!B2</f>
        <v>43515</v>
      </c>
      <c r="D7" s="402">
        <v>100</v>
      </c>
      <c r="E7" s="403"/>
      <c r="F7" s="404">
        <f>SUMIF(59:59,YEAR(E7)&amp;"-"&amp;MONTH(E7),60:60)</f>
        <v>0</v>
      </c>
      <c r="G7" s="403"/>
      <c r="H7" s="402">
        <f>SUMIF(59:59,YEAR(G7)&amp;"-"&amp;MONTH(G7),60:60)</f>
        <v>0</v>
      </c>
      <c r="I7" s="403"/>
      <c r="J7" s="402">
        <f>SUMIF(59:59,YEAR(I7)&amp;"-"&amp;MONTH(I7),60:60)</f>
        <v>0</v>
      </c>
      <c r="K7" s="602"/>
      <c r="L7" s="1120"/>
      <c r="M7" s="1121"/>
      <c r="N7" s="1121"/>
      <c r="O7" s="1121"/>
      <c r="P7" s="3359" t="s">
        <v>2539</v>
      </c>
      <c r="Q7" s="3299"/>
      <c r="R7" s="761" t="s">
        <v>17</v>
      </c>
      <c r="S7" s="762">
        <f t="shared" ref="S7:S15" si="0">F7</f>
        <v>0</v>
      </c>
      <c r="T7" s="761" t="s">
        <v>17</v>
      </c>
      <c r="U7" s="762">
        <f t="shared" ref="U7:U15" si="1">H7</f>
        <v>0</v>
      </c>
      <c r="V7" s="761" t="s">
        <v>17</v>
      </c>
      <c r="W7" s="762">
        <f t="shared" ref="W7:W15" si="2">J7</f>
        <v>0</v>
      </c>
      <c r="X7" s="763"/>
      <c r="Y7" s="3271" t="s">
        <v>2539</v>
      </c>
      <c r="Z7" s="3272"/>
      <c r="AA7" s="764" t="e">
        <f>D7/F7</f>
        <v>#DIV/0!</v>
      </c>
      <c r="AB7" s="764" t="e">
        <f>D7/H7</f>
        <v>#DIV/0!</v>
      </c>
      <c r="AC7" s="2659" t="e">
        <f>D7/J7</f>
        <v>#DIV/0!</v>
      </c>
    </row>
    <row r="8" spans="1:29" s="110" customFormat="1" ht="15.75" thickBot="1">
      <c r="A8" s="399" t="s">
        <v>2540</v>
      </c>
      <c r="B8" s="400"/>
      <c r="C8" s="405" t="s">
        <v>2642</v>
      </c>
      <c r="D8" s="402">
        <v>100</v>
      </c>
      <c r="E8" s="405"/>
      <c r="F8" s="404">
        <f>SUMIF(62:62,E8,63:63)-SUMIF(62:62,C8,63:63)+100</f>
        <v>0</v>
      </c>
      <c r="G8" s="405"/>
      <c r="H8" s="402">
        <f>SUMIF(62:62,G8,63:63)-SUMIF(62:62,C8,63:63)+100</f>
        <v>0</v>
      </c>
      <c r="I8" s="405"/>
      <c r="J8" s="402">
        <f>SUMIF(62:62,I8,63:63)-SUMIF(62:62,C8,63:63)+100</f>
        <v>0</v>
      </c>
      <c r="K8" s="602"/>
      <c r="L8" s="1120"/>
      <c r="M8" s="1121"/>
      <c r="N8" s="1121"/>
      <c r="O8" s="1121"/>
      <c r="P8" s="3359" t="s">
        <v>2542</v>
      </c>
      <c r="Q8" s="3272"/>
      <c r="R8" s="761" t="s">
        <v>17</v>
      </c>
      <c r="S8" s="762">
        <f t="shared" si="0"/>
        <v>0</v>
      </c>
      <c r="T8" s="761" t="s">
        <v>17</v>
      </c>
      <c r="U8" s="762">
        <f t="shared" si="1"/>
        <v>0</v>
      </c>
      <c r="V8" s="761" t="s">
        <v>17</v>
      </c>
      <c r="W8" s="762">
        <f t="shared" si="2"/>
        <v>0</v>
      </c>
      <c r="X8" s="763"/>
      <c r="Y8" s="3271" t="s">
        <v>2542</v>
      </c>
      <c r="Z8" s="3272"/>
      <c r="AA8" s="764" t="e">
        <f t="shared" ref="AA8:AA47" si="3">D8/F8</f>
        <v>#DIV/0!</v>
      </c>
      <c r="AB8" s="764" t="e">
        <f t="shared" ref="AB8:AB47" si="4">D8/H8</f>
        <v>#DIV/0!</v>
      </c>
      <c r="AC8" s="2659" t="e">
        <f t="shared" ref="AC8:AC47" si="5">D8/J8</f>
        <v>#DIV/0!</v>
      </c>
    </row>
    <row r="9" spans="1:29" s="110" customFormat="1">
      <c r="A9" s="406" t="s">
        <v>2543</v>
      </c>
      <c r="B9" s="70" t="s">
        <v>2544</v>
      </c>
      <c r="C9" s="407"/>
      <c r="D9" s="126">
        <v>100</v>
      </c>
      <c r="E9" s="410"/>
      <c r="F9" s="126">
        <f>SUMIF(64:64,E9,65:65)-SUMIF(64:64,C9,65:65)+100</f>
        <v>100</v>
      </c>
      <c r="G9" s="408"/>
      <c r="H9" s="126">
        <f>SUMIF(64:64,G9,65:65)-SUMIF(64:64,C9,65:65)+100</f>
        <v>100</v>
      </c>
      <c r="I9" s="408"/>
      <c r="J9" s="126">
        <f>SUMIF(64:64,I9,65:65)-SUMIF(64:64,C9,65:65)+100</f>
        <v>100</v>
      </c>
      <c r="K9" s="602"/>
      <c r="L9" s="1120"/>
      <c r="M9" s="1121"/>
      <c r="N9" s="1121"/>
      <c r="O9" s="1121"/>
      <c r="P9" s="3309" t="s">
        <v>2545</v>
      </c>
      <c r="Q9" s="1782" t="str">
        <f t="shared" ref="Q9:Q15" si="6">B9</f>
        <v>用途</v>
      </c>
      <c r="R9" s="761" t="s">
        <v>17</v>
      </c>
      <c r="S9" s="762">
        <f t="shared" si="0"/>
        <v>100</v>
      </c>
      <c r="T9" s="761" t="s">
        <v>17</v>
      </c>
      <c r="U9" s="762">
        <f t="shared" si="1"/>
        <v>100</v>
      </c>
      <c r="V9" s="761" t="s">
        <v>17</v>
      </c>
      <c r="W9" s="762">
        <f t="shared" si="2"/>
        <v>100</v>
      </c>
      <c r="X9" s="763"/>
      <c r="Y9" s="3145" t="s">
        <v>2546</v>
      </c>
      <c r="Z9" s="54" t="str">
        <f t="shared" ref="Z9:Z15" si="7">Q9</f>
        <v>用途</v>
      </c>
      <c r="AA9" s="764">
        <f t="shared" si="3"/>
        <v>1</v>
      </c>
      <c r="AB9" s="764">
        <f t="shared" si="4"/>
        <v>1</v>
      </c>
      <c r="AC9" s="2659">
        <f t="shared" si="5"/>
        <v>1</v>
      </c>
    </row>
    <row r="10" spans="1:29" s="418" customFormat="1" ht="27">
      <c r="A10" s="412"/>
      <c r="B10" s="413" t="s">
        <v>2547</v>
      </c>
      <c r="C10" s="414"/>
      <c r="D10" s="127">
        <v>100</v>
      </c>
      <c r="E10" s="414"/>
      <c r="F10" s="127">
        <f>SUMIF(66:66,E10,67:67)-SUMIF(66:66,C10,67:67)+100</f>
        <v>100</v>
      </c>
      <c r="G10" s="415"/>
      <c r="H10" s="127">
        <f>SUMIF(66:66,G10,67:67)-SUMIF(66:66,C10,67:67)+100</f>
        <v>100</v>
      </c>
      <c r="I10" s="414"/>
      <c r="J10" s="127">
        <f>SUMIF(66:66,I10,67:67)-SUMIF(66:66,C10,67:67)+100</f>
        <v>100</v>
      </c>
      <c r="K10" s="603"/>
      <c r="L10" s="1123"/>
      <c r="M10" s="1124"/>
      <c r="N10" s="1124"/>
      <c r="O10" s="1124"/>
      <c r="P10" s="3309"/>
      <c r="Q10" s="1782" t="str">
        <f t="shared" si="6"/>
        <v>土地使用年限（年）</v>
      </c>
      <c r="R10" s="761" t="s">
        <v>17</v>
      </c>
      <c r="S10" s="762">
        <f t="shared" si="0"/>
        <v>100</v>
      </c>
      <c r="T10" s="761" t="s">
        <v>17</v>
      </c>
      <c r="U10" s="762">
        <f t="shared" si="1"/>
        <v>100</v>
      </c>
      <c r="V10" s="761" t="s">
        <v>17</v>
      </c>
      <c r="W10" s="762">
        <f t="shared" si="2"/>
        <v>100</v>
      </c>
      <c r="X10" s="763"/>
      <c r="Y10" s="3145"/>
      <c r="Z10" s="54" t="str">
        <f t="shared" si="7"/>
        <v>土地使用年限（年）</v>
      </c>
      <c r="AA10" s="764">
        <f t="shared" si="3"/>
        <v>1</v>
      </c>
      <c r="AB10" s="764">
        <f t="shared" si="4"/>
        <v>1</v>
      </c>
      <c r="AC10" s="2659">
        <f t="shared" si="5"/>
        <v>1</v>
      </c>
    </row>
    <row r="11" spans="1:29" ht="15">
      <c r="A11" s="419"/>
      <c r="B11" s="413" t="s">
        <v>2548</v>
      </c>
      <c r="C11" s="420"/>
      <c r="D11" s="127">
        <v>100</v>
      </c>
      <c r="E11" s="420"/>
      <c r="F11" s="127" t="e">
        <f>LOOKUP(E11,69:69,70:70)-LOOKUP(C11,69:69,70:70)+100</f>
        <v>#N/A</v>
      </c>
      <c r="G11" s="421"/>
      <c r="H11" s="127" t="e">
        <f>LOOKUP(G11,69:69,70:70)-LOOKUP(C11,69:69,70:70)+100</f>
        <v>#N/A</v>
      </c>
      <c r="I11" s="420"/>
      <c r="J11" s="127" t="e">
        <f>LOOKUP(I11,69:69,70:70)-LOOKUP(C11,69:69,70:70)+100</f>
        <v>#N/A</v>
      </c>
      <c r="K11" s="603"/>
      <c r="L11" s="1126"/>
      <c r="M11" s="1119"/>
      <c r="N11" s="1119"/>
      <c r="O11" s="1119"/>
      <c r="P11" s="3309"/>
      <c r="Q11" s="1782" t="str">
        <f t="shared" si="6"/>
        <v>容积率</v>
      </c>
      <c r="R11" s="761" t="s">
        <v>17</v>
      </c>
      <c r="S11" s="762" t="e">
        <f t="shared" si="0"/>
        <v>#N/A</v>
      </c>
      <c r="T11" s="761" t="s">
        <v>17</v>
      </c>
      <c r="U11" s="762" t="e">
        <f t="shared" si="1"/>
        <v>#N/A</v>
      </c>
      <c r="V11" s="761" t="s">
        <v>17</v>
      </c>
      <c r="W11" s="762" t="e">
        <f t="shared" si="2"/>
        <v>#N/A</v>
      </c>
      <c r="X11" s="763"/>
      <c r="Y11" s="3145"/>
      <c r="Z11" s="54" t="str">
        <f t="shared" si="7"/>
        <v>容积率</v>
      </c>
      <c r="AA11" s="764" t="e">
        <f t="shared" si="3"/>
        <v>#N/A</v>
      </c>
      <c r="AB11" s="764" t="e">
        <f t="shared" si="4"/>
        <v>#N/A</v>
      </c>
      <c r="AC11" s="2659" t="e">
        <f t="shared" si="5"/>
        <v>#N/A</v>
      </c>
    </row>
    <row r="12" spans="1:29" s="110" customFormat="1" ht="15">
      <c r="A12" s="422"/>
      <c r="B12" s="2590">
        <v>111</v>
      </c>
      <c r="C12" s="423"/>
      <c r="D12" s="424">
        <v>100</v>
      </c>
      <c r="E12" s="423"/>
      <c r="F12" s="127">
        <f>SUMIF(71:71,E12,72:72)-SUMIF(71:71,C12,72:72)+100</f>
        <v>100</v>
      </c>
      <c r="G12" s="2660"/>
      <c r="H12" s="127">
        <f>SUMIF(71:71,G12,72:72)-SUMIF(71:71,C12,72:72)+100</f>
        <v>100</v>
      </c>
      <c r="I12" s="423"/>
      <c r="J12" s="127">
        <f>SUMIF(71:71,I12,72:72)-SUMIF(71:71,C12,72:72)+100</f>
        <v>100</v>
      </c>
      <c r="K12" s="604"/>
      <c r="L12" s="1120"/>
      <c r="M12" s="1121"/>
      <c r="N12" s="1121"/>
      <c r="O12" s="1121"/>
      <c r="P12" s="3309"/>
      <c r="Q12" s="1782">
        <f t="shared" si="6"/>
        <v>111</v>
      </c>
      <c r="R12" s="761" t="s">
        <v>17</v>
      </c>
      <c r="S12" s="762">
        <f t="shared" si="0"/>
        <v>100</v>
      </c>
      <c r="T12" s="761" t="s">
        <v>17</v>
      </c>
      <c r="U12" s="762">
        <f t="shared" si="1"/>
        <v>100</v>
      </c>
      <c r="V12" s="761" t="s">
        <v>17</v>
      </c>
      <c r="W12" s="762">
        <f t="shared" si="2"/>
        <v>100</v>
      </c>
      <c r="X12" s="763"/>
      <c r="Y12" s="3145"/>
      <c r="Z12" s="54">
        <f t="shared" si="7"/>
        <v>111</v>
      </c>
      <c r="AA12" s="764">
        <f>D12/F12</f>
        <v>1</v>
      </c>
      <c r="AB12" s="764">
        <f>D12/H12</f>
        <v>1</v>
      </c>
      <c r="AC12" s="2659">
        <f>D12/J12</f>
        <v>1</v>
      </c>
    </row>
    <row r="13" spans="1:29" ht="15">
      <c r="A13" s="419"/>
      <c r="B13" s="2590">
        <v>111</v>
      </c>
      <c r="C13" s="425"/>
      <c r="D13" s="426">
        <v>100</v>
      </c>
      <c r="E13" s="423"/>
      <c r="F13" s="127">
        <f>SUMIF(73:73,E13,74:74)-SUMIF(73:73,C13,74:74)+100</f>
        <v>100</v>
      </c>
      <c r="G13" s="2660"/>
      <c r="H13" s="426">
        <f>SUMIF(73:73,G13,74:74)-SUMIF(73:73,C13,74:74)+100</f>
        <v>100</v>
      </c>
      <c r="I13" s="423"/>
      <c r="J13" s="426">
        <f>SUMIF(73:73,I13,74:74)-SUMIF(73:73,C13,74:74)+100</f>
        <v>100</v>
      </c>
      <c r="K13" s="604"/>
      <c r="L13" s="1128"/>
      <c r="M13" s="1119"/>
      <c r="N13" s="1119"/>
      <c r="O13" s="1119"/>
      <c r="P13" s="3309"/>
      <c r="Q13" s="1782">
        <f t="shared" si="6"/>
        <v>111</v>
      </c>
      <c r="R13" s="761" t="s">
        <v>17</v>
      </c>
      <c r="S13" s="762">
        <f t="shared" si="0"/>
        <v>100</v>
      </c>
      <c r="T13" s="761" t="s">
        <v>17</v>
      </c>
      <c r="U13" s="762">
        <f t="shared" si="1"/>
        <v>100</v>
      </c>
      <c r="V13" s="761" t="s">
        <v>17</v>
      </c>
      <c r="W13" s="762">
        <f t="shared" si="2"/>
        <v>100</v>
      </c>
      <c r="X13" s="763"/>
      <c r="Y13" s="3145"/>
      <c r="Z13" s="54">
        <f t="shared" si="7"/>
        <v>111</v>
      </c>
      <c r="AA13" s="764">
        <f t="shared" si="3"/>
        <v>1</v>
      </c>
      <c r="AB13" s="764">
        <f t="shared" si="4"/>
        <v>1</v>
      </c>
      <c r="AC13" s="2659">
        <f t="shared" si="5"/>
        <v>1</v>
      </c>
    </row>
    <row r="14" spans="1:29" ht="15.75" thickBot="1">
      <c r="A14" s="427"/>
      <c r="B14" s="2592">
        <v>111</v>
      </c>
      <c r="C14" s="428"/>
      <c r="D14" s="429">
        <v>100</v>
      </c>
      <c r="E14" s="619"/>
      <c r="F14" s="429">
        <f>SUMIF(75:75,E14,76:76)-SUMIF(75:75,C14,76:76)+100</f>
        <v>100</v>
      </c>
      <c r="G14" s="2660"/>
      <c r="H14" s="429">
        <f>SUMIF(75:75,G14,76:76)-SUMIF(75:75,C14,76:76)+100</f>
        <v>100</v>
      </c>
      <c r="I14" s="423"/>
      <c r="J14" s="429">
        <f>SUMIF(75:75,I14,76:76)-SUMIF(75:75,C14,76:76)+100</f>
        <v>100</v>
      </c>
      <c r="K14" s="604"/>
      <c r="L14" s="1128"/>
      <c r="M14" s="1119"/>
      <c r="N14" s="1119"/>
      <c r="O14" s="1119"/>
      <c r="P14" s="3309"/>
      <c r="Q14" s="1782">
        <f t="shared" si="6"/>
        <v>111</v>
      </c>
      <c r="R14" s="761" t="s">
        <v>17</v>
      </c>
      <c r="S14" s="762">
        <f t="shared" si="0"/>
        <v>100</v>
      </c>
      <c r="T14" s="761" t="s">
        <v>17</v>
      </c>
      <c r="U14" s="762">
        <f t="shared" si="1"/>
        <v>100</v>
      </c>
      <c r="V14" s="761" t="s">
        <v>17</v>
      </c>
      <c r="W14" s="762">
        <f t="shared" si="2"/>
        <v>100</v>
      </c>
      <c r="X14" s="763"/>
      <c r="Y14" s="3145"/>
      <c r="Z14" s="54">
        <f t="shared" si="7"/>
        <v>111</v>
      </c>
      <c r="AA14" s="764">
        <f t="shared" si="3"/>
        <v>1</v>
      </c>
      <c r="AB14" s="764">
        <f t="shared" si="4"/>
        <v>1</v>
      </c>
      <c r="AC14" s="2659">
        <f t="shared" si="5"/>
        <v>1</v>
      </c>
    </row>
    <row r="15" spans="1:29" ht="15">
      <c r="A15" s="431" t="s">
        <v>2549</v>
      </c>
      <c r="B15" s="620" t="s">
        <v>2677</v>
      </c>
      <c r="C15" s="2661">
        <f>估价对象房地状况!C5</f>
        <v>0</v>
      </c>
      <c r="D15" s="432">
        <v>100</v>
      </c>
      <c r="E15" s="435"/>
      <c r="F15" s="432">
        <f>SUMIF(77:77,E16,78:78)-SUMIF(77:77,C16,78:78)+100</f>
        <v>100</v>
      </c>
      <c r="G15" s="433"/>
      <c r="H15" s="432">
        <f>SUMIF(77:77,G16,78:78)-SUMIF(77:77,C16,78:78)+100</f>
        <v>100</v>
      </c>
      <c r="I15" s="433"/>
      <c r="J15" s="432">
        <f>SUMIF(77:77,I16,78:78)-SUMIF(77:77,C16,78:78)+100</f>
        <v>100</v>
      </c>
      <c r="K15" s="605"/>
      <c r="L15" s="1128"/>
      <c r="M15" s="1119"/>
      <c r="N15" s="1119"/>
      <c r="O15" s="1119"/>
      <c r="P15" s="3318" t="s">
        <v>2550</v>
      </c>
      <c r="Q15" s="1797" t="str">
        <f t="shared" si="6"/>
        <v>办公集聚程度</v>
      </c>
      <c r="R15" s="765" t="s">
        <v>17</v>
      </c>
      <c r="S15" s="766">
        <f t="shared" si="0"/>
        <v>100</v>
      </c>
      <c r="T15" s="765" t="s">
        <v>17</v>
      </c>
      <c r="U15" s="766">
        <f t="shared" si="1"/>
        <v>100</v>
      </c>
      <c r="V15" s="765" t="s">
        <v>17</v>
      </c>
      <c r="W15" s="766">
        <f t="shared" si="2"/>
        <v>100</v>
      </c>
      <c r="X15" s="1800"/>
      <c r="Y15" s="3300" t="s">
        <v>2550</v>
      </c>
      <c r="Z15" s="1801" t="str">
        <f t="shared" si="7"/>
        <v>办公集聚程度</v>
      </c>
      <c r="AA15" s="1798">
        <f t="shared" si="3"/>
        <v>1</v>
      </c>
      <c r="AB15" s="1798">
        <f t="shared" si="4"/>
        <v>1</v>
      </c>
      <c r="AC15" s="2662">
        <f t="shared" si="5"/>
        <v>1</v>
      </c>
    </row>
    <row r="16" spans="1:29" ht="15">
      <c r="A16" s="419"/>
      <c r="B16" s="621"/>
      <c r="C16" s="2601"/>
      <c r="D16" s="439"/>
      <c r="E16" s="438"/>
      <c r="F16" s="439"/>
      <c r="G16" s="2601"/>
      <c r="H16" s="441"/>
      <c r="I16" s="438"/>
      <c r="J16" s="439"/>
      <c r="K16" s="606"/>
      <c r="L16" s="1128"/>
      <c r="M16" s="1119"/>
      <c r="N16" s="1119"/>
      <c r="O16" s="1119"/>
      <c r="P16" s="3319"/>
      <c r="Q16" s="1797"/>
      <c r="R16" s="765"/>
      <c r="S16" s="766"/>
      <c r="T16" s="765"/>
      <c r="U16" s="766"/>
      <c r="V16" s="765"/>
      <c r="W16" s="766"/>
      <c r="X16" s="1800"/>
      <c r="Y16" s="3301"/>
      <c r="Z16" s="1801"/>
      <c r="AA16" s="1798">
        <v>1</v>
      </c>
      <c r="AB16" s="1798">
        <v>1</v>
      </c>
      <c r="AC16" s="2662">
        <v>1</v>
      </c>
    </row>
    <row r="17" spans="1:29" ht="15">
      <c r="A17" s="419"/>
      <c r="B17" s="622" t="s">
        <v>2094</v>
      </c>
      <c r="C17" s="2663">
        <f>估价对象房地状况!C6</f>
        <v>0</v>
      </c>
      <c r="D17" s="441">
        <v>100</v>
      </c>
      <c r="E17" s="445"/>
      <c r="F17" s="441">
        <f>SUMIF(79:79,E18,80:80)-SUMIF(79:79,C18,80:80)+100</f>
        <v>100</v>
      </c>
      <c r="G17" s="443"/>
      <c r="H17" s="446">
        <f>SUMIF(79:79,G18,80:80)-SUMIF(79:79,C18,80:80)+100</f>
        <v>100</v>
      </c>
      <c r="I17" s="443"/>
      <c r="J17" s="446">
        <f>SUMIF(79:79,I18,80:80)-SUMIF(79:79,C18,80:80)+100</f>
        <v>100</v>
      </c>
      <c r="K17" s="605"/>
      <c r="L17" s="1128"/>
      <c r="M17" s="1119"/>
      <c r="N17" s="1119"/>
      <c r="O17" s="1119"/>
      <c r="P17" s="3319"/>
      <c r="Q17" s="1797" t="str">
        <f>B17</f>
        <v>交通便捷度</v>
      </c>
      <c r="R17" s="765" t="s">
        <v>17</v>
      </c>
      <c r="S17" s="766">
        <f>F17</f>
        <v>100</v>
      </c>
      <c r="T17" s="765" t="s">
        <v>17</v>
      </c>
      <c r="U17" s="766">
        <f>H17</f>
        <v>100</v>
      </c>
      <c r="V17" s="765" t="s">
        <v>17</v>
      </c>
      <c r="W17" s="766">
        <f>J17</f>
        <v>100</v>
      </c>
      <c r="X17" s="1800"/>
      <c r="Y17" s="3301"/>
      <c r="Z17" s="1801" t="str">
        <f>Q17</f>
        <v>交通便捷度</v>
      </c>
      <c r="AA17" s="1798">
        <f t="shared" si="3"/>
        <v>1</v>
      </c>
      <c r="AB17" s="1798">
        <f t="shared" si="4"/>
        <v>1</v>
      </c>
      <c r="AC17" s="2662">
        <f t="shared" si="5"/>
        <v>1</v>
      </c>
    </row>
    <row r="18" spans="1:29" ht="15">
      <c r="A18" s="419"/>
      <c r="B18" s="623"/>
      <c r="C18" s="2664"/>
      <c r="D18" s="441"/>
      <c r="E18" s="2599"/>
      <c r="F18" s="441"/>
      <c r="G18" s="2600"/>
      <c r="H18" s="439"/>
      <c r="I18" s="2600"/>
      <c r="J18" s="439"/>
      <c r="K18" s="606"/>
      <c r="L18" s="1128"/>
      <c r="M18" s="1119"/>
      <c r="N18" s="1119"/>
      <c r="O18" s="1119"/>
      <c r="P18" s="3319"/>
      <c r="Q18" s="1797"/>
      <c r="R18" s="765"/>
      <c r="S18" s="766"/>
      <c r="T18" s="765"/>
      <c r="U18" s="766"/>
      <c r="V18" s="765"/>
      <c r="W18" s="766"/>
      <c r="X18" s="1800"/>
      <c r="Y18" s="3301"/>
      <c r="Z18" s="1801"/>
      <c r="AA18" s="1798">
        <v>1</v>
      </c>
      <c r="AB18" s="1798">
        <v>1</v>
      </c>
      <c r="AC18" s="2662">
        <v>1</v>
      </c>
    </row>
    <row r="19" spans="1:29" ht="15">
      <c r="A19" s="419"/>
      <c r="B19" s="622" t="s">
        <v>2678</v>
      </c>
      <c r="C19" s="2663">
        <f>估价对象房地状况!C7</f>
        <v>0</v>
      </c>
      <c r="D19" s="446">
        <v>100</v>
      </c>
      <c r="E19" s="450"/>
      <c r="F19" s="446">
        <f>SUMIF(81:81,E20,82:82)-SUMIF(81:81,C20,82:82)+100</f>
        <v>100</v>
      </c>
      <c r="G19" s="448"/>
      <c r="H19" s="441">
        <f>SUMIF(81:81,G20,82:82)-SUMIF(81:81,C20,82:82)+100</f>
        <v>100</v>
      </c>
      <c r="I19" s="448"/>
      <c r="J19" s="441">
        <f>SUMIF(81:81,I20,82:82)-SUMIF(81:81,C20,82:82)+100</f>
        <v>100</v>
      </c>
      <c r="K19" s="605"/>
      <c r="L19" s="1128"/>
      <c r="M19" s="1119"/>
      <c r="N19" s="1119"/>
      <c r="O19" s="1119"/>
      <c r="P19" s="3319"/>
      <c r="Q19" s="1797" t="str">
        <f>B19</f>
        <v>公共配套设施</v>
      </c>
      <c r="R19" s="765" t="s">
        <v>17</v>
      </c>
      <c r="S19" s="766">
        <f>F19</f>
        <v>100</v>
      </c>
      <c r="T19" s="765" t="s">
        <v>17</v>
      </c>
      <c r="U19" s="766">
        <f>H19</f>
        <v>100</v>
      </c>
      <c r="V19" s="765" t="s">
        <v>17</v>
      </c>
      <c r="W19" s="766">
        <f>J19</f>
        <v>100</v>
      </c>
      <c r="X19" s="1800"/>
      <c r="Y19" s="3301"/>
      <c r="Z19" s="1801" t="str">
        <f>Q19</f>
        <v>公共配套设施</v>
      </c>
      <c r="AA19" s="1798">
        <f t="shared" si="3"/>
        <v>1</v>
      </c>
      <c r="AB19" s="1798">
        <f t="shared" si="4"/>
        <v>1</v>
      </c>
      <c r="AC19" s="2662">
        <f t="shared" si="5"/>
        <v>1</v>
      </c>
    </row>
    <row r="20" spans="1:29" ht="15">
      <c r="A20" s="419"/>
      <c r="B20" s="623"/>
      <c r="C20" s="2601"/>
      <c r="D20" s="439"/>
      <c r="E20" s="2594"/>
      <c r="F20" s="439"/>
      <c r="G20" s="2595"/>
      <c r="H20" s="439"/>
      <c r="I20" s="2595"/>
      <c r="J20" s="439"/>
      <c r="K20" s="606"/>
      <c r="L20" s="1128"/>
      <c r="M20" s="1119"/>
      <c r="N20" s="1119"/>
      <c r="O20" s="1119"/>
      <c r="P20" s="3319"/>
      <c r="Q20" s="1797"/>
      <c r="R20" s="765"/>
      <c r="S20" s="766"/>
      <c r="T20" s="765"/>
      <c r="U20" s="766"/>
      <c r="V20" s="765"/>
      <c r="W20" s="766"/>
      <c r="X20" s="1800"/>
      <c r="Y20" s="3301"/>
      <c r="Z20" s="1801"/>
      <c r="AA20" s="1798">
        <v>1</v>
      </c>
      <c r="AB20" s="1798">
        <v>1</v>
      </c>
      <c r="AC20" s="2662">
        <v>1</v>
      </c>
    </row>
    <row r="21" spans="1:29" ht="15">
      <c r="A21" s="419"/>
      <c r="B21" s="624" t="s">
        <v>2679</v>
      </c>
      <c r="C21" s="2663">
        <f>估价对象房地状况!C8</f>
        <v>0</v>
      </c>
      <c r="D21" s="441">
        <v>100</v>
      </c>
      <c r="E21" s="450"/>
      <c r="F21" s="446">
        <f>SUMIF(83:83,E22,84:84)-SUMIF(83:83,C22,84:84)+100</f>
        <v>100</v>
      </c>
      <c r="G21" s="448"/>
      <c r="H21" s="441">
        <f>SUMIF(83:83,G22,84:84)-SUMIF(83:83,C22,84:84)+100</f>
        <v>100</v>
      </c>
      <c r="I21" s="448"/>
      <c r="J21" s="441">
        <f>SUMIF(83:83,I22,84:84)-SUMIF(83:83,C22,84:84)+100</f>
        <v>100</v>
      </c>
      <c r="K21" s="605"/>
      <c r="L21" s="1128"/>
      <c r="M21" s="1119"/>
      <c r="N21" s="1119"/>
      <c r="O21" s="1119"/>
      <c r="P21" s="3319"/>
      <c r="Q21" s="1797" t="str">
        <f>B21</f>
        <v>基础设施水平</v>
      </c>
      <c r="R21" s="765" t="s">
        <v>17</v>
      </c>
      <c r="S21" s="766">
        <f>F21</f>
        <v>100</v>
      </c>
      <c r="T21" s="765" t="s">
        <v>17</v>
      </c>
      <c r="U21" s="766">
        <f>H21</f>
        <v>100</v>
      </c>
      <c r="V21" s="765" t="s">
        <v>17</v>
      </c>
      <c r="W21" s="766">
        <f>J21</f>
        <v>100</v>
      </c>
      <c r="X21" s="1800"/>
      <c r="Y21" s="3301"/>
      <c r="Z21" s="1801" t="str">
        <f>Q21</f>
        <v>基础设施水平</v>
      </c>
      <c r="AA21" s="1798">
        <f t="shared" ref="AA21" si="8">D21/F21</f>
        <v>1</v>
      </c>
      <c r="AB21" s="1798">
        <f t="shared" ref="AB21" si="9">D21/H21</f>
        <v>1</v>
      </c>
      <c r="AC21" s="2662">
        <f t="shared" ref="AC21" si="10">D21/J21</f>
        <v>1</v>
      </c>
    </row>
    <row r="22" spans="1:29" ht="15">
      <c r="A22" s="419"/>
      <c r="B22" s="624"/>
      <c r="C22" s="2664"/>
      <c r="D22" s="439"/>
      <c r="E22" s="438"/>
      <c r="F22" s="439"/>
      <c r="G22" s="2601"/>
      <c r="H22" s="439"/>
      <c r="I22" s="2601"/>
      <c r="J22" s="439"/>
      <c r="K22" s="1371"/>
      <c r="L22" s="1128"/>
      <c r="M22" s="1119"/>
      <c r="N22" s="1119"/>
      <c r="O22" s="1119"/>
      <c r="P22" s="3319"/>
      <c r="Q22" s="1797"/>
      <c r="R22" s="765"/>
      <c r="S22" s="766"/>
      <c r="T22" s="765"/>
      <c r="U22" s="766"/>
      <c r="V22" s="765"/>
      <c r="W22" s="766"/>
      <c r="X22" s="1800"/>
      <c r="Y22" s="3301"/>
      <c r="Z22" s="1801"/>
      <c r="AA22" s="1798">
        <v>1</v>
      </c>
      <c r="AB22" s="1798">
        <v>1</v>
      </c>
      <c r="AC22" s="2662">
        <v>1</v>
      </c>
    </row>
    <row r="23" spans="1:29" ht="15">
      <c r="A23" s="419"/>
      <c r="B23" s="622" t="s">
        <v>2680</v>
      </c>
      <c r="C23" s="2663">
        <f>估价对象房地状况!C9</f>
        <v>0</v>
      </c>
      <c r="D23" s="441">
        <v>100</v>
      </c>
      <c r="E23" s="445"/>
      <c r="F23" s="441">
        <f>SUMIF(85:85,E24,86:86)-SUMIF(85:85,C24,86:86)+100</f>
        <v>100</v>
      </c>
      <c r="G23" s="443"/>
      <c r="H23" s="441">
        <f>SUMIF(85:85,G24,86:86)-SUMIF(85:85,C24,86:86)+100</f>
        <v>100</v>
      </c>
      <c r="I23" s="443"/>
      <c r="J23" s="441">
        <f>SUMIF(85:85,I24,86:86)-SUMIF(85:85,C24,86:86)+100</f>
        <v>100</v>
      </c>
      <c r="K23" s="605"/>
      <c r="L23" s="1128"/>
      <c r="M23" s="1119"/>
      <c r="N23" s="1119"/>
      <c r="O23" s="1119"/>
      <c r="P23" s="3319"/>
      <c r="Q23" s="1797" t="str">
        <f>B23</f>
        <v>环境质量</v>
      </c>
      <c r="R23" s="765" t="s">
        <v>17</v>
      </c>
      <c r="S23" s="766">
        <f>F23</f>
        <v>100</v>
      </c>
      <c r="T23" s="765" t="s">
        <v>17</v>
      </c>
      <c r="U23" s="766">
        <f>H23</f>
        <v>100</v>
      </c>
      <c r="V23" s="765" t="s">
        <v>17</v>
      </c>
      <c r="W23" s="766">
        <f>J23</f>
        <v>100</v>
      </c>
      <c r="X23" s="1800"/>
      <c r="Y23" s="3301"/>
      <c r="Z23" s="1801" t="str">
        <f>Q23</f>
        <v>环境质量</v>
      </c>
      <c r="AA23" s="1798">
        <f t="shared" si="3"/>
        <v>1</v>
      </c>
      <c r="AB23" s="1798">
        <f t="shared" si="4"/>
        <v>1</v>
      </c>
      <c r="AC23" s="2662">
        <f t="shared" si="5"/>
        <v>1</v>
      </c>
    </row>
    <row r="24" spans="1:29" ht="15">
      <c r="A24" s="419"/>
      <c r="B24" s="624"/>
      <c r="C24" s="2601"/>
      <c r="D24" s="439"/>
      <c r="E24" s="2594"/>
      <c r="F24" s="439"/>
      <c r="G24" s="2595"/>
      <c r="H24" s="439"/>
      <c r="I24" s="2595"/>
      <c r="J24" s="439"/>
      <c r="K24" s="606"/>
      <c r="L24" s="1128"/>
      <c r="M24" s="1119"/>
      <c r="N24" s="1119"/>
      <c r="O24" s="1119"/>
      <c r="P24" s="3319"/>
      <c r="Q24" s="1797"/>
      <c r="R24" s="765"/>
      <c r="S24" s="766"/>
      <c r="T24" s="765"/>
      <c r="U24" s="766"/>
      <c r="V24" s="765"/>
      <c r="W24" s="766"/>
      <c r="X24" s="1800"/>
      <c r="Y24" s="3301"/>
      <c r="Z24" s="1801"/>
      <c r="AA24" s="1798">
        <v>1</v>
      </c>
      <c r="AB24" s="1798">
        <v>1</v>
      </c>
      <c r="AC24" s="2662">
        <v>1</v>
      </c>
    </row>
    <row r="25" spans="1:29" ht="27">
      <c r="A25" s="395"/>
      <c r="B25" s="622" t="s">
        <v>2681</v>
      </c>
      <c r="C25" s="2605"/>
      <c r="D25" s="426">
        <v>100</v>
      </c>
      <c r="E25" s="425"/>
      <c r="F25" s="426">
        <f>SUMIF(87:87,E26,88:88)-SUMIF(87:87,C26,88:88)+100</f>
        <v>100</v>
      </c>
      <c r="G25" s="2605"/>
      <c r="H25" s="426">
        <f>SUMIF(87:87,G26,88:88)-SUMIF(87:87,C26,88:88)+100</f>
        <v>100</v>
      </c>
      <c r="I25" s="425"/>
      <c r="J25" s="426">
        <f>SUMIF(87:87,I26,88:88)-SUMIF(87:87,C26,88:88)+100</f>
        <v>100</v>
      </c>
      <c r="K25" s="605"/>
      <c r="L25" s="1128"/>
      <c r="M25" s="1119"/>
      <c r="N25" s="1119"/>
      <c r="O25" s="1119"/>
      <c r="P25" s="3319"/>
      <c r="Q25" s="1797" t="str">
        <f>B25</f>
        <v>毗邻道路的类型与等级</v>
      </c>
      <c r="R25" s="765" t="s">
        <v>17</v>
      </c>
      <c r="S25" s="766">
        <f>F25</f>
        <v>100</v>
      </c>
      <c r="T25" s="765" t="s">
        <v>17</v>
      </c>
      <c r="U25" s="766">
        <f>H25</f>
        <v>100</v>
      </c>
      <c r="V25" s="765" t="s">
        <v>17</v>
      </c>
      <c r="W25" s="766">
        <f>J25</f>
        <v>100</v>
      </c>
      <c r="X25" s="1800"/>
      <c r="Y25" s="3301"/>
      <c r="Z25" s="1801" t="str">
        <f>Q25</f>
        <v>毗邻道路的类型与等级</v>
      </c>
      <c r="AA25" s="1798">
        <f t="shared" si="3"/>
        <v>1</v>
      </c>
      <c r="AB25" s="1798">
        <f t="shared" si="4"/>
        <v>1</v>
      </c>
      <c r="AC25" s="2662">
        <f t="shared" si="5"/>
        <v>1</v>
      </c>
    </row>
    <row r="26" spans="1:29" ht="15">
      <c r="A26" s="395"/>
      <c r="B26" s="623"/>
      <c r="C26" s="625"/>
      <c r="D26" s="426"/>
      <c r="E26" s="607"/>
      <c r="F26" s="426"/>
      <c r="G26" s="625"/>
      <c r="H26" s="426"/>
      <c r="I26" s="607"/>
      <c r="J26" s="426"/>
      <c r="K26" s="606"/>
      <c r="L26" s="1128"/>
      <c r="M26" s="1119"/>
      <c r="N26" s="1119"/>
      <c r="O26" s="1119"/>
      <c r="P26" s="3319"/>
      <c r="Q26" s="1797"/>
      <c r="R26" s="765"/>
      <c r="S26" s="766"/>
      <c r="T26" s="765"/>
      <c r="U26" s="766"/>
      <c r="V26" s="765"/>
      <c r="W26" s="766"/>
      <c r="X26" s="1800"/>
      <c r="Y26" s="3301"/>
      <c r="Z26" s="1801"/>
      <c r="AA26" s="1798">
        <v>1</v>
      </c>
      <c r="AB26" s="1798">
        <v>1</v>
      </c>
      <c r="AC26" s="2662">
        <v>1</v>
      </c>
    </row>
    <row r="27" spans="1:29" ht="15">
      <c r="A27" s="419"/>
      <c r="B27" s="623" t="s">
        <v>2649</v>
      </c>
      <c r="C27" s="625"/>
      <c r="D27" s="426">
        <v>100</v>
      </c>
      <c r="E27" s="607"/>
      <c r="F27" s="426">
        <f>SUMIF(89:89,E27,90:90)-SUMIF(89:89,C27,90:90)+100</f>
        <v>100</v>
      </c>
      <c r="G27" s="625"/>
      <c r="H27" s="426">
        <f>SUMIF(89:89,G27,90:90)-SUMIF(89:89,C27,90:90)+100</f>
        <v>100</v>
      </c>
      <c r="I27" s="607"/>
      <c r="J27" s="426">
        <f>SUMIF(89:89,I27,90:90)-SUMIF(89:89,C27,90:90)+100</f>
        <v>100</v>
      </c>
      <c r="K27" s="603"/>
      <c r="L27" s="1128"/>
      <c r="M27" s="1119"/>
      <c r="N27" s="1119"/>
      <c r="O27" s="1119"/>
      <c r="P27" s="3319"/>
      <c r="Q27" s="1797" t="str">
        <f t="shared" ref="Q27:Q47" si="11">B27</f>
        <v>楼层</v>
      </c>
      <c r="R27" s="765" t="s">
        <v>17</v>
      </c>
      <c r="S27" s="766">
        <f>F27</f>
        <v>100</v>
      </c>
      <c r="T27" s="765" t="s">
        <v>17</v>
      </c>
      <c r="U27" s="766">
        <f>H27</f>
        <v>100</v>
      </c>
      <c r="V27" s="765" t="s">
        <v>17</v>
      </c>
      <c r="W27" s="766">
        <f>J27</f>
        <v>100</v>
      </c>
      <c r="X27" s="1800"/>
      <c r="Y27" s="3301"/>
      <c r="Z27" s="1801" t="str">
        <f>Q27</f>
        <v>楼层</v>
      </c>
      <c r="AA27" s="1798">
        <f t="shared" si="3"/>
        <v>1</v>
      </c>
      <c r="AB27" s="1798">
        <f t="shared" si="4"/>
        <v>1</v>
      </c>
      <c r="AC27" s="2662">
        <f t="shared" si="5"/>
        <v>1</v>
      </c>
    </row>
    <row r="28" spans="1:29" s="110" customFormat="1" ht="15">
      <c r="A28" s="422"/>
      <c r="B28" s="622" t="s">
        <v>2682</v>
      </c>
      <c r="C28" s="2665"/>
      <c r="D28" s="453">
        <v>100</v>
      </c>
      <c r="E28" s="2653"/>
      <c r="F28" s="453">
        <f>SUMIF(91:91,E28,92:92)-SUMIF(91:91,C28,92:92)+100</f>
        <v>100</v>
      </c>
      <c r="G28" s="2665"/>
      <c r="H28" s="453">
        <f>SUMIF(91:91,G28,92:92)-SUMIF(91:91,C28,92:92)+100</f>
        <v>100</v>
      </c>
      <c r="I28" s="2653"/>
      <c r="J28" s="453">
        <f>SUMIF(91:91,I28,92:92)-SUMIF(91:91,C28,92:92)+100</f>
        <v>100</v>
      </c>
      <c r="K28" s="603"/>
      <c r="L28" s="1120"/>
      <c r="M28" s="1121"/>
      <c r="N28" s="1121"/>
      <c r="O28" s="1121"/>
      <c r="P28" s="3319"/>
      <c r="Q28" s="1782" t="str">
        <f t="shared" si="11"/>
        <v>朝向</v>
      </c>
      <c r="R28" s="761" t="s">
        <v>17</v>
      </c>
      <c r="S28" s="762">
        <f>F28</f>
        <v>100</v>
      </c>
      <c r="T28" s="761" t="s">
        <v>17</v>
      </c>
      <c r="U28" s="762">
        <f>H28</f>
        <v>100</v>
      </c>
      <c r="V28" s="761" t="s">
        <v>17</v>
      </c>
      <c r="W28" s="762">
        <f>J28</f>
        <v>100</v>
      </c>
      <c r="X28" s="763"/>
      <c r="Y28" s="3301"/>
      <c r="Z28" s="54" t="str">
        <f>Q28</f>
        <v>朝向</v>
      </c>
      <c r="AA28" s="1798">
        <f>D28/F28</f>
        <v>1</v>
      </c>
      <c r="AB28" s="1798">
        <f>D28/H28</f>
        <v>1</v>
      </c>
      <c r="AC28" s="2662">
        <f>D28/J28</f>
        <v>1</v>
      </c>
    </row>
    <row r="29" spans="1:29" ht="15">
      <c r="A29" s="419"/>
      <c r="B29" s="2666">
        <v>111</v>
      </c>
      <c r="C29" s="2605"/>
      <c r="D29" s="426">
        <v>100</v>
      </c>
      <c r="E29" s="423"/>
      <c r="F29" s="426">
        <f>SUMIF(93:93,E29,94:94)-SUMIF(93:93,C29,94:94)+100</f>
        <v>100</v>
      </c>
      <c r="G29" s="2660"/>
      <c r="H29" s="426">
        <f>SUMIF(93:93,G29,94:94)-SUMIF(93:93,C29,94:94)+100</f>
        <v>100</v>
      </c>
      <c r="I29" s="423"/>
      <c r="J29" s="426">
        <f>SUMIF(93:93,I29,94:94)-SUMIF(93:93,C29,94:94)+100</f>
        <v>100</v>
      </c>
      <c r="K29" s="604"/>
      <c r="L29" s="1128"/>
      <c r="M29" s="1119"/>
      <c r="N29" s="1119"/>
      <c r="O29" s="1119"/>
      <c r="P29" s="3319"/>
      <c r="Q29" s="1797">
        <f t="shared" si="11"/>
        <v>111</v>
      </c>
      <c r="R29" s="765" t="s">
        <v>17</v>
      </c>
      <c r="S29" s="766">
        <f t="shared" ref="S29:S47" si="12">F29</f>
        <v>100</v>
      </c>
      <c r="T29" s="765" t="s">
        <v>17</v>
      </c>
      <c r="U29" s="766">
        <f t="shared" ref="U29:U47" si="13">H29</f>
        <v>100</v>
      </c>
      <c r="V29" s="765" t="s">
        <v>17</v>
      </c>
      <c r="W29" s="766">
        <f t="shared" ref="W29:W47" si="14">J29</f>
        <v>100</v>
      </c>
      <c r="X29" s="1800"/>
      <c r="Y29" s="3301"/>
      <c r="Z29" s="1801">
        <f t="shared" ref="Z29:Z47" si="15">Q29</f>
        <v>111</v>
      </c>
      <c r="AA29" s="1798">
        <f t="shared" si="3"/>
        <v>1</v>
      </c>
      <c r="AB29" s="1798">
        <f t="shared" si="4"/>
        <v>1</v>
      </c>
      <c r="AC29" s="2662">
        <f t="shared" si="5"/>
        <v>1</v>
      </c>
    </row>
    <row r="30" spans="1:29" ht="15">
      <c r="A30" s="419"/>
      <c r="B30" s="2666">
        <v>111</v>
      </c>
      <c r="C30" s="2605"/>
      <c r="D30" s="426">
        <v>100</v>
      </c>
      <c r="E30" s="423"/>
      <c r="F30" s="426">
        <f>SUMIF(95:95,E30,96:96)-SUMIF(95:95,C30,96:96)+100</f>
        <v>100</v>
      </c>
      <c r="G30" s="2660"/>
      <c r="H30" s="426">
        <f>SUMIF(95:95,G30,96:96)-SUMIF(95:95,C30,96:96)+100</f>
        <v>100</v>
      </c>
      <c r="I30" s="423"/>
      <c r="J30" s="426">
        <f>SUMIF(95:95,I30,96:96)-SUMIF(95:95,C30,96:96)+100</f>
        <v>100</v>
      </c>
      <c r="K30" s="604"/>
      <c r="L30" s="1128"/>
      <c r="M30" s="1119"/>
      <c r="N30" s="1119"/>
      <c r="O30" s="1119"/>
      <c r="P30" s="3319"/>
      <c r="Q30" s="1797">
        <f t="shared" si="11"/>
        <v>111</v>
      </c>
      <c r="R30" s="765" t="s">
        <v>17</v>
      </c>
      <c r="S30" s="766">
        <f t="shared" si="12"/>
        <v>100</v>
      </c>
      <c r="T30" s="765" t="s">
        <v>17</v>
      </c>
      <c r="U30" s="766">
        <f t="shared" si="13"/>
        <v>100</v>
      </c>
      <c r="V30" s="765" t="s">
        <v>17</v>
      </c>
      <c r="W30" s="766">
        <f t="shared" si="14"/>
        <v>100</v>
      </c>
      <c r="X30" s="1800"/>
      <c r="Y30" s="3301"/>
      <c r="Z30" s="1801">
        <f t="shared" si="15"/>
        <v>111</v>
      </c>
      <c r="AA30" s="1798">
        <f t="shared" si="3"/>
        <v>1</v>
      </c>
      <c r="AB30" s="1798">
        <f t="shared" si="4"/>
        <v>1</v>
      </c>
      <c r="AC30" s="2662">
        <f t="shared" si="5"/>
        <v>1</v>
      </c>
    </row>
    <row r="31" spans="1:29" ht="15">
      <c r="A31" s="419"/>
      <c r="B31" s="2666">
        <v>111</v>
      </c>
      <c r="C31" s="2605"/>
      <c r="D31" s="426">
        <v>100</v>
      </c>
      <c r="E31" s="423"/>
      <c r="F31" s="426">
        <f>SUMIF(97:97,E31,98:98)-SUMIF(97:97,C31,98:98)+100</f>
        <v>100</v>
      </c>
      <c r="G31" s="2660"/>
      <c r="H31" s="426">
        <f>SUMIF(97:97,G31,98:98)-SUMIF(97:97,C31,98:98)+100</f>
        <v>100</v>
      </c>
      <c r="I31" s="423"/>
      <c r="J31" s="426">
        <f>SUMIF(97:97,I31,98:98)-SUMIF(97:97,C31,98:98)+100</f>
        <v>100</v>
      </c>
      <c r="K31" s="604"/>
      <c r="L31" s="1128"/>
      <c r="M31" s="1119"/>
      <c r="N31" s="1119"/>
      <c r="O31" s="1119"/>
      <c r="P31" s="3319"/>
      <c r="Q31" s="1797">
        <f t="shared" si="11"/>
        <v>111</v>
      </c>
      <c r="R31" s="765" t="s">
        <v>17</v>
      </c>
      <c r="S31" s="766">
        <f t="shared" si="12"/>
        <v>100</v>
      </c>
      <c r="T31" s="765" t="s">
        <v>17</v>
      </c>
      <c r="U31" s="766">
        <f t="shared" si="13"/>
        <v>100</v>
      </c>
      <c r="V31" s="765" t="s">
        <v>17</v>
      </c>
      <c r="W31" s="766">
        <f t="shared" si="14"/>
        <v>100</v>
      </c>
      <c r="X31" s="1800"/>
      <c r="Y31" s="3301"/>
      <c r="Z31" s="1801">
        <f t="shared" si="15"/>
        <v>111</v>
      </c>
      <c r="AA31" s="1798">
        <f t="shared" si="3"/>
        <v>1</v>
      </c>
      <c r="AB31" s="1798">
        <f t="shared" si="4"/>
        <v>1</v>
      </c>
      <c r="AC31" s="2662">
        <f t="shared" si="5"/>
        <v>1</v>
      </c>
    </row>
    <row r="32" spans="1:29" ht="15.75" thickBot="1">
      <c r="A32" s="427"/>
      <c r="B32" s="626">
        <v>111</v>
      </c>
      <c r="C32" s="2606"/>
      <c r="D32" s="429">
        <v>100</v>
      </c>
      <c r="E32" s="619"/>
      <c r="F32" s="429">
        <f>SUMIF(99:99,E32,100:100)-SUMIF(99:99,C32,100:100)+100</f>
        <v>100</v>
      </c>
      <c r="G32" s="2660"/>
      <c r="H32" s="429">
        <f>SUMIF(99:99,G32,100:100)-SUMIF(99:99,C32,100:100)+100</f>
        <v>100</v>
      </c>
      <c r="I32" s="423"/>
      <c r="J32" s="429">
        <f>SUMIF(99:99,I32,100:100)-SUMIF(99:99,C32,100:100)+100</f>
        <v>100</v>
      </c>
      <c r="K32" s="604"/>
      <c r="L32" s="1128"/>
      <c r="M32" s="1119"/>
      <c r="N32" s="1119"/>
      <c r="O32" s="1119"/>
      <c r="P32" s="3319"/>
      <c r="Q32" s="1797">
        <f t="shared" si="11"/>
        <v>111</v>
      </c>
      <c r="R32" s="765" t="s">
        <v>17</v>
      </c>
      <c r="S32" s="766">
        <f t="shared" si="12"/>
        <v>100</v>
      </c>
      <c r="T32" s="765" t="s">
        <v>17</v>
      </c>
      <c r="U32" s="766">
        <f t="shared" si="13"/>
        <v>100</v>
      </c>
      <c r="V32" s="765" t="s">
        <v>17</v>
      </c>
      <c r="W32" s="766">
        <f t="shared" si="14"/>
        <v>100</v>
      </c>
      <c r="X32" s="1800"/>
      <c r="Y32" s="3301"/>
      <c r="Z32" s="1801">
        <f t="shared" si="15"/>
        <v>111</v>
      </c>
      <c r="AA32" s="1798">
        <f t="shared" si="3"/>
        <v>1</v>
      </c>
      <c r="AB32" s="1798">
        <f t="shared" si="4"/>
        <v>1</v>
      </c>
      <c r="AC32" s="2662">
        <f t="shared" si="5"/>
        <v>1</v>
      </c>
    </row>
    <row r="33" spans="1:29" ht="15">
      <c r="A33" s="431" t="s">
        <v>2553</v>
      </c>
      <c r="B33" s="70" t="s">
        <v>2683</v>
      </c>
      <c r="C33" s="2667"/>
      <c r="D33" s="458">
        <v>100</v>
      </c>
      <c r="E33" s="2667"/>
      <c r="F33" s="452">
        <f>SUMIF(101:101,E33,102:102)-SUMIF(101:101,C33,102:102)+100</f>
        <v>100</v>
      </c>
      <c r="G33" s="2667"/>
      <c r="H33" s="426">
        <f>SUMIF(101:101,G33,102:102)-SUMIF(101:101,C33,102:102)+100</f>
        <v>100</v>
      </c>
      <c r="I33" s="2667"/>
      <c r="J33" s="458">
        <f>SUMIF(101:101,I33,102:102)-SUMIF(101:101,C33,102:102)+100</f>
        <v>100</v>
      </c>
      <c r="K33" s="603"/>
      <c r="L33" s="1128"/>
      <c r="M33" s="1119"/>
      <c r="N33" s="1119"/>
      <c r="O33" s="1119"/>
      <c r="P33" s="3314" t="s">
        <v>2555</v>
      </c>
      <c r="Q33" s="1797" t="str">
        <f t="shared" si="11"/>
        <v>建筑类型</v>
      </c>
      <c r="R33" s="765" t="s">
        <v>17</v>
      </c>
      <c r="S33" s="766">
        <f t="shared" si="12"/>
        <v>100</v>
      </c>
      <c r="T33" s="765" t="s">
        <v>17</v>
      </c>
      <c r="U33" s="766">
        <f t="shared" si="13"/>
        <v>100</v>
      </c>
      <c r="V33" s="765" t="s">
        <v>17</v>
      </c>
      <c r="W33" s="766">
        <f t="shared" si="14"/>
        <v>100</v>
      </c>
      <c r="X33" s="1800"/>
      <c r="Y33" s="3303" t="s">
        <v>2555</v>
      </c>
      <c r="Z33" s="1801" t="str">
        <f t="shared" si="15"/>
        <v>建筑类型</v>
      </c>
      <c r="AA33" s="1798">
        <f t="shared" si="3"/>
        <v>1</v>
      </c>
      <c r="AB33" s="1798">
        <f t="shared" si="4"/>
        <v>1</v>
      </c>
      <c r="AC33" s="2662">
        <f t="shared" si="5"/>
        <v>1</v>
      </c>
    </row>
    <row r="34" spans="1:29" s="462" customFormat="1" ht="15">
      <c r="A34" s="459"/>
      <c r="B34" s="413" t="s">
        <v>2556</v>
      </c>
      <c r="C34" s="460"/>
      <c r="D34" s="127">
        <v>100</v>
      </c>
      <c r="E34" s="421"/>
      <c r="F34" s="416" t="e">
        <f>LOOKUP(E34,104:104,105:105)-LOOKUP(C34,104:104,105:105)+100</f>
        <v>#N/A</v>
      </c>
      <c r="G34" s="420"/>
      <c r="H34" s="127" t="e">
        <f>LOOKUP(G34,104:104,105:105)-LOOKUP(C34,104:104,105:105)+100</f>
        <v>#N/A</v>
      </c>
      <c r="I34" s="420"/>
      <c r="J34" s="127" t="e">
        <f>LOOKUP(I34,104:104,105:105)-LOOKUP(C34,104:104,105:105)+100</f>
        <v>#N/A</v>
      </c>
      <c r="K34" s="604"/>
      <c r="L34" s="1126"/>
      <c r="M34" s="1129"/>
      <c r="N34" s="1129"/>
      <c r="O34" s="1129"/>
      <c r="P34" s="3315"/>
      <c r="Q34" s="767" t="str">
        <f t="shared" si="11"/>
        <v>项目建筑规模</v>
      </c>
      <c r="R34" s="768" t="s">
        <v>17</v>
      </c>
      <c r="S34" s="769" t="e">
        <f t="shared" si="12"/>
        <v>#N/A</v>
      </c>
      <c r="T34" s="768" t="s">
        <v>17</v>
      </c>
      <c r="U34" s="769" t="e">
        <f t="shared" si="13"/>
        <v>#N/A</v>
      </c>
      <c r="V34" s="768" t="s">
        <v>17</v>
      </c>
      <c r="W34" s="769" t="e">
        <f t="shared" si="14"/>
        <v>#N/A</v>
      </c>
      <c r="X34" s="770"/>
      <c r="Y34" s="3303"/>
      <c r="Z34" s="771" t="str">
        <f t="shared" si="15"/>
        <v>项目建筑规模</v>
      </c>
      <c r="AA34" s="1798" t="e">
        <f t="shared" si="3"/>
        <v>#N/A</v>
      </c>
      <c r="AB34" s="1798" t="e">
        <f t="shared" si="4"/>
        <v>#N/A</v>
      </c>
      <c r="AC34" s="2662" t="e">
        <f t="shared" si="5"/>
        <v>#N/A</v>
      </c>
    </row>
    <row r="35" spans="1:29" ht="15">
      <c r="A35" s="463"/>
      <c r="B35" s="413" t="s">
        <v>2557</v>
      </c>
      <c r="C35" s="451"/>
      <c r="D35" s="426">
        <v>100</v>
      </c>
      <c r="E35" s="451"/>
      <c r="F35" s="452">
        <f>SUMIF(106:106,E35,107:107)-SUMIF(106:106,C35,107:107)+100</f>
        <v>100</v>
      </c>
      <c r="G35" s="451"/>
      <c r="H35" s="426">
        <f>SUMIF(106:106,G35,107:107)-SUMIF(106:106,C35,107:107)+100</f>
        <v>100</v>
      </c>
      <c r="I35" s="451"/>
      <c r="J35" s="426">
        <f>SUMIF(106:106,I35,107:107)-SUMIF(106:106,C35,107:107)+100</f>
        <v>100</v>
      </c>
      <c r="K35" s="603"/>
      <c r="L35" s="1128"/>
      <c r="M35" s="1119"/>
      <c r="N35" s="1119"/>
      <c r="O35" s="1119"/>
      <c r="P35" s="3315"/>
      <c r="Q35" s="1797" t="str">
        <f t="shared" si="11"/>
        <v>建筑结构</v>
      </c>
      <c r="R35" s="765" t="s">
        <v>17</v>
      </c>
      <c r="S35" s="766">
        <f t="shared" si="12"/>
        <v>100</v>
      </c>
      <c r="T35" s="765" t="s">
        <v>17</v>
      </c>
      <c r="U35" s="766">
        <f t="shared" si="13"/>
        <v>100</v>
      </c>
      <c r="V35" s="765" t="s">
        <v>17</v>
      </c>
      <c r="W35" s="766">
        <f t="shared" si="14"/>
        <v>100</v>
      </c>
      <c r="X35" s="1800"/>
      <c r="Y35" s="3303"/>
      <c r="Z35" s="1801" t="str">
        <f t="shared" si="15"/>
        <v>建筑结构</v>
      </c>
      <c r="AA35" s="1798">
        <f t="shared" si="3"/>
        <v>1</v>
      </c>
      <c r="AB35" s="1798">
        <f t="shared" si="4"/>
        <v>1</v>
      </c>
      <c r="AC35" s="2662">
        <f t="shared" si="5"/>
        <v>1</v>
      </c>
    </row>
    <row r="36" spans="1:29" ht="15">
      <c r="A36" s="463"/>
      <c r="B36" s="413" t="s">
        <v>2651</v>
      </c>
      <c r="C36" s="451"/>
      <c r="D36" s="426">
        <v>100</v>
      </c>
      <c r="E36" s="451"/>
      <c r="F36" s="452">
        <f>SUMIF(108:108,E36,109:109)-SUMIF(108:108,C36,109:109)+100</f>
        <v>100</v>
      </c>
      <c r="G36" s="451"/>
      <c r="H36" s="426">
        <f>SUMIF(108:108,G36,109:109)-SUMIF(108:108,C36,109:109)+100</f>
        <v>100</v>
      </c>
      <c r="I36" s="451"/>
      <c r="J36" s="426">
        <f>SUMIF(108:108,I36,109:109)-SUMIF(108:108,C36,109:109)+100</f>
        <v>100</v>
      </c>
      <c r="K36" s="603"/>
      <c r="L36" s="1128"/>
      <c r="M36" s="1119"/>
      <c r="N36" s="1119"/>
      <c r="O36" s="1119"/>
      <c r="P36" s="3315"/>
      <c r="Q36" s="1797" t="str">
        <f t="shared" si="11"/>
        <v>公共部分装修</v>
      </c>
      <c r="R36" s="765" t="s">
        <v>17</v>
      </c>
      <c r="S36" s="766">
        <f t="shared" si="12"/>
        <v>100</v>
      </c>
      <c r="T36" s="765" t="s">
        <v>17</v>
      </c>
      <c r="U36" s="766">
        <f t="shared" si="13"/>
        <v>100</v>
      </c>
      <c r="V36" s="765" t="s">
        <v>17</v>
      </c>
      <c r="W36" s="766">
        <f t="shared" si="14"/>
        <v>100</v>
      </c>
      <c r="X36" s="1800"/>
      <c r="Y36" s="3303"/>
      <c r="Z36" s="1801" t="str">
        <f t="shared" si="15"/>
        <v>公共部分装修</v>
      </c>
      <c r="AA36" s="1798">
        <f t="shared" si="3"/>
        <v>1</v>
      </c>
      <c r="AB36" s="1798">
        <f t="shared" si="4"/>
        <v>1</v>
      </c>
      <c r="AC36" s="2662">
        <f t="shared" si="5"/>
        <v>1</v>
      </c>
    </row>
    <row r="37" spans="1:29" ht="15">
      <c r="A37" s="463"/>
      <c r="B37" s="413" t="s">
        <v>2652</v>
      </c>
      <c r="C37" s="465"/>
      <c r="D37" s="426">
        <v>100</v>
      </c>
      <c r="E37" s="465"/>
      <c r="F37" s="452" t="e">
        <f>LOOKUP(E37,111:111,112:112)-LOOKUP(C37,111:111,112:112)+100</f>
        <v>#N/A</v>
      </c>
      <c r="G37" s="465"/>
      <c r="H37" s="452" t="e">
        <f>LOOKUP(G37,111:111,112:112)-LOOKUP(C37,111:111,112:112)+100</f>
        <v>#N/A</v>
      </c>
      <c r="I37" s="465"/>
      <c r="J37" s="426" t="e">
        <f>LOOKUP(I37,111:111,112:112)-LOOKUP(C37,111:111,112:112)+100</f>
        <v>#N/A</v>
      </c>
      <c r="K37" s="603"/>
      <c r="L37" s="1128"/>
      <c r="M37" s="1119"/>
      <c r="N37" s="1119"/>
      <c r="O37" s="1119"/>
      <c r="P37" s="3315"/>
      <c r="Q37" s="1797" t="str">
        <f t="shared" si="11"/>
        <v>成新度</v>
      </c>
      <c r="R37" s="765" t="s">
        <v>17</v>
      </c>
      <c r="S37" s="766" t="e">
        <f t="shared" si="12"/>
        <v>#N/A</v>
      </c>
      <c r="T37" s="765" t="s">
        <v>17</v>
      </c>
      <c r="U37" s="766" t="e">
        <f t="shared" si="13"/>
        <v>#N/A</v>
      </c>
      <c r="V37" s="765" t="s">
        <v>17</v>
      </c>
      <c r="W37" s="766" t="e">
        <f t="shared" si="14"/>
        <v>#N/A</v>
      </c>
      <c r="X37" s="1800"/>
      <c r="Y37" s="3303"/>
      <c r="Z37" s="1801" t="str">
        <f t="shared" si="15"/>
        <v>成新度</v>
      </c>
      <c r="AA37" s="1798" t="e">
        <f t="shared" si="3"/>
        <v>#N/A</v>
      </c>
      <c r="AB37" s="1798" t="e">
        <f t="shared" si="4"/>
        <v>#N/A</v>
      </c>
      <c r="AC37" s="2662" t="e">
        <f t="shared" si="5"/>
        <v>#N/A</v>
      </c>
    </row>
    <row r="38" spans="1:29" s="110" customFormat="1" ht="15">
      <c r="A38" s="464"/>
      <c r="B38" s="413" t="s">
        <v>2684</v>
      </c>
      <c r="C38" s="451"/>
      <c r="D38" s="127">
        <v>100</v>
      </c>
      <c r="E38" s="451"/>
      <c r="F38" s="452">
        <f>SUMIF(113:113,E38,114:114)-SUMIF(113:113,C38,114:114)+100</f>
        <v>100</v>
      </c>
      <c r="G38" s="451"/>
      <c r="H38" s="426">
        <f>SUMIF(113:113,G38,114:114)-SUMIF(113:113,C38,114:114)+100</f>
        <v>100</v>
      </c>
      <c r="I38" s="451"/>
      <c r="J38" s="426">
        <f>SUMIF(113:113,I38,114:114)-SUMIF(113:113,C38,114:114)+100</f>
        <v>100</v>
      </c>
      <c r="K38" s="603"/>
      <c r="L38" s="1120"/>
      <c r="M38" s="1121"/>
      <c r="N38" s="1121"/>
      <c r="O38" s="1121"/>
      <c r="P38" s="3315"/>
      <c r="Q38" s="1782" t="str">
        <f t="shared" si="11"/>
        <v>写字楼等级</v>
      </c>
      <c r="R38" s="761" t="s">
        <v>17</v>
      </c>
      <c r="S38" s="762">
        <f t="shared" si="12"/>
        <v>100</v>
      </c>
      <c r="T38" s="761" t="s">
        <v>17</v>
      </c>
      <c r="U38" s="762">
        <f t="shared" si="13"/>
        <v>100</v>
      </c>
      <c r="V38" s="761" t="s">
        <v>17</v>
      </c>
      <c r="W38" s="762">
        <f t="shared" si="14"/>
        <v>100</v>
      </c>
      <c r="X38" s="763"/>
      <c r="Y38" s="3303"/>
      <c r="Z38" s="54" t="str">
        <f t="shared" si="15"/>
        <v>写字楼等级</v>
      </c>
      <c r="AA38" s="764">
        <f t="shared" si="3"/>
        <v>1</v>
      </c>
      <c r="AB38" s="764">
        <f t="shared" si="4"/>
        <v>1</v>
      </c>
      <c r="AC38" s="2659">
        <f t="shared" si="5"/>
        <v>1</v>
      </c>
    </row>
    <row r="39" spans="1:29" ht="15">
      <c r="A39" s="463"/>
      <c r="B39" s="413" t="s">
        <v>2685</v>
      </c>
      <c r="C39" s="451"/>
      <c r="D39" s="426">
        <v>100</v>
      </c>
      <c r="E39" s="451"/>
      <c r="F39" s="452">
        <f>SUMIF(115:115,E39,116:116)-SUMIF(115:115,C39,116:116)+100</f>
        <v>100</v>
      </c>
      <c r="G39" s="451"/>
      <c r="H39" s="426">
        <f>SUMIF(115:115,G39,116:116)-SUMIF(115:115,C39,116:116)+100</f>
        <v>100</v>
      </c>
      <c r="I39" s="451"/>
      <c r="J39" s="426">
        <f>SUMIF(115:115,I39,116:116)-SUMIF(115:115,C39,116:116)+100</f>
        <v>100</v>
      </c>
      <c r="K39" s="603"/>
      <c r="L39" s="1128"/>
      <c r="M39" s="1119"/>
      <c r="N39" s="1119"/>
      <c r="O39" s="1119"/>
      <c r="P39" s="3315" t="s">
        <v>2555</v>
      </c>
      <c r="Q39" s="1797" t="str">
        <f t="shared" si="11"/>
        <v>物业管理</v>
      </c>
      <c r="R39" s="765" t="s">
        <v>17</v>
      </c>
      <c r="S39" s="766">
        <f t="shared" si="12"/>
        <v>100</v>
      </c>
      <c r="T39" s="765" t="s">
        <v>17</v>
      </c>
      <c r="U39" s="766">
        <f t="shared" si="13"/>
        <v>100</v>
      </c>
      <c r="V39" s="765" t="s">
        <v>17</v>
      </c>
      <c r="W39" s="766">
        <f t="shared" si="14"/>
        <v>100</v>
      </c>
      <c r="X39" s="1800"/>
      <c r="Y39" s="3303" t="s">
        <v>2555</v>
      </c>
      <c r="Z39" s="1801" t="str">
        <f t="shared" si="15"/>
        <v>物业管理</v>
      </c>
      <c r="AA39" s="1798">
        <f t="shared" si="3"/>
        <v>1</v>
      </c>
      <c r="AB39" s="1798">
        <f t="shared" si="4"/>
        <v>1</v>
      </c>
      <c r="AC39" s="2662">
        <f t="shared" si="5"/>
        <v>1</v>
      </c>
    </row>
    <row r="40" spans="1:29" ht="15">
      <c r="A40" s="463"/>
      <c r="B40" s="413" t="s">
        <v>2653</v>
      </c>
      <c r="C40" s="451"/>
      <c r="D40" s="426">
        <v>100</v>
      </c>
      <c r="E40" s="451"/>
      <c r="F40" s="452">
        <f>SUMIF(117:117,E40,118:118)-SUMIF(117:117,C40,118:118)+100</f>
        <v>100</v>
      </c>
      <c r="G40" s="451"/>
      <c r="H40" s="426">
        <f>SUMIF(117:117,G40,118:118)-SUMIF(117:117,C40,118:118)+100</f>
        <v>100</v>
      </c>
      <c r="I40" s="451"/>
      <c r="J40" s="426">
        <f>SUMIF(117:117,I40,118:118)-SUMIF(117:117,C40,118:118)+100</f>
        <v>100</v>
      </c>
      <c r="K40" s="603"/>
      <c r="L40" s="1128"/>
      <c r="M40" s="1119"/>
      <c r="N40" s="1119"/>
      <c r="O40" s="1119"/>
      <c r="P40" s="3315"/>
      <c r="Q40" s="1797" t="str">
        <f t="shared" si="11"/>
        <v>市政基础设施</v>
      </c>
      <c r="R40" s="765" t="s">
        <v>17</v>
      </c>
      <c r="S40" s="766">
        <f t="shared" si="12"/>
        <v>100</v>
      </c>
      <c r="T40" s="765" t="s">
        <v>17</v>
      </c>
      <c r="U40" s="766">
        <f t="shared" si="13"/>
        <v>100</v>
      </c>
      <c r="V40" s="765" t="s">
        <v>17</v>
      </c>
      <c r="W40" s="766">
        <f t="shared" si="14"/>
        <v>100</v>
      </c>
      <c r="X40" s="1800"/>
      <c r="Y40" s="3303"/>
      <c r="Z40" s="1801" t="str">
        <f t="shared" si="15"/>
        <v>市政基础设施</v>
      </c>
      <c r="AA40" s="1798">
        <f t="shared" si="3"/>
        <v>1</v>
      </c>
      <c r="AB40" s="1798">
        <f t="shared" si="4"/>
        <v>1</v>
      </c>
      <c r="AC40" s="2662">
        <f t="shared" si="5"/>
        <v>1</v>
      </c>
    </row>
    <row r="41" spans="1:29" ht="15">
      <c r="A41" s="463"/>
      <c r="B41" s="413" t="s">
        <v>2655</v>
      </c>
      <c r="C41" s="607"/>
      <c r="D41" s="426">
        <v>100</v>
      </c>
      <c r="E41" s="607"/>
      <c r="F41" s="452">
        <f>SUMIF(119:119,E41,120:120)-SUMIF(119:119,C41,120:120)+100</f>
        <v>100</v>
      </c>
      <c r="G41" s="607"/>
      <c r="H41" s="426">
        <f>SUMIF(119:119,G41,120:120)-SUMIF(119:119,C41,120:120)+100</f>
        <v>100</v>
      </c>
      <c r="I41" s="607"/>
      <c r="J41" s="426">
        <f>SUMIF(119:119,I41,120:120)-SUMIF(119:119,C41,120:120)+100</f>
        <v>100</v>
      </c>
      <c r="K41" s="603"/>
      <c r="L41" s="1128"/>
      <c r="M41" s="1119"/>
      <c r="N41" s="1119"/>
      <c r="O41" s="1119"/>
      <c r="P41" s="3315"/>
      <c r="Q41" s="1797" t="str">
        <f t="shared" si="11"/>
        <v>层高</v>
      </c>
      <c r="R41" s="765" t="s">
        <v>17</v>
      </c>
      <c r="S41" s="766">
        <f t="shared" si="12"/>
        <v>100</v>
      </c>
      <c r="T41" s="765" t="s">
        <v>17</v>
      </c>
      <c r="U41" s="766">
        <f t="shared" si="13"/>
        <v>100</v>
      </c>
      <c r="V41" s="765" t="s">
        <v>17</v>
      </c>
      <c r="W41" s="766">
        <f t="shared" si="14"/>
        <v>100</v>
      </c>
      <c r="X41" s="1800"/>
      <c r="Y41" s="3303"/>
      <c r="Z41" s="1801" t="str">
        <f t="shared" si="15"/>
        <v>层高</v>
      </c>
      <c r="AA41" s="1798">
        <f t="shared" si="3"/>
        <v>1</v>
      </c>
      <c r="AB41" s="1798">
        <f t="shared" si="4"/>
        <v>1</v>
      </c>
      <c r="AC41" s="2662">
        <f t="shared" si="5"/>
        <v>1</v>
      </c>
    </row>
    <row r="42" spans="1:29" s="462" customFormat="1" ht="15">
      <c r="A42" s="459"/>
      <c r="B42" s="1799" t="s">
        <v>2686</v>
      </c>
      <c r="C42" s="425"/>
      <c r="D42" s="426">
        <v>100</v>
      </c>
      <c r="E42" s="425"/>
      <c r="F42" s="452">
        <f>SUMIF(121:121,E42,122:122)-SUMIF(121:121,C42,122:122)+100</f>
        <v>100</v>
      </c>
      <c r="G42" s="425"/>
      <c r="H42" s="426">
        <f>SUMIF(121:121,G42,122:122)-SUMIF(121:121,C42,122:122)+100</f>
        <v>100</v>
      </c>
      <c r="I42" s="425"/>
      <c r="J42" s="426">
        <f>SUMIF(121:121,I42,122:122)-SUMIF(121:121,C42,122:122)+100</f>
        <v>100</v>
      </c>
      <c r="K42" s="604"/>
      <c r="L42" s="1126"/>
      <c r="M42" s="1129"/>
      <c r="N42" s="1129"/>
      <c r="O42" s="1129"/>
      <c r="P42" s="3315"/>
      <c r="Q42" s="767" t="str">
        <f t="shared" si="11"/>
        <v>单套建筑面积</v>
      </c>
      <c r="R42" s="768" t="s">
        <v>17</v>
      </c>
      <c r="S42" s="769">
        <f t="shared" si="12"/>
        <v>100</v>
      </c>
      <c r="T42" s="768" t="s">
        <v>17</v>
      </c>
      <c r="U42" s="769">
        <f t="shared" si="13"/>
        <v>100</v>
      </c>
      <c r="V42" s="768" t="s">
        <v>17</v>
      </c>
      <c r="W42" s="769">
        <f t="shared" si="14"/>
        <v>100</v>
      </c>
      <c r="X42" s="770"/>
      <c r="Y42" s="3303"/>
      <c r="Z42" s="771" t="str">
        <f t="shared" si="15"/>
        <v>单套建筑面积</v>
      </c>
      <c r="AA42" s="1798">
        <f t="shared" si="3"/>
        <v>1</v>
      </c>
      <c r="AB42" s="1798">
        <f t="shared" si="4"/>
        <v>1</v>
      </c>
      <c r="AC42" s="2662">
        <f t="shared" si="5"/>
        <v>1</v>
      </c>
    </row>
    <row r="43" spans="1:29" ht="15">
      <c r="A43" s="463"/>
      <c r="B43" s="413" t="s">
        <v>2658</v>
      </c>
      <c r="C43" s="451"/>
      <c r="D43" s="426">
        <v>100</v>
      </c>
      <c r="E43" s="451"/>
      <c r="F43" s="452">
        <f>SUMIF(123:123,E43,124:124)-SUMIF(123:123,C43,124:124)+100</f>
        <v>100</v>
      </c>
      <c r="G43" s="451"/>
      <c r="H43" s="426">
        <f>SUMIF(123:123,G43,124:124)-SUMIF(123:123,C43,124:124)+100</f>
        <v>100</v>
      </c>
      <c r="I43" s="451"/>
      <c r="J43" s="426">
        <f>SUMIF(123:123,I43,124:124)-SUMIF(123:123,C43,124:124)+100</f>
        <v>100</v>
      </c>
      <c r="K43" s="603"/>
      <c r="L43" s="1128"/>
      <c r="M43" s="1119"/>
      <c r="N43" s="1119"/>
      <c r="O43" s="1119"/>
      <c r="P43" s="3315"/>
      <c r="Q43" s="1797" t="str">
        <f t="shared" si="11"/>
        <v>内部装修</v>
      </c>
      <c r="R43" s="765" t="s">
        <v>17</v>
      </c>
      <c r="S43" s="766">
        <f t="shared" si="12"/>
        <v>100</v>
      </c>
      <c r="T43" s="765" t="s">
        <v>17</v>
      </c>
      <c r="U43" s="766">
        <f t="shared" si="13"/>
        <v>100</v>
      </c>
      <c r="V43" s="765" t="s">
        <v>17</v>
      </c>
      <c r="W43" s="766">
        <f t="shared" si="14"/>
        <v>100</v>
      </c>
      <c r="X43" s="1800"/>
      <c r="Y43" s="3303"/>
      <c r="Z43" s="1801" t="str">
        <f t="shared" si="15"/>
        <v>内部装修</v>
      </c>
      <c r="AA43" s="1798">
        <f t="shared" si="3"/>
        <v>1</v>
      </c>
      <c r="AB43" s="1798">
        <f t="shared" si="4"/>
        <v>1</v>
      </c>
      <c r="AC43" s="2662">
        <f t="shared" si="5"/>
        <v>1</v>
      </c>
    </row>
    <row r="44" spans="1:29" ht="15">
      <c r="A44" s="463"/>
      <c r="B44" s="413" t="s">
        <v>2566</v>
      </c>
      <c r="C44" s="451"/>
      <c r="D44" s="426">
        <v>100</v>
      </c>
      <c r="E44" s="2603"/>
      <c r="F44" s="452">
        <f>SUMIF(125:125,E44,126:126)-SUMIF(125:125,C44,126:126)+100</f>
        <v>100</v>
      </c>
      <c r="G44" s="2603"/>
      <c r="H44" s="426">
        <f>SUMIF(125:125,G44,126:126)-SUMIF(125:125,C44,126:126)+100</f>
        <v>100</v>
      </c>
      <c r="I44" s="2603"/>
      <c r="J44" s="426">
        <f>SUMIF(125:125,I44,126:126)-SUMIF(125:125,C44,126:126)+100</f>
        <v>100</v>
      </c>
      <c r="K44" s="603"/>
      <c r="L44" s="1128"/>
      <c r="M44" s="1119"/>
      <c r="N44" s="1119"/>
      <c r="O44" s="1119"/>
      <c r="P44" s="3315"/>
      <c r="Q44" s="1797" t="str">
        <f t="shared" si="11"/>
        <v>内部装修维护情况</v>
      </c>
      <c r="R44" s="765" t="s">
        <v>17</v>
      </c>
      <c r="S44" s="766">
        <f t="shared" si="12"/>
        <v>100</v>
      </c>
      <c r="T44" s="765" t="s">
        <v>17</v>
      </c>
      <c r="U44" s="766">
        <f t="shared" si="13"/>
        <v>100</v>
      </c>
      <c r="V44" s="765" t="s">
        <v>17</v>
      </c>
      <c r="W44" s="766">
        <f t="shared" si="14"/>
        <v>100</v>
      </c>
      <c r="X44" s="1800"/>
      <c r="Y44" s="3303"/>
      <c r="Z44" s="1801" t="str">
        <f t="shared" si="15"/>
        <v>内部装修维护情况</v>
      </c>
      <c r="AA44" s="1798">
        <f t="shared" si="3"/>
        <v>1</v>
      </c>
      <c r="AB44" s="1798">
        <f t="shared" si="4"/>
        <v>1</v>
      </c>
      <c r="AC44" s="2662">
        <f t="shared" si="5"/>
        <v>1</v>
      </c>
    </row>
    <row r="45" spans="1:29" s="110" customFormat="1" ht="15">
      <c r="A45" s="464"/>
      <c r="B45" s="1374">
        <v>111</v>
      </c>
      <c r="C45" s="460"/>
      <c r="D45" s="127">
        <v>100</v>
      </c>
      <c r="E45" s="423"/>
      <c r="F45" s="416">
        <f>SUMIF(127:127,E45,128:128)-SUMIF(127:127,C45,128:128)+100</f>
        <v>100</v>
      </c>
      <c r="G45" s="423"/>
      <c r="H45" s="127">
        <f>SUMIF(127:127,G45,128:128)-SUMIF(127:127,C45,128:128)+100</f>
        <v>100</v>
      </c>
      <c r="I45" s="423"/>
      <c r="J45" s="127">
        <f>SUMIF(127:127,I45,128:128)-SUMIF(127:127,C45,128:128)+100</f>
        <v>100</v>
      </c>
      <c r="K45" s="604"/>
      <c r="L45" s="1120"/>
      <c r="M45" s="1121"/>
      <c r="N45" s="1121"/>
      <c r="O45" s="1121"/>
      <c r="P45" s="3315"/>
      <c r="Q45" s="1782">
        <f t="shared" si="11"/>
        <v>111</v>
      </c>
      <c r="R45" s="761" t="s">
        <v>17</v>
      </c>
      <c r="S45" s="762">
        <f t="shared" si="12"/>
        <v>100</v>
      </c>
      <c r="T45" s="761" t="s">
        <v>17</v>
      </c>
      <c r="U45" s="762">
        <f t="shared" si="13"/>
        <v>100</v>
      </c>
      <c r="V45" s="761" t="s">
        <v>17</v>
      </c>
      <c r="W45" s="762">
        <f t="shared" si="14"/>
        <v>100</v>
      </c>
      <c r="X45" s="763"/>
      <c r="Y45" s="3303"/>
      <c r="Z45" s="54">
        <f t="shared" si="15"/>
        <v>111</v>
      </c>
      <c r="AA45" s="764">
        <f t="shared" si="3"/>
        <v>1</v>
      </c>
      <c r="AB45" s="764">
        <f t="shared" si="4"/>
        <v>1</v>
      </c>
      <c r="AC45" s="2659">
        <f t="shared" si="5"/>
        <v>1</v>
      </c>
    </row>
    <row r="46" spans="1:29" ht="15">
      <c r="A46" s="463"/>
      <c r="B46" s="1374">
        <v>111</v>
      </c>
      <c r="C46" s="425"/>
      <c r="D46" s="426">
        <v>100</v>
      </c>
      <c r="E46" s="423"/>
      <c r="F46" s="452">
        <f>SUMIF(129:129,E46,130:130)-SUMIF(129:129,C46,130:130)+100</f>
        <v>100</v>
      </c>
      <c r="G46" s="423"/>
      <c r="H46" s="426">
        <f>SUMIF(129:129,G46,130:130)-SUMIF(129:129,C46,130:130)+100</f>
        <v>100</v>
      </c>
      <c r="I46" s="423"/>
      <c r="J46" s="426">
        <f>SUMIF(129:129,I46,130:130)-SUMIF(129:129,C46,130:130)+100</f>
        <v>100</v>
      </c>
      <c r="K46" s="604"/>
      <c r="L46" s="1128"/>
      <c r="M46" s="1119"/>
      <c r="N46" s="1119"/>
      <c r="O46" s="1119"/>
      <c r="P46" s="3315"/>
      <c r="Q46" s="1797">
        <f t="shared" si="11"/>
        <v>111</v>
      </c>
      <c r="R46" s="765" t="s">
        <v>17</v>
      </c>
      <c r="S46" s="766">
        <f t="shared" si="12"/>
        <v>100</v>
      </c>
      <c r="T46" s="765" t="s">
        <v>17</v>
      </c>
      <c r="U46" s="766">
        <f t="shared" si="13"/>
        <v>100</v>
      </c>
      <c r="V46" s="765" t="s">
        <v>17</v>
      </c>
      <c r="W46" s="766">
        <f t="shared" si="14"/>
        <v>100</v>
      </c>
      <c r="X46" s="1800"/>
      <c r="Y46" s="3303"/>
      <c r="Z46" s="1801">
        <f t="shared" si="15"/>
        <v>111</v>
      </c>
      <c r="AA46" s="1798">
        <f t="shared" si="3"/>
        <v>1</v>
      </c>
      <c r="AB46" s="1798">
        <f t="shared" si="4"/>
        <v>1</v>
      </c>
      <c r="AC46" s="2662">
        <f t="shared" si="5"/>
        <v>1</v>
      </c>
    </row>
    <row r="47" spans="1:29" ht="15.75" thickBot="1">
      <c r="A47" s="469"/>
      <c r="B47" s="2592">
        <v>111</v>
      </c>
      <c r="C47" s="428"/>
      <c r="D47" s="429">
        <v>100</v>
      </c>
      <c r="E47" s="423"/>
      <c r="F47" s="430">
        <f>SUMIF(131:131,E47,132:132)-SUMIF(131:131,C47,132:132)+100</f>
        <v>100</v>
      </c>
      <c r="G47" s="423"/>
      <c r="H47" s="429">
        <f>SUMIF(131:131,G47,132:132)-SUMIF(131:131,C47,132:132)+100</f>
        <v>100</v>
      </c>
      <c r="I47" s="423"/>
      <c r="J47" s="429">
        <f>SUMIF(131:131,I47,132:132)-SUMIF(131:131,C47,132:132)+100</f>
        <v>100</v>
      </c>
      <c r="K47" s="604"/>
      <c r="L47" s="1128"/>
      <c r="M47" s="1119"/>
      <c r="N47" s="1119"/>
      <c r="O47" s="1119"/>
      <c r="P47" s="3316"/>
      <c r="Q47" s="1797">
        <f t="shared" si="11"/>
        <v>111</v>
      </c>
      <c r="R47" s="765" t="s">
        <v>17</v>
      </c>
      <c r="S47" s="766">
        <f t="shared" si="12"/>
        <v>100</v>
      </c>
      <c r="T47" s="765" t="s">
        <v>17</v>
      </c>
      <c r="U47" s="766">
        <f t="shared" si="13"/>
        <v>100</v>
      </c>
      <c r="V47" s="765" t="s">
        <v>17</v>
      </c>
      <c r="W47" s="766">
        <f t="shared" si="14"/>
        <v>100</v>
      </c>
      <c r="X47" s="1800"/>
      <c r="Y47" s="3317"/>
      <c r="Z47" s="1801">
        <f t="shared" si="15"/>
        <v>111</v>
      </c>
      <c r="AA47" s="1798">
        <f t="shared" si="3"/>
        <v>1</v>
      </c>
      <c r="AB47" s="1798">
        <f t="shared" si="4"/>
        <v>1</v>
      </c>
      <c r="AC47" s="2662">
        <f t="shared" si="5"/>
        <v>1</v>
      </c>
    </row>
    <row r="48" spans="1:29" ht="15">
      <c r="A48" s="470" t="s">
        <v>2567</v>
      </c>
      <c r="B48" s="471"/>
      <c r="C48" s="1395" t="s">
        <v>1</v>
      </c>
      <c r="D48" s="1396"/>
      <c r="E48" s="1397"/>
      <c r="F48" s="1398"/>
      <c r="G48" s="1399"/>
      <c r="H48" s="1400"/>
      <c r="I48" s="1397"/>
      <c r="J48" s="476"/>
      <c r="K48" s="774"/>
      <c r="L48" s="1131"/>
      <c r="M48" s="1119"/>
      <c r="N48" s="1119"/>
      <c r="O48" s="1119"/>
      <c r="P48" s="3309" t="str">
        <f>A48</f>
        <v>成交单价（元/平方米）</v>
      </c>
      <c r="Q48" s="3285"/>
      <c r="R48" s="3313">
        <f>E48</f>
        <v>0</v>
      </c>
      <c r="S48" s="3313"/>
      <c r="T48" s="3313">
        <f>G48</f>
        <v>0</v>
      </c>
      <c r="U48" s="3313"/>
      <c r="V48" s="3313">
        <f>I48</f>
        <v>0</v>
      </c>
      <c r="W48" s="3313"/>
      <c r="X48" s="437"/>
      <c r="Y48" s="772"/>
      <c r="Z48" s="437"/>
      <c r="AA48" s="437"/>
      <c r="AB48" s="437"/>
      <c r="AC48" s="621"/>
    </row>
    <row r="49" spans="1:29" ht="15.75" thickBot="1">
      <c r="A49" s="477" t="s">
        <v>2659</v>
      </c>
      <c r="B49" s="478"/>
      <c r="C49" s="1401" t="e">
        <f>R50</f>
        <v>#DIV/0!</v>
      </c>
      <c r="D49" s="1402"/>
      <c r="E49" s="1403" t="e">
        <f>R49</f>
        <v>#DIV/0!</v>
      </c>
      <c r="F49" s="1403"/>
      <c r="G49" s="1401" t="e">
        <f>T49</f>
        <v>#DIV/0!</v>
      </c>
      <c r="H49" s="1402"/>
      <c r="I49" s="1403" t="e">
        <f>V49</f>
        <v>#DIV/0!</v>
      </c>
      <c r="J49" s="480"/>
      <c r="K49" s="775"/>
      <c r="L49" s="1131"/>
      <c r="M49" s="1119"/>
      <c r="N49" s="1119"/>
      <c r="O49" s="1119"/>
      <c r="P49" s="3309" t="str">
        <f>A49</f>
        <v>比较价值（元/平方米）</v>
      </c>
      <c r="Q49" s="3285"/>
      <c r="R49" s="3313" t="e">
        <f>IF(F1="售价",ROUND(PRODUCT(R48,AA7:AA47),0),ROUND(PRODUCT(R48,AA7:AA47),1))</f>
        <v>#DIV/0!</v>
      </c>
      <c r="S49" s="3313"/>
      <c r="T49" s="3313" t="e">
        <f>IF(F1="售价",ROUND(PRODUCT(T48,AB7:AB47),0),ROUND(PRODUCT(T48,AB7:AB47),1))</f>
        <v>#DIV/0!</v>
      </c>
      <c r="U49" s="3313"/>
      <c r="V49" s="3313" t="e">
        <f>IF(F1="售价",ROUND(PRODUCT(V48,AC7:AC47),0),ROUND(PRODUCT(V48,AC7:AC47),1))</f>
        <v>#DIV/0!</v>
      </c>
      <c r="W49" s="3313"/>
      <c r="X49" s="437"/>
      <c r="Y49" s="437"/>
      <c r="Z49" s="437"/>
      <c r="AA49" s="437"/>
      <c r="AB49" s="437"/>
      <c r="AC49" s="621"/>
    </row>
    <row r="50" spans="1:29" ht="15.75" thickBot="1">
      <c r="A50" s="483" t="s">
        <v>2660</v>
      </c>
      <c r="B50" s="484"/>
      <c r="C50" s="1405" t="e">
        <f>R50</f>
        <v>#DIV/0!</v>
      </c>
      <c r="D50" s="1405"/>
      <c r="E50" s="1405"/>
      <c r="F50" s="1405"/>
      <c r="G50" s="1405"/>
      <c r="H50" s="1405"/>
      <c r="I50" s="1405"/>
      <c r="J50" s="485"/>
      <c r="K50" s="776"/>
      <c r="L50" s="1131"/>
      <c r="M50" s="1119"/>
      <c r="N50" s="1119"/>
      <c r="O50" s="1119"/>
      <c r="P50" s="3360" t="str">
        <f>A50</f>
        <v>估价对象XX用房的比较价值（楼面单价，元/平方米）</v>
      </c>
      <c r="Q50" s="3361"/>
      <c r="R50" s="3362" t="e">
        <f>IF(F1="售价",ROUND(AVERAGE(R49:V49),0),ROUND(AVERAGE(R49:V49),1))</f>
        <v>#DIV/0!</v>
      </c>
      <c r="S50" s="3362"/>
      <c r="T50" s="3362"/>
      <c r="U50" s="3362"/>
      <c r="V50" s="3362"/>
      <c r="W50" s="3362"/>
      <c r="X50" s="2642"/>
      <c r="Y50" s="2642"/>
      <c r="Z50" s="2642"/>
      <c r="AA50" s="2642"/>
      <c r="AB50" s="2642"/>
      <c r="AC50" s="2643"/>
    </row>
    <row r="51" spans="1:29">
      <c r="A51" s="1132"/>
      <c r="B51" s="1132"/>
      <c r="C51" s="1132"/>
      <c r="D51" s="1132"/>
      <c r="E51" s="1132"/>
      <c r="F51" s="1132"/>
      <c r="G51" s="1135"/>
      <c r="H51" s="1132"/>
      <c r="I51" s="1132"/>
      <c r="J51" s="1132"/>
      <c r="K51" s="1093"/>
      <c r="L51" s="1094"/>
      <c r="M51" s="1132"/>
      <c r="N51" s="1132"/>
      <c r="O51" s="1132"/>
    </row>
    <row r="52" spans="1:29">
      <c r="A52" s="1132"/>
      <c r="B52" s="1132"/>
      <c r="C52" s="1132"/>
      <c r="D52" s="1132"/>
      <c r="E52" s="1132"/>
      <c r="F52" s="1132"/>
      <c r="G52" s="1132"/>
      <c r="H52" s="1132"/>
      <c r="I52" s="1132"/>
      <c r="J52" s="1132"/>
      <c r="K52" s="1093"/>
      <c r="L52" s="1094"/>
      <c r="M52" s="1132"/>
      <c r="N52" s="1132"/>
      <c r="O52" s="1132"/>
    </row>
    <row r="53" spans="1:29" ht="13.5" customHeight="1">
      <c r="A53" s="1132"/>
      <c r="B53" s="1132"/>
      <c r="C53" s="488" t="s">
        <v>2661</v>
      </c>
      <c r="D53" s="489"/>
      <c r="E53" s="490" t="e">
        <f>IF(E48&lt;E49,E49/E48-1,E48/E49-1)</f>
        <v>#DIV/0!</v>
      </c>
      <c r="F53" s="491" t="e">
        <f>IF(OR(E53&gt;=0.3,E53&lt;=-0.3),"超过30%","")</f>
        <v>#DIV/0!</v>
      </c>
      <c r="G53" s="490" t="e">
        <f>IF(G48&lt;G49,G49/G48-1,G48/G49-1)</f>
        <v>#DIV/0!</v>
      </c>
      <c r="H53" s="491" t="e">
        <f>IF(OR(G53&gt;=0.3,G53&lt;=-0.3),"超过30%","")</f>
        <v>#DIV/0!</v>
      </c>
      <c r="I53" s="490" t="e">
        <f>IF(I48&lt;I49,I49/I48-1,I48/I49-1)</f>
        <v>#DIV/0!</v>
      </c>
      <c r="J53" s="491" t="e">
        <f>IF(OR(I53&gt;=0.3,I53&lt;=-0.3),"超过30%","")</f>
        <v>#DIV/0!</v>
      </c>
      <c r="K53" s="1093"/>
      <c r="L53" s="1094"/>
      <c r="M53" s="1132"/>
      <c r="N53" s="1132"/>
      <c r="O53" s="1132"/>
    </row>
    <row r="54" spans="1:29" ht="13.5" customHeight="1">
      <c r="A54" s="1132"/>
      <c r="B54" s="1132"/>
      <c r="C54" s="488" t="s">
        <v>2662</v>
      </c>
      <c r="D54" s="492"/>
      <c r="E54" s="490" t="e">
        <f>IF(E49&lt;G49,G49/E49-1,E49/G49-1)</f>
        <v>#DIV/0!</v>
      </c>
      <c r="F54" s="491" t="e">
        <f>IF(OR(E54&gt;=0.2,E54&lt;=-0.2),"超过20%","")</f>
        <v>#DIV/0!</v>
      </c>
      <c r="G54" s="490" t="e">
        <f>IF(G49&lt;I49,I49/G49-1,G49/I49-1)</f>
        <v>#DIV/0!</v>
      </c>
      <c r="H54" s="491" t="e">
        <f>IF(OR(G54&gt;=0.2,G54&lt;=-0.2),"超过20%","")</f>
        <v>#DIV/0!</v>
      </c>
      <c r="I54" s="490" t="e">
        <f>IF(I49&lt;E49,E49/I49-1,I49/E49-1)</f>
        <v>#DIV/0!</v>
      </c>
      <c r="J54" s="491" t="e">
        <f>IF(OR(I54&gt;=0.2,I54&lt;=-0.2),"超过20%","")</f>
        <v>#DIV/0!</v>
      </c>
      <c r="K54" s="1093"/>
      <c r="L54" s="1094"/>
      <c r="M54" s="1132"/>
      <c r="N54" s="1132"/>
      <c r="O54" s="1132"/>
    </row>
    <row r="55" spans="1:29" s="493" customFormat="1" ht="13.5" customHeight="1">
      <c r="A55" s="1133"/>
      <c r="B55" s="1133"/>
      <c r="C55" s="488" t="s">
        <v>2663</v>
      </c>
      <c r="D55" s="492"/>
      <c r="E55" s="490" t="e">
        <f>IF(E48&lt;G48,G48/E48-1,E48/G48-1)</f>
        <v>#DIV/0!</v>
      </c>
      <c r="F55" s="491" t="e">
        <f>IF(OR(E55&gt;=0.3,E55&lt;=-0.3),"超过30%","")</f>
        <v>#DIV/0!</v>
      </c>
      <c r="G55" s="490" t="e">
        <f>IF(G48&lt;I48,I48/G48-1,G48/I48-1)</f>
        <v>#DIV/0!</v>
      </c>
      <c r="H55" s="491" t="e">
        <f>IF(OR(G55&gt;=0.3,G55&lt;=-0.3),"超过30%","")</f>
        <v>#DIV/0!</v>
      </c>
      <c r="I55" s="490" t="e">
        <f>IF(I48&lt;E48,E48/I48-1,I48/E48-1)</f>
        <v>#DIV/0!</v>
      </c>
      <c r="J55" s="491" t="e">
        <f>IF(OR(I55&gt;=0.3,I55&lt;=-0.3),"超过30%","")</f>
        <v>#DIV/0!</v>
      </c>
      <c r="K55" s="1136"/>
      <c r="L55" s="1137"/>
      <c r="M55" s="1133"/>
      <c r="N55" s="1133"/>
      <c r="O55" s="1133"/>
      <c r="P55" s="2668"/>
    </row>
    <row r="56" spans="1:29" s="493" customFormat="1">
      <c r="A56" s="1133"/>
      <c r="B56" s="1134"/>
      <c r="C56" s="1138"/>
      <c r="D56" s="1133"/>
      <c r="E56" s="1133"/>
      <c r="F56" s="1133"/>
      <c r="G56" s="1133"/>
      <c r="H56" s="1133"/>
      <c r="I56" s="1133"/>
      <c r="J56" s="1133"/>
      <c r="K56" s="1136"/>
      <c r="L56" s="1137"/>
      <c r="M56" s="1133"/>
      <c r="N56" s="1133"/>
      <c r="O56" s="1133"/>
      <c r="P56" s="2668"/>
    </row>
    <row r="57" spans="1:29">
      <c r="A57" s="1132"/>
      <c r="B57" s="1134"/>
      <c r="C57" s="1138"/>
      <c r="D57" s="1132"/>
      <c r="E57" s="1132"/>
      <c r="F57" s="1132"/>
      <c r="G57" s="1132"/>
      <c r="H57" s="1132"/>
      <c r="I57" s="1132"/>
      <c r="J57" s="1132"/>
      <c r="K57" s="1093"/>
      <c r="L57" s="1094"/>
      <c r="M57" s="1132"/>
      <c r="N57" s="1132"/>
      <c r="O57" s="1132"/>
    </row>
    <row r="58" spans="1:29" ht="21.75" thickBot="1">
      <c r="A58" s="754" t="s">
        <v>2664</v>
      </c>
      <c r="B58" s="750"/>
      <c r="C58" s="755"/>
      <c r="D58" s="755"/>
      <c r="E58" s="755"/>
      <c r="F58" s="756"/>
      <c r="G58" s="756"/>
      <c r="H58" s="755"/>
      <c r="I58" s="755"/>
      <c r="J58" s="755"/>
      <c r="K58" s="757"/>
      <c r="L58" s="1149"/>
      <c r="M58" s="1147"/>
      <c r="N58" s="1147"/>
      <c r="O58" s="1147"/>
      <c r="P58" s="2669"/>
      <c r="Q58" s="495"/>
    </row>
    <row r="59" spans="1:29" s="499" customFormat="1" ht="15">
      <c r="A59" s="496" t="s">
        <v>2538</v>
      </c>
      <c r="B59" s="497"/>
      <c r="C59" s="1561" t="str">
        <f>YEAR(C7)&amp;"-"&amp;MONTH(C7)</f>
        <v>2019-2</v>
      </c>
      <c r="D59" s="1562">
        <f>EDATE(C59,-1)</f>
        <v>43466</v>
      </c>
      <c r="E59" s="1562">
        <f>EDATE(D59,-1)</f>
        <v>43435</v>
      </c>
      <c r="F59" s="1562">
        <f t="shared" ref="F59:O59" si="16">EDATE(E59,-1)</f>
        <v>43405</v>
      </c>
      <c r="G59" s="1562">
        <f t="shared" si="16"/>
        <v>43374</v>
      </c>
      <c r="H59" s="1562">
        <f t="shared" si="16"/>
        <v>43344</v>
      </c>
      <c r="I59" s="1562">
        <f t="shared" si="16"/>
        <v>43313</v>
      </c>
      <c r="J59" s="1562">
        <f t="shared" si="16"/>
        <v>43282</v>
      </c>
      <c r="K59" s="1562">
        <f t="shared" si="16"/>
        <v>43252</v>
      </c>
      <c r="L59" s="1562">
        <f t="shared" si="16"/>
        <v>43221</v>
      </c>
      <c r="M59" s="1562">
        <f t="shared" si="16"/>
        <v>43191</v>
      </c>
      <c r="N59" s="1562">
        <f t="shared" si="16"/>
        <v>43160</v>
      </c>
      <c r="O59" s="1562">
        <f t="shared" si="16"/>
        <v>43132</v>
      </c>
      <c r="P59" s="1558"/>
    </row>
    <row r="60" spans="1:29" s="110" customFormat="1" ht="15">
      <c r="A60" s="500"/>
      <c r="B60" s="501"/>
      <c r="C60" s="1560">
        <v>100</v>
      </c>
      <c r="D60" s="503"/>
      <c r="E60" s="503"/>
      <c r="F60" s="503"/>
      <c r="G60" s="503"/>
      <c r="H60" s="503"/>
      <c r="I60" s="503"/>
      <c r="J60" s="503"/>
      <c r="K60" s="503"/>
      <c r="L60" s="503"/>
      <c r="M60" s="504"/>
      <c r="N60" s="503"/>
      <c r="O60" s="504"/>
      <c r="P60" s="2670"/>
    </row>
    <row r="61" spans="1:29" s="110" customFormat="1" ht="15.75" thickBot="1">
      <c r="A61" s="506" t="s">
        <v>2575</v>
      </c>
      <c r="B61" s="507"/>
      <c r="C61" s="508"/>
      <c r="D61" s="509"/>
      <c r="E61" s="509"/>
      <c r="F61" s="509"/>
      <c r="G61" s="509"/>
      <c r="H61" s="509"/>
      <c r="I61" s="509"/>
      <c r="J61" s="509"/>
      <c r="K61" s="509"/>
      <c r="L61" s="509"/>
      <c r="M61" s="510"/>
      <c r="N61" s="509"/>
      <c r="O61" s="510"/>
      <c r="P61" s="2670"/>
      <c r="Q61" s="495"/>
    </row>
    <row r="62" spans="1:29" s="110" customFormat="1" ht="15">
      <c r="A62" s="512" t="s">
        <v>2540</v>
      </c>
      <c r="B62" s="501"/>
      <c r="C62" s="513" t="s">
        <v>2642</v>
      </c>
      <c r="D62" s="514"/>
      <c r="E62" s="514"/>
      <c r="F62" s="514"/>
      <c r="G62" s="514"/>
      <c r="H62" s="514"/>
      <c r="I62" s="514"/>
      <c r="J62" s="514"/>
      <c r="K62" s="514"/>
      <c r="L62" s="515"/>
      <c r="M62" s="516"/>
      <c r="N62" s="1139"/>
      <c r="O62" s="1139"/>
      <c r="P62" s="2671"/>
      <c r="Q62" s="495"/>
    </row>
    <row r="63" spans="1:29" s="110" customFormat="1" ht="15.75" thickBot="1">
      <c r="A63" s="512"/>
      <c r="B63" s="501"/>
      <c r="C63" s="502">
        <v>100</v>
      </c>
      <c r="D63" s="503"/>
      <c r="E63" s="503"/>
      <c r="F63" s="503"/>
      <c r="G63" s="503"/>
      <c r="H63" s="503"/>
      <c r="I63" s="503"/>
      <c r="J63" s="503"/>
      <c r="K63" s="503"/>
      <c r="L63" s="503"/>
      <c r="M63" s="505"/>
      <c r="N63" s="1139"/>
      <c r="O63" s="1139"/>
      <c r="P63" s="2670"/>
      <c r="Q63" s="495"/>
    </row>
    <row r="64" spans="1:29">
      <c r="A64" s="518" t="s">
        <v>2578</v>
      </c>
      <c r="B64" s="519" t="s">
        <v>2544</v>
      </c>
      <c r="C64" s="520">
        <f>C9</f>
        <v>0</v>
      </c>
      <c r="D64" s="521"/>
      <c r="E64" s="521"/>
      <c r="F64" s="521"/>
      <c r="G64" s="521"/>
      <c r="H64" s="521"/>
      <c r="I64" s="521"/>
      <c r="J64" s="521"/>
      <c r="K64" s="522"/>
      <c r="L64" s="523"/>
      <c r="M64" s="524"/>
      <c r="N64" s="1140"/>
      <c r="O64" s="1140"/>
      <c r="P64" s="2672"/>
      <c r="Q64" s="495"/>
    </row>
    <row r="65" spans="1:17" ht="15.75" thickBot="1">
      <c r="A65" s="525"/>
      <c r="B65" s="526"/>
      <c r="C65" s="527">
        <v>100</v>
      </c>
      <c r="D65" s="527"/>
      <c r="E65" s="527"/>
      <c r="F65" s="527"/>
      <c r="G65" s="527"/>
      <c r="H65" s="527"/>
      <c r="I65" s="527"/>
      <c r="J65" s="527"/>
      <c r="K65" s="527"/>
      <c r="L65" s="527"/>
      <c r="M65" s="528"/>
      <c r="N65" s="1141"/>
      <c r="O65" s="1141"/>
      <c r="P65" s="2672"/>
      <c r="Q65" s="495"/>
    </row>
    <row r="66" spans="1:17" ht="27.75" thickTop="1">
      <c r="A66" s="525"/>
      <c r="B66" s="529" t="s">
        <v>2547</v>
      </c>
      <c r="C66" s="530" t="s">
        <v>2579</v>
      </c>
      <c r="D66" s="530" t="s">
        <v>2580</v>
      </c>
      <c r="E66" s="530" t="s">
        <v>2581</v>
      </c>
      <c r="F66" s="530" t="s">
        <v>2582</v>
      </c>
      <c r="G66" s="530" t="s">
        <v>2583</v>
      </c>
      <c r="H66" s="530" t="s">
        <v>2584</v>
      </c>
      <c r="I66" s="530" t="s">
        <v>2585</v>
      </c>
      <c r="J66" s="530"/>
      <c r="K66" s="531"/>
      <c r="L66" s="532"/>
      <c r="M66" s="533"/>
      <c r="N66" s="1140"/>
      <c r="O66" s="1140"/>
      <c r="P66" s="2672"/>
      <c r="Q66" s="495"/>
    </row>
    <row r="67" spans="1:17" ht="15.75" thickBot="1">
      <c r="A67" s="525"/>
      <c r="B67" s="534"/>
      <c r="C67" s="535" t="s">
        <v>24</v>
      </c>
      <c r="D67" s="535" t="s">
        <v>25</v>
      </c>
      <c r="E67" s="535">
        <v>100</v>
      </c>
      <c r="F67" s="535">
        <f>E67-$K10</f>
        <v>100</v>
      </c>
      <c r="G67" s="535">
        <f>F67-$K10</f>
        <v>100</v>
      </c>
      <c r="H67" s="535">
        <f>G67-$K10</f>
        <v>100</v>
      </c>
      <c r="I67" s="535">
        <f>H67-$K10</f>
        <v>100</v>
      </c>
      <c r="J67" s="535"/>
      <c r="K67" s="535"/>
      <c r="L67" s="535"/>
      <c r="M67" s="536"/>
      <c r="N67" s="1141"/>
      <c r="O67" s="1141"/>
      <c r="P67" s="2672"/>
      <c r="Q67" s="495"/>
    </row>
    <row r="68" spans="1:17" ht="15.75" thickTop="1">
      <c r="A68" s="525"/>
      <c r="B68" s="537" t="s">
        <v>2548</v>
      </c>
      <c r="C68" s="538" t="str">
        <f>C69&amp;"（含）"&amp;"-"&amp;D69</f>
        <v>（含）-</v>
      </c>
      <c r="D68" s="538" t="str">
        <f t="shared" ref="D68:L68" si="17">D69&amp;"（含）"&amp;"-"&amp;E69</f>
        <v>（含）-</v>
      </c>
      <c r="E68" s="538" t="str">
        <f t="shared" si="17"/>
        <v>（含）-</v>
      </c>
      <c r="F68" s="538" t="str">
        <f t="shared" si="17"/>
        <v>（含）-</v>
      </c>
      <c r="G68" s="538" t="str">
        <f t="shared" si="17"/>
        <v>（含）-</v>
      </c>
      <c r="H68" s="538" t="str">
        <f t="shared" si="17"/>
        <v>（含）-</v>
      </c>
      <c r="I68" s="538" t="str">
        <f t="shared" si="17"/>
        <v>（含）-</v>
      </c>
      <c r="J68" s="538" t="str">
        <f t="shared" si="17"/>
        <v>（含）-</v>
      </c>
      <c r="K68" s="538" t="str">
        <f t="shared" si="17"/>
        <v>（含）-</v>
      </c>
      <c r="L68" s="538" t="str">
        <f t="shared" si="17"/>
        <v>（含）-</v>
      </c>
      <c r="M68" s="439" t="str">
        <f>M69&amp;"（含）"&amp;"-"&amp;P69</f>
        <v>（含）-</v>
      </c>
      <c r="N68" s="1141"/>
      <c r="O68" s="1141"/>
      <c r="P68" s="2672"/>
      <c r="Q68" s="495"/>
    </row>
    <row r="69" spans="1:17" ht="15">
      <c r="A69" s="525"/>
      <c r="B69" s="539"/>
      <c r="C69" s="540"/>
      <c r="D69" s="540"/>
      <c r="E69" s="540"/>
      <c r="F69" s="540"/>
      <c r="G69" s="540"/>
      <c r="H69" s="540"/>
      <c r="I69" s="540"/>
      <c r="J69" s="540"/>
      <c r="K69" s="541"/>
      <c r="L69" s="542"/>
      <c r="M69" s="543"/>
      <c r="N69" s="1140"/>
      <c r="O69" s="1140"/>
      <c r="P69" s="2672"/>
      <c r="Q69" s="495"/>
    </row>
    <row r="70" spans="1:17" ht="15.75" thickBot="1">
      <c r="A70" s="525"/>
      <c r="B70" s="526"/>
      <c r="C70" s="535">
        <v>100</v>
      </c>
      <c r="D70" s="535">
        <f t="shared" ref="D70:M70" si="18">C70-$K11</f>
        <v>100</v>
      </c>
      <c r="E70" s="535">
        <f t="shared" si="18"/>
        <v>100</v>
      </c>
      <c r="F70" s="535">
        <f t="shared" si="18"/>
        <v>100</v>
      </c>
      <c r="G70" s="535">
        <f t="shared" si="18"/>
        <v>100</v>
      </c>
      <c r="H70" s="535">
        <f t="shared" si="18"/>
        <v>100</v>
      </c>
      <c r="I70" s="535">
        <f t="shared" si="18"/>
        <v>100</v>
      </c>
      <c r="J70" s="535">
        <f t="shared" si="18"/>
        <v>100</v>
      </c>
      <c r="K70" s="535">
        <f t="shared" si="18"/>
        <v>100</v>
      </c>
      <c r="L70" s="535">
        <f t="shared" si="18"/>
        <v>100</v>
      </c>
      <c r="M70" s="536">
        <f t="shared" si="18"/>
        <v>100</v>
      </c>
      <c r="N70" s="1141"/>
      <c r="O70" s="1141"/>
      <c r="P70" s="2672"/>
      <c r="Q70" s="495"/>
    </row>
    <row r="71" spans="1:17" s="462" customFormat="1" ht="15.75" thickTop="1">
      <c r="A71" s="544"/>
      <c r="B71" s="529">
        <f>B12</f>
        <v>111</v>
      </c>
      <c r="C71" s="545"/>
      <c r="D71" s="545"/>
      <c r="E71" s="545"/>
      <c r="F71" s="545"/>
      <c r="G71" s="545"/>
      <c r="H71" s="546"/>
      <c r="I71" s="546"/>
      <c r="J71" s="546"/>
      <c r="K71" s="546"/>
      <c r="L71" s="547"/>
      <c r="M71" s="548"/>
      <c r="N71" s="1142"/>
      <c r="O71" s="1142"/>
      <c r="P71" s="2673"/>
      <c r="Q71" s="550"/>
    </row>
    <row r="72" spans="1:17" s="462" customFormat="1" ht="15.75" thickBot="1">
      <c r="A72" s="544"/>
      <c r="B72" s="534"/>
      <c r="C72" s="551"/>
      <c r="D72" s="527"/>
      <c r="E72" s="527"/>
      <c r="F72" s="527"/>
      <c r="G72" s="527"/>
      <c r="H72" s="527"/>
      <c r="I72" s="527"/>
      <c r="J72" s="527"/>
      <c r="K72" s="527"/>
      <c r="L72" s="527"/>
      <c r="M72" s="528"/>
      <c r="N72" s="1141"/>
      <c r="O72" s="1141"/>
      <c r="P72" s="2673"/>
      <c r="Q72" s="550"/>
    </row>
    <row r="73" spans="1:17" s="462" customFormat="1" ht="15.75" thickTop="1">
      <c r="A73" s="544"/>
      <c r="B73" s="529">
        <f>B13</f>
        <v>111</v>
      </c>
      <c r="C73" s="545"/>
      <c r="D73" s="545"/>
      <c r="E73" s="545"/>
      <c r="F73" s="545"/>
      <c r="G73" s="545"/>
      <c r="H73" s="546"/>
      <c r="I73" s="546"/>
      <c r="J73" s="546"/>
      <c r="K73" s="546"/>
      <c r="L73" s="547"/>
      <c r="M73" s="548"/>
      <c r="N73" s="1142"/>
      <c r="O73" s="1142"/>
      <c r="P73" s="2674"/>
      <c r="Q73" s="552"/>
    </row>
    <row r="74" spans="1:17" s="462" customFormat="1" ht="15.75" thickBot="1">
      <c r="A74" s="544"/>
      <c r="B74" s="534"/>
      <c r="C74" s="551"/>
      <c r="D74" s="551"/>
      <c r="E74" s="551"/>
      <c r="F74" s="551"/>
      <c r="G74" s="551"/>
      <c r="H74" s="553"/>
      <c r="I74" s="553"/>
      <c r="J74" s="553"/>
      <c r="K74" s="553"/>
      <c r="L74" s="553"/>
      <c r="M74" s="554"/>
      <c r="N74" s="1142"/>
      <c r="O74" s="1142"/>
      <c r="P74" s="2673"/>
      <c r="Q74" s="550"/>
    </row>
    <row r="75" spans="1:17" s="462" customFormat="1" ht="15.75" thickTop="1">
      <c r="A75" s="544"/>
      <c r="B75" s="537">
        <f>B14</f>
        <v>111</v>
      </c>
      <c r="C75" s="514"/>
      <c r="D75" s="514"/>
      <c r="E75" s="514"/>
      <c r="F75" s="514"/>
      <c r="G75" s="514"/>
      <c r="H75" s="555"/>
      <c r="I75" s="555"/>
      <c r="J75" s="555"/>
      <c r="K75" s="555"/>
      <c r="L75" s="556"/>
      <c r="M75" s="557"/>
      <c r="N75" s="1142"/>
      <c r="O75" s="1142"/>
      <c r="P75" s="2675"/>
      <c r="Q75" s="550"/>
    </row>
    <row r="76" spans="1:17" s="462" customFormat="1" ht="15.75" thickBot="1">
      <c r="A76" s="559"/>
      <c r="B76" s="560"/>
      <c r="C76" s="561"/>
      <c r="D76" s="561"/>
      <c r="E76" s="561"/>
      <c r="F76" s="561"/>
      <c r="G76" s="561"/>
      <c r="H76" s="562"/>
      <c r="I76" s="562"/>
      <c r="J76" s="562"/>
      <c r="K76" s="562"/>
      <c r="L76" s="562"/>
      <c r="M76" s="563"/>
      <c r="N76" s="1142"/>
      <c r="O76" s="1142"/>
      <c r="P76" s="2673"/>
      <c r="Q76" s="550"/>
    </row>
    <row r="77" spans="1:17">
      <c r="A77" s="518" t="s">
        <v>2549</v>
      </c>
      <c r="B77" s="519" t="s">
        <v>2687</v>
      </c>
      <c r="C77" s="564" t="s">
        <v>2587</v>
      </c>
      <c r="D77" s="564" t="s">
        <v>2588</v>
      </c>
      <c r="E77" s="564" t="s">
        <v>2589</v>
      </c>
      <c r="F77" s="564" t="s">
        <v>2590</v>
      </c>
      <c r="G77" s="564" t="s">
        <v>2591</v>
      </c>
      <c r="H77" s="520"/>
      <c r="I77" s="520"/>
      <c r="J77" s="520"/>
      <c r="K77" s="565"/>
      <c r="L77" s="566"/>
      <c r="M77" s="567"/>
      <c r="N77" s="1140"/>
      <c r="O77" s="1140"/>
      <c r="P77" s="2676"/>
      <c r="Q77" s="495"/>
    </row>
    <row r="78" spans="1:17" ht="15.75" thickBot="1">
      <c r="A78" s="525"/>
      <c r="B78" s="534"/>
      <c r="C78" s="535">
        <v>100</v>
      </c>
      <c r="D78" s="535">
        <f>C78-$K15</f>
        <v>100</v>
      </c>
      <c r="E78" s="535">
        <f>D78-$K15</f>
        <v>100</v>
      </c>
      <c r="F78" s="535">
        <f>E78-$K15</f>
        <v>100</v>
      </c>
      <c r="G78" s="535">
        <f>F78-$K15</f>
        <v>100</v>
      </c>
      <c r="H78" s="535"/>
      <c r="I78" s="535"/>
      <c r="J78" s="535"/>
      <c r="K78" s="535"/>
      <c r="L78" s="535"/>
      <c r="M78" s="536"/>
      <c r="N78" s="1141"/>
      <c r="O78" s="1141"/>
      <c r="P78" s="2672"/>
      <c r="Q78" s="495"/>
    </row>
    <row r="79" spans="1:17" ht="15.75" thickTop="1">
      <c r="A79" s="525"/>
      <c r="B79" s="529" t="s">
        <v>2592</v>
      </c>
      <c r="C79" s="569" t="s">
        <v>2587</v>
      </c>
      <c r="D79" s="569" t="s">
        <v>2588</v>
      </c>
      <c r="E79" s="569" t="s">
        <v>2589</v>
      </c>
      <c r="F79" s="569" t="s">
        <v>2590</v>
      </c>
      <c r="G79" s="569" t="s">
        <v>2591</v>
      </c>
      <c r="H79" s="530"/>
      <c r="I79" s="530"/>
      <c r="J79" s="530"/>
      <c r="K79" s="531"/>
      <c r="L79" s="532"/>
      <c r="M79" s="533"/>
      <c r="N79" s="1140"/>
      <c r="O79" s="1140"/>
      <c r="P79" s="2672"/>
      <c r="Q79" s="495"/>
    </row>
    <row r="80" spans="1:17" ht="15.75" thickBot="1">
      <c r="A80" s="525"/>
      <c r="B80" s="534"/>
      <c r="C80" s="535">
        <v>100</v>
      </c>
      <c r="D80" s="535">
        <f>C80-$K17</f>
        <v>100</v>
      </c>
      <c r="E80" s="535">
        <f>D80-$K17</f>
        <v>100</v>
      </c>
      <c r="F80" s="535">
        <f>E80-$K17</f>
        <v>100</v>
      </c>
      <c r="G80" s="535">
        <f>F80-$K17</f>
        <v>100</v>
      </c>
      <c r="H80" s="535"/>
      <c r="I80" s="535"/>
      <c r="J80" s="535"/>
      <c r="K80" s="535"/>
      <c r="L80" s="535"/>
      <c r="M80" s="536"/>
      <c r="N80" s="1141"/>
      <c r="O80" s="1141"/>
      <c r="P80" s="2672"/>
      <c r="Q80" s="495"/>
    </row>
    <row r="81" spans="1:17" ht="15.75" thickTop="1">
      <c r="A81" s="525"/>
      <c r="B81" s="529" t="s">
        <v>2593</v>
      </c>
      <c r="C81" s="569" t="s">
        <v>2587</v>
      </c>
      <c r="D81" s="569" t="s">
        <v>2588</v>
      </c>
      <c r="E81" s="569" t="s">
        <v>2589</v>
      </c>
      <c r="F81" s="569" t="s">
        <v>2590</v>
      </c>
      <c r="G81" s="569" t="s">
        <v>2591</v>
      </c>
      <c r="H81" s="530"/>
      <c r="I81" s="530"/>
      <c r="J81" s="530"/>
      <c r="K81" s="531"/>
      <c r="L81" s="532"/>
      <c r="M81" s="533"/>
      <c r="N81" s="1140"/>
      <c r="O81" s="1140"/>
      <c r="P81" s="2672"/>
      <c r="Q81" s="495"/>
    </row>
    <row r="82" spans="1:17" ht="15.75" thickBot="1">
      <c r="A82" s="525"/>
      <c r="B82" s="534"/>
      <c r="C82" s="535">
        <v>100</v>
      </c>
      <c r="D82" s="535">
        <f>C82-$K19</f>
        <v>100</v>
      </c>
      <c r="E82" s="535">
        <f>D82-$K19</f>
        <v>100</v>
      </c>
      <c r="F82" s="535">
        <f>E82-$K19</f>
        <v>100</v>
      </c>
      <c r="G82" s="535">
        <f>F82-$K19</f>
        <v>100</v>
      </c>
      <c r="H82" s="535"/>
      <c r="I82" s="535"/>
      <c r="J82" s="535"/>
      <c r="K82" s="535"/>
      <c r="L82" s="535"/>
      <c r="M82" s="536"/>
      <c r="N82" s="1141"/>
      <c r="O82" s="1141"/>
      <c r="P82" s="2672"/>
      <c r="Q82" s="495"/>
    </row>
    <row r="83" spans="1:17" ht="15.75" thickTop="1">
      <c r="A83" s="525"/>
      <c r="B83" s="537" t="s">
        <v>2679</v>
      </c>
      <c r="C83" s="651" t="s">
        <v>2665</v>
      </c>
      <c r="D83" s="651" t="s">
        <v>2666</v>
      </c>
      <c r="E83" s="651" t="s">
        <v>2667</v>
      </c>
      <c r="F83" s="651" t="s">
        <v>2668</v>
      </c>
      <c r="G83" s="651" t="s">
        <v>2669</v>
      </c>
      <c r="H83" s="530"/>
      <c r="I83" s="530"/>
      <c r="J83" s="530"/>
      <c r="K83" s="530"/>
      <c r="L83" s="530"/>
      <c r="M83" s="1370"/>
      <c r="N83" s="1141"/>
      <c r="O83" s="1141"/>
      <c r="P83" s="2672"/>
      <c r="Q83" s="495"/>
    </row>
    <row r="84" spans="1:17" ht="15.75" thickBot="1">
      <c r="A84" s="525"/>
      <c r="B84" s="537"/>
      <c r="C84" s="535">
        <v>100</v>
      </c>
      <c r="D84" s="535">
        <f>C84-$K21</f>
        <v>100</v>
      </c>
      <c r="E84" s="535">
        <f>D84-$K21</f>
        <v>100</v>
      </c>
      <c r="F84" s="535">
        <f>E84-$K21</f>
        <v>100</v>
      </c>
      <c r="G84" s="535">
        <f>F84-$K21</f>
        <v>100</v>
      </c>
      <c r="H84" s="651"/>
      <c r="I84" s="651"/>
      <c r="J84" s="651"/>
      <c r="K84" s="651"/>
      <c r="L84" s="651"/>
      <c r="M84" s="441"/>
      <c r="N84" s="1141"/>
      <c r="O84" s="1141"/>
      <c r="P84" s="2672"/>
      <c r="Q84" s="495"/>
    </row>
    <row r="85" spans="1:17" ht="15.75" thickTop="1">
      <c r="A85" s="525"/>
      <c r="B85" s="529" t="s">
        <v>2688</v>
      </c>
      <c r="C85" s="569" t="s">
        <v>2587</v>
      </c>
      <c r="D85" s="569" t="s">
        <v>2588</v>
      </c>
      <c r="E85" s="569" t="s">
        <v>2589</v>
      </c>
      <c r="F85" s="569" t="s">
        <v>2590</v>
      </c>
      <c r="G85" s="569" t="s">
        <v>2591</v>
      </c>
      <c r="H85" s="530"/>
      <c r="I85" s="530"/>
      <c r="J85" s="530"/>
      <c r="K85" s="531"/>
      <c r="L85" s="532"/>
      <c r="M85" s="533"/>
      <c r="N85" s="1140"/>
      <c r="O85" s="1140"/>
      <c r="P85" s="2672"/>
      <c r="Q85" s="495"/>
    </row>
    <row r="86" spans="1:17" ht="15.75" thickBot="1">
      <c r="A86" s="525"/>
      <c r="B86" s="534"/>
      <c r="C86" s="535">
        <v>100</v>
      </c>
      <c r="D86" s="535">
        <f>C86-$K23</f>
        <v>100</v>
      </c>
      <c r="E86" s="535">
        <f>D86-$K23</f>
        <v>100</v>
      </c>
      <c r="F86" s="535">
        <f>E86-$K23</f>
        <v>100</v>
      </c>
      <c r="G86" s="535">
        <f>F86-$K23</f>
        <v>100</v>
      </c>
      <c r="H86" s="535"/>
      <c r="I86" s="535"/>
      <c r="J86" s="535"/>
      <c r="K86" s="535"/>
      <c r="L86" s="535"/>
      <c r="M86" s="536"/>
      <c r="N86" s="1141"/>
      <c r="O86" s="1141"/>
      <c r="P86" s="2672"/>
      <c r="Q86" s="495"/>
    </row>
    <row r="87" spans="1:17" s="110" customFormat="1" ht="27.75" thickTop="1">
      <c r="A87" s="570"/>
      <c r="B87" s="529" t="s">
        <v>2689</v>
      </c>
      <c r="C87" s="545"/>
      <c r="D87" s="545"/>
      <c r="E87" s="545"/>
      <c r="F87" s="545"/>
      <c r="G87" s="545"/>
      <c r="H87" s="545"/>
      <c r="I87" s="545"/>
      <c r="J87" s="545"/>
      <c r="K87" s="545"/>
      <c r="L87" s="571"/>
      <c r="M87" s="572"/>
      <c r="N87" s="1139"/>
      <c r="O87" s="1139"/>
      <c r="P87" s="2672"/>
      <c r="Q87" s="495"/>
    </row>
    <row r="88" spans="1:17" s="110" customFormat="1" ht="15.75" thickBot="1">
      <c r="A88" s="570"/>
      <c r="B88" s="534"/>
      <c r="C88" s="573">
        <v>100</v>
      </c>
      <c r="D88" s="535">
        <f t="shared" ref="D88:M88" si="19">C88-$K25</f>
        <v>100</v>
      </c>
      <c r="E88" s="535">
        <f t="shared" si="19"/>
        <v>100</v>
      </c>
      <c r="F88" s="535">
        <f t="shared" si="19"/>
        <v>100</v>
      </c>
      <c r="G88" s="535">
        <f t="shared" si="19"/>
        <v>100</v>
      </c>
      <c r="H88" s="535">
        <f t="shared" si="19"/>
        <v>100</v>
      </c>
      <c r="I88" s="535">
        <f t="shared" si="19"/>
        <v>100</v>
      </c>
      <c r="J88" s="535">
        <f t="shared" si="19"/>
        <v>100</v>
      </c>
      <c r="K88" s="535">
        <f t="shared" si="19"/>
        <v>100</v>
      </c>
      <c r="L88" s="535">
        <f t="shared" si="19"/>
        <v>100</v>
      </c>
      <c r="M88" s="535">
        <f t="shared" si="19"/>
        <v>100</v>
      </c>
      <c r="N88" s="1141"/>
      <c r="O88" s="1141"/>
      <c r="P88" s="2672"/>
      <c r="Q88" s="495"/>
    </row>
    <row r="89" spans="1:17" s="110" customFormat="1" ht="15.75" thickTop="1">
      <c r="A89" s="570"/>
      <c r="B89" s="529" t="str">
        <f>B27</f>
        <v>楼层</v>
      </c>
      <c r="C89" s="545"/>
      <c r="D89" s="545"/>
      <c r="E89" s="545"/>
      <c r="F89" s="2623"/>
      <c r="G89" s="545"/>
      <c r="H89" s="545"/>
      <c r="I89" s="545"/>
      <c r="J89" s="545"/>
      <c r="K89" s="545"/>
      <c r="L89" s="545"/>
      <c r="M89" s="572"/>
      <c r="N89" s="1139"/>
      <c r="O89" s="1139"/>
      <c r="P89" s="2672"/>
      <c r="Q89" s="495"/>
    </row>
    <row r="90" spans="1:17" s="110" customFormat="1" ht="15.75" thickBot="1">
      <c r="A90" s="570"/>
      <c r="B90" s="534"/>
      <c r="C90" s="573">
        <v>100</v>
      </c>
      <c r="D90" s="535">
        <f>C90-$K27</f>
        <v>100</v>
      </c>
      <c r="E90" s="535">
        <f t="shared" ref="E90:M90" si="20">D90-$K27</f>
        <v>100</v>
      </c>
      <c r="F90" s="535">
        <f t="shared" si="20"/>
        <v>100</v>
      </c>
      <c r="G90" s="535">
        <f t="shared" si="20"/>
        <v>100</v>
      </c>
      <c r="H90" s="535">
        <f t="shared" si="20"/>
        <v>100</v>
      </c>
      <c r="I90" s="535">
        <f t="shared" si="20"/>
        <v>100</v>
      </c>
      <c r="J90" s="535">
        <f t="shared" si="20"/>
        <v>100</v>
      </c>
      <c r="K90" s="535">
        <f t="shared" si="20"/>
        <v>100</v>
      </c>
      <c r="L90" s="535">
        <f t="shared" si="20"/>
        <v>100</v>
      </c>
      <c r="M90" s="535">
        <f t="shared" si="20"/>
        <v>100</v>
      </c>
      <c r="N90" s="1141"/>
      <c r="O90" s="1141"/>
      <c r="P90" s="2672"/>
      <c r="Q90" s="495"/>
    </row>
    <row r="91" spans="1:17" s="462" customFormat="1" ht="15.75" thickTop="1">
      <c r="A91" s="544"/>
      <c r="B91" s="529" t="str">
        <f>B28</f>
        <v>朝向</v>
      </c>
      <c r="C91" s="545"/>
      <c r="D91" s="545"/>
      <c r="E91" s="545"/>
      <c r="F91" s="545"/>
      <c r="G91" s="545"/>
      <c r="H91" s="546"/>
      <c r="I91" s="546"/>
      <c r="J91" s="546"/>
      <c r="K91" s="546"/>
      <c r="L91" s="547"/>
      <c r="M91" s="548"/>
      <c r="N91" s="1142"/>
      <c r="O91" s="1142"/>
      <c r="P91" s="2673"/>
      <c r="Q91" s="550"/>
    </row>
    <row r="92" spans="1:17" s="462" customFormat="1" ht="15.75" thickBot="1">
      <c r="A92" s="544"/>
      <c r="B92" s="534"/>
      <c r="C92" s="573">
        <v>100</v>
      </c>
      <c r="D92" s="535">
        <f t="shared" ref="D92:M92" si="21">C92-$K28</f>
        <v>100</v>
      </c>
      <c r="E92" s="535">
        <f t="shared" si="21"/>
        <v>100</v>
      </c>
      <c r="F92" s="535">
        <f t="shared" si="21"/>
        <v>100</v>
      </c>
      <c r="G92" s="535">
        <f t="shared" si="21"/>
        <v>100</v>
      </c>
      <c r="H92" s="535">
        <f t="shared" si="21"/>
        <v>100</v>
      </c>
      <c r="I92" s="535">
        <f t="shared" si="21"/>
        <v>100</v>
      </c>
      <c r="J92" s="535">
        <f t="shared" si="21"/>
        <v>100</v>
      </c>
      <c r="K92" s="535">
        <f t="shared" si="21"/>
        <v>100</v>
      </c>
      <c r="L92" s="535">
        <f t="shared" si="21"/>
        <v>100</v>
      </c>
      <c r="M92" s="535">
        <f t="shared" si="21"/>
        <v>100</v>
      </c>
      <c r="N92" s="1142"/>
      <c r="O92" s="1142"/>
      <c r="P92" s="2673"/>
      <c r="Q92" s="550"/>
    </row>
    <row r="93" spans="1:17" ht="15.75" thickTop="1">
      <c r="A93" s="525"/>
      <c r="B93" s="529">
        <f>B29</f>
        <v>111</v>
      </c>
      <c r="C93" s="545"/>
      <c r="D93" s="545"/>
      <c r="E93" s="545"/>
      <c r="F93" s="545"/>
      <c r="G93" s="545"/>
      <c r="H93" s="545"/>
      <c r="I93" s="545"/>
      <c r="J93" s="545"/>
      <c r="K93" s="545"/>
      <c r="L93" s="571"/>
      <c r="M93" s="572"/>
      <c r="N93" s="1140"/>
      <c r="O93" s="1140"/>
      <c r="P93" s="2672"/>
      <c r="Q93" s="495"/>
    </row>
    <row r="94" spans="1:17" ht="15.75" thickBot="1">
      <c r="A94" s="525"/>
      <c r="B94" s="534"/>
      <c r="C94" s="551"/>
      <c r="D94" s="527"/>
      <c r="E94" s="527"/>
      <c r="F94" s="527"/>
      <c r="G94" s="527"/>
      <c r="H94" s="527"/>
      <c r="I94" s="527"/>
      <c r="J94" s="527"/>
      <c r="K94" s="527"/>
      <c r="L94" s="527"/>
      <c r="M94" s="528"/>
      <c r="N94" s="1141"/>
      <c r="O94" s="1141"/>
      <c r="P94" s="2672"/>
      <c r="Q94" s="495"/>
    </row>
    <row r="95" spans="1:17" ht="15.75" thickTop="1">
      <c r="A95" s="525"/>
      <c r="B95" s="529">
        <f>B30</f>
        <v>111</v>
      </c>
      <c r="C95" s="545"/>
      <c r="D95" s="545"/>
      <c r="E95" s="545"/>
      <c r="F95" s="545"/>
      <c r="G95" s="574"/>
      <c r="H95" s="574"/>
      <c r="I95" s="574"/>
      <c r="J95" s="574"/>
      <c r="K95" s="575"/>
      <c r="L95" s="576"/>
      <c r="M95" s="577"/>
      <c r="N95" s="1140"/>
      <c r="O95" s="1140"/>
      <c r="P95" s="2672"/>
      <c r="Q95" s="495"/>
    </row>
    <row r="96" spans="1:17" ht="15.75" thickBot="1">
      <c r="A96" s="525"/>
      <c r="B96" s="534"/>
      <c r="C96" s="551"/>
      <c r="D96" s="551"/>
      <c r="E96" s="551"/>
      <c r="F96" s="551"/>
      <c r="G96" s="527"/>
      <c r="H96" s="527"/>
      <c r="I96" s="527"/>
      <c r="J96" s="527"/>
      <c r="K96" s="527"/>
      <c r="L96" s="527"/>
      <c r="M96" s="528"/>
      <c r="N96" s="1141"/>
      <c r="O96" s="1141"/>
      <c r="P96" s="2672"/>
      <c r="Q96" s="495"/>
    </row>
    <row r="97" spans="1:17" ht="15.75" thickTop="1">
      <c r="A97" s="525"/>
      <c r="B97" s="529">
        <f>B31</f>
        <v>111</v>
      </c>
      <c r="C97" s="545"/>
      <c r="D97" s="545"/>
      <c r="E97" s="545"/>
      <c r="F97" s="545"/>
      <c r="G97" s="574"/>
      <c r="H97" s="574"/>
      <c r="I97" s="574"/>
      <c r="J97" s="574"/>
      <c r="K97" s="575"/>
      <c r="L97" s="576"/>
      <c r="M97" s="577"/>
      <c r="N97" s="1140"/>
      <c r="O97" s="1140"/>
      <c r="P97" s="2672"/>
      <c r="Q97" s="495"/>
    </row>
    <row r="98" spans="1:17" ht="15.75" thickBot="1">
      <c r="A98" s="525"/>
      <c r="B98" s="534"/>
      <c r="C98" s="551"/>
      <c r="D98" s="527"/>
      <c r="E98" s="527"/>
      <c r="F98" s="527"/>
      <c r="G98" s="527"/>
      <c r="H98" s="527"/>
      <c r="I98" s="527"/>
      <c r="J98" s="527"/>
      <c r="K98" s="527"/>
      <c r="L98" s="527"/>
      <c r="M98" s="528"/>
      <c r="N98" s="1141"/>
      <c r="O98" s="1141"/>
      <c r="P98" s="2672"/>
      <c r="Q98" s="495"/>
    </row>
    <row r="99" spans="1:17" ht="15.75" thickTop="1">
      <c r="A99" s="525"/>
      <c r="B99" s="537">
        <f>B32</f>
        <v>111</v>
      </c>
      <c r="C99" s="514"/>
      <c r="D99" s="514"/>
      <c r="E99" s="514"/>
      <c r="F99" s="514"/>
      <c r="G99" s="578"/>
      <c r="H99" s="578"/>
      <c r="I99" s="578"/>
      <c r="J99" s="578"/>
      <c r="K99" s="579"/>
      <c r="L99" s="580"/>
      <c r="M99" s="581"/>
      <c r="N99" s="1140"/>
      <c r="O99" s="1140"/>
      <c r="P99" s="2672"/>
      <c r="Q99" s="495"/>
    </row>
    <row r="100" spans="1:17" ht="15.75" thickBot="1">
      <c r="A100" s="2624"/>
      <c r="B100" s="560"/>
      <c r="C100" s="561"/>
      <c r="D100" s="561"/>
      <c r="E100" s="561"/>
      <c r="F100" s="561"/>
      <c r="G100" s="582"/>
      <c r="H100" s="582"/>
      <c r="I100" s="582"/>
      <c r="J100" s="582"/>
      <c r="K100" s="582"/>
      <c r="L100" s="582"/>
      <c r="M100" s="583"/>
      <c r="N100" s="1141"/>
      <c r="O100" s="1141"/>
      <c r="P100" s="2672"/>
      <c r="Q100" s="495"/>
    </row>
    <row r="101" spans="1:17">
      <c r="A101" s="518" t="s">
        <v>2553</v>
      </c>
      <c r="B101" s="519" t="s">
        <v>2602</v>
      </c>
      <c r="C101" s="521"/>
      <c r="D101" s="521"/>
      <c r="E101" s="521"/>
      <c r="F101" s="521"/>
      <c r="G101" s="521"/>
      <c r="H101" s="521"/>
      <c r="I101" s="521"/>
      <c r="J101" s="521"/>
      <c r="K101" s="522"/>
      <c r="L101" s="523"/>
      <c r="M101" s="524"/>
      <c r="N101" s="1140"/>
      <c r="O101" s="1140"/>
      <c r="P101" s="2672"/>
      <c r="Q101" s="495"/>
    </row>
    <row r="102" spans="1:17" ht="15.75" thickBot="1">
      <c r="A102" s="525"/>
      <c r="B102" s="534"/>
      <c r="C102" s="535">
        <v>100</v>
      </c>
      <c r="D102" s="535">
        <f t="shared" ref="D102:M102" si="22">C102-$K33</f>
        <v>100</v>
      </c>
      <c r="E102" s="535">
        <f t="shared" si="22"/>
        <v>100</v>
      </c>
      <c r="F102" s="535">
        <f t="shared" si="22"/>
        <v>100</v>
      </c>
      <c r="G102" s="535">
        <f t="shared" si="22"/>
        <v>100</v>
      </c>
      <c r="H102" s="535">
        <f t="shared" si="22"/>
        <v>100</v>
      </c>
      <c r="I102" s="535">
        <f t="shared" si="22"/>
        <v>100</v>
      </c>
      <c r="J102" s="535">
        <f t="shared" si="22"/>
        <v>100</v>
      </c>
      <c r="K102" s="535">
        <f t="shared" si="22"/>
        <v>100</v>
      </c>
      <c r="L102" s="535">
        <f t="shared" si="22"/>
        <v>100</v>
      </c>
      <c r="M102" s="536">
        <f t="shared" si="22"/>
        <v>100</v>
      </c>
      <c r="N102" s="1141"/>
      <c r="O102" s="1141"/>
      <c r="P102" s="2672"/>
      <c r="Q102" s="495"/>
    </row>
    <row r="103" spans="1:17" ht="15.75" thickTop="1">
      <c r="A103" s="525"/>
      <c r="B103" s="529" t="s">
        <v>2603</v>
      </c>
      <c r="C103" s="569" t="str">
        <f>C104&amp;"(含)"&amp;"-"&amp;D104</f>
        <v>(含)-</v>
      </c>
      <c r="D103" s="569" t="str">
        <f t="shared" ref="D103:L103" si="23">D104&amp;"(含)"&amp;"-"&amp;E104</f>
        <v>(含)-</v>
      </c>
      <c r="E103" s="569" t="str">
        <f t="shared" si="23"/>
        <v>(含)-</v>
      </c>
      <c r="F103" s="569" t="str">
        <f t="shared" si="23"/>
        <v>(含)-</v>
      </c>
      <c r="G103" s="569" t="str">
        <f t="shared" si="23"/>
        <v>(含)-</v>
      </c>
      <c r="H103" s="569" t="str">
        <f t="shared" si="23"/>
        <v>(含)-</v>
      </c>
      <c r="I103" s="569" t="str">
        <f t="shared" si="23"/>
        <v>(含)-</v>
      </c>
      <c r="J103" s="569" t="str">
        <f t="shared" si="23"/>
        <v>(含)-</v>
      </c>
      <c r="K103" s="569" t="str">
        <f t="shared" si="23"/>
        <v>(含)-</v>
      </c>
      <c r="L103" s="569" t="str">
        <f t="shared" si="23"/>
        <v>(含)-</v>
      </c>
      <c r="M103" s="613" t="str">
        <f>M104&amp;"(含)"&amp;"-"&amp;P104</f>
        <v>(含)-</v>
      </c>
      <c r="N103" s="1139"/>
      <c r="O103" s="1139"/>
      <c r="P103" s="2672"/>
      <c r="Q103" s="495"/>
    </row>
    <row r="104" spans="1:17" s="462" customFormat="1">
      <c r="A104" s="584"/>
      <c r="B104" s="585"/>
      <c r="C104" s="586"/>
      <c r="D104" s="586"/>
      <c r="E104" s="586"/>
      <c r="F104" s="586"/>
      <c r="G104" s="586"/>
      <c r="H104" s="586"/>
      <c r="I104" s="586"/>
      <c r="J104" s="587"/>
      <c r="K104" s="587"/>
      <c r="L104" s="588"/>
      <c r="M104" s="589"/>
      <c r="N104" s="1142"/>
      <c r="O104" s="1142"/>
      <c r="P104" s="2673"/>
      <c r="Q104" s="550"/>
    </row>
    <row r="105" spans="1:17" s="462" customFormat="1" ht="15.75" thickBot="1">
      <c r="A105" s="544"/>
      <c r="B105" s="534"/>
      <c r="C105" s="551"/>
      <c r="D105" s="527"/>
      <c r="E105" s="527"/>
      <c r="F105" s="527"/>
      <c r="G105" s="527"/>
      <c r="H105" s="527"/>
      <c r="I105" s="527"/>
      <c r="J105" s="527"/>
      <c r="K105" s="527"/>
      <c r="L105" s="527"/>
      <c r="M105" s="528"/>
      <c r="N105" s="1141"/>
      <c r="O105" s="1141"/>
      <c r="P105" s="2673"/>
      <c r="Q105" s="550"/>
    </row>
    <row r="106" spans="1:17" ht="15" thickTop="1">
      <c r="A106" s="590"/>
      <c r="B106" s="529" t="s">
        <v>2604</v>
      </c>
      <c r="C106" s="545"/>
      <c r="D106" s="545"/>
      <c r="E106" s="574"/>
      <c r="F106" s="574"/>
      <c r="G106" s="574"/>
      <c r="H106" s="574"/>
      <c r="I106" s="574"/>
      <c r="J106" s="574"/>
      <c r="K106" s="575"/>
      <c r="L106" s="576"/>
      <c r="M106" s="577"/>
      <c r="N106" s="1140"/>
      <c r="O106" s="1140"/>
      <c r="P106" s="2672"/>
      <c r="Q106" s="495"/>
    </row>
    <row r="107" spans="1:17" ht="15.75" thickBot="1">
      <c r="A107" s="525"/>
      <c r="B107" s="534"/>
      <c r="C107" s="535">
        <v>100</v>
      </c>
      <c r="D107" s="535">
        <f t="shared" ref="D107:M107" si="24">C107-$K35</f>
        <v>100</v>
      </c>
      <c r="E107" s="535">
        <f t="shared" si="24"/>
        <v>100</v>
      </c>
      <c r="F107" s="535">
        <f t="shared" si="24"/>
        <v>100</v>
      </c>
      <c r="G107" s="535">
        <f t="shared" si="24"/>
        <v>100</v>
      </c>
      <c r="H107" s="535">
        <f t="shared" si="24"/>
        <v>100</v>
      </c>
      <c r="I107" s="535">
        <f t="shared" si="24"/>
        <v>100</v>
      </c>
      <c r="J107" s="535">
        <f t="shared" si="24"/>
        <v>100</v>
      </c>
      <c r="K107" s="535">
        <f t="shared" si="24"/>
        <v>100</v>
      </c>
      <c r="L107" s="535">
        <f t="shared" si="24"/>
        <v>100</v>
      </c>
      <c r="M107" s="536">
        <f t="shared" si="24"/>
        <v>100</v>
      </c>
      <c r="N107" s="1141"/>
      <c r="O107" s="1141"/>
      <c r="P107" s="2672"/>
      <c r="Q107" s="495"/>
    </row>
    <row r="108" spans="1:17" ht="15" thickTop="1">
      <c r="A108" s="590"/>
      <c r="B108" s="529" t="s">
        <v>2606</v>
      </c>
      <c r="C108" s="545"/>
      <c r="D108" s="545"/>
      <c r="E108" s="545"/>
      <c r="F108" s="574"/>
      <c r="G108" s="574"/>
      <c r="H108" s="574"/>
      <c r="I108" s="574"/>
      <c r="J108" s="574"/>
      <c r="K108" s="575"/>
      <c r="L108" s="576"/>
      <c r="M108" s="577"/>
      <c r="N108" s="1140"/>
      <c r="O108" s="1140"/>
      <c r="P108" s="2672"/>
      <c r="Q108" s="495"/>
    </row>
    <row r="109" spans="1:17" ht="15.75" thickBot="1">
      <c r="A109" s="525"/>
      <c r="B109" s="534"/>
      <c r="C109" s="535">
        <v>100</v>
      </c>
      <c r="D109" s="535">
        <f t="shared" ref="D109:M109" si="25">C109-$K36</f>
        <v>100</v>
      </c>
      <c r="E109" s="535">
        <f t="shared" si="25"/>
        <v>100</v>
      </c>
      <c r="F109" s="535">
        <f t="shared" si="25"/>
        <v>100</v>
      </c>
      <c r="G109" s="535">
        <f t="shared" si="25"/>
        <v>100</v>
      </c>
      <c r="H109" s="535">
        <f t="shared" si="25"/>
        <v>100</v>
      </c>
      <c r="I109" s="535">
        <f t="shared" si="25"/>
        <v>100</v>
      </c>
      <c r="J109" s="535">
        <f t="shared" si="25"/>
        <v>100</v>
      </c>
      <c r="K109" s="535">
        <f t="shared" si="25"/>
        <v>100</v>
      </c>
      <c r="L109" s="535">
        <f t="shared" si="25"/>
        <v>100</v>
      </c>
      <c r="M109" s="536">
        <f t="shared" si="25"/>
        <v>100</v>
      </c>
      <c r="N109" s="1141"/>
      <c r="O109" s="1141"/>
      <c r="P109" s="2672"/>
      <c r="Q109" s="495"/>
    </row>
    <row r="110" spans="1:17" ht="15" thickTop="1">
      <c r="A110" s="590"/>
      <c r="B110" s="529" t="s">
        <v>1999</v>
      </c>
      <c r="C110" s="569" t="str">
        <f>C111&amp;"(含)"&amp;"-"&amp;D111</f>
        <v>0.5(含)-0.6</v>
      </c>
      <c r="D110" s="569" t="str">
        <f>D111&amp;"(含)"&amp;"-"&amp;E111</f>
        <v>0.6(含)-0.7</v>
      </c>
      <c r="E110" s="569" t="str">
        <f>E111&amp;"(含)"&amp;"-"&amp;F111</f>
        <v>0.7(含)-0.8</v>
      </c>
      <c r="F110" s="569" t="str">
        <f>F111&amp;"(含)"&amp;"-"&amp;G111</f>
        <v>0.8(含)-0.9</v>
      </c>
      <c r="G110" s="569" t="str">
        <f>G111&amp;"(含)"&amp;"-"&amp;ROUND(H111,0)&amp;"(含)"</f>
        <v>0.9(含)-1(含)</v>
      </c>
      <c r="H110" s="569"/>
      <c r="I110" s="574"/>
      <c r="J110" s="574"/>
      <c r="K110" s="575"/>
      <c r="L110" s="576"/>
      <c r="M110" s="577"/>
      <c r="N110" s="1140"/>
      <c r="O110" s="1140"/>
      <c r="P110" s="2672"/>
      <c r="Q110" s="495"/>
    </row>
    <row r="111" spans="1:17">
      <c r="A111" s="590"/>
      <c r="B111" s="537"/>
      <c r="C111" s="594">
        <v>0.5</v>
      </c>
      <c r="D111" s="594">
        <v>0.6</v>
      </c>
      <c r="E111" s="594">
        <v>0.7</v>
      </c>
      <c r="F111" s="594">
        <v>0.8</v>
      </c>
      <c r="G111" s="594">
        <v>0.9</v>
      </c>
      <c r="H111" s="594">
        <v>1.0001</v>
      </c>
      <c r="I111" s="614"/>
      <c r="J111" s="614"/>
      <c r="K111" s="615"/>
      <c r="L111" s="616"/>
      <c r="M111" s="617"/>
      <c r="N111" s="1140"/>
      <c r="O111" s="1140"/>
      <c r="P111" s="2672"/>
      <c r="Q111" s="495"/>
    </row>
    <row r="112" spans="1:17" ht="15.75" thickBot="1">
      <c r="A112" s="525"/>
      <c r="B112" s="534"/>
      <c r="C112" s="573">
        <v>100</v>
      </c>
      <c r="D112" s="535">
        <f>C112+$K37</f>
        <v>100</v>
      </c>
      <c r="E112" s="535">
        <f t="shared" ref="E112:M112" si="26">D112+$K37</f>
        <v>100</v>
      </c>
      <c r="F112" s="535">
        <f t="shared" si="26"/>
        <v>100</v>
      </c>
      <c r="G112" s="535">
        <f t="shared" si="26"/>
        <v>100</v>
      </c>
      <c r="H112" s="535">
        <f t="shared" si="26"/>
        <v>100</v>
      </c>
      <c r="I112" s="535">
        <f t="shared" si="26"/>
        <v>100</v>
      </c>
      <c r="J112" s="535">
        <f t="shared" si="26"/>
        <v>100</v>
      </c>
      <c r="K112" s="535">
        <f t="shared" si="26"/>
        <v>100</v>
      </c>
      <c r="L112" s="535">
        <f t="shared" si="26"/>
        <v>100</v>
      </c>
      <c r="M112" s="535">
        <f t="shared" si="26"/>
        <v>100</v>
      </c>
      <c r="N112" s="1141"/>
      <c r="O112" s="1141"/>
      <c r="P112" s="2672"/>
      <c r="Q112" s="495"/>
    </row>
    <row r="113" spans="1:17" s="462" customFormat="1" ht="15" thickTop="1">
      <c r="A113" s="584"/>
      <c r="B113" s="529" t="s">
        <v>2690</v>
      </c>
      <c r="C113" s="545"/>
      <c r="D113" s="545"/>
      <c r="E113" s="545"/>
      <c r="F113" s="545"/>
      <c r="G113" s="545"/>
      <c r="H113" s="574"/>
      <c r="I113" s="574"/>
      <c r="J113" s="574"/>
      <c r="K113" s="575"/>
      <c r="L113" s="576"/>
      <c r="M113" s="577"/>
      <c r="N113" s="1142"/>
      <c r="O113" s="1142"/>
      <c r="P113" s="2673"/>
      <c r="Q113" s="550"/>
    </row>
    <row r="114" spans="1:17" s="462" customFormat="1" ht="15.75" thickBot="1">
      <c r="A114" s="544"/>
      <c r="B114" s="534"/>
      <c r="C114" s="535">
        <v>100</v>
      </c>
      <c r="D114" s="535">
        <f>C114-$K38</f>
        <v>100</v>
      </c>
      <c r="E114" s="535">
        <f t="shared" ref="E114:M114" si="27">D114-$K38</f>
        <v>100</v>
      </c>
      <c r="F114" s="535">
        <f t="shared" si="27"/>
        <v>100</v>
      </c>
      <c r="G114" s="535">
        <f t="shared" si="27"/>
        <v>100</v>
      </c>
      <c r="H114" s="535">
        <f t="shared" si="27"/>
        <v>100</v>
      </c>
      <c r="I114" s="535">
        <f t="shared" si="27"/>
        <v>100</v>
      </c>
      <c r="J114" s="535">
        <f t="shared" si="27"/>
        <v>100</v>
      </c>
      <c r="K114" s="535">
        <f t="shared" si="27"/>
        <v>100</v>
      </c>
      <c r="L114" s="535">
        <f t="shared" si="27"/>
        <v>100</v>
      </c>
      <c r="M114" s="535">
        <f t="shared" si="27"/>
        <v>100</v>
      </c>
      <c r="N114" s="1142"/>
      <c r="O114" s="1142"/>
      <c r="P114" s="2673"/>
      <c r="Q114" s="550"/>
    </row>
    <row r="115" spans="1:17" ht="15" thickTop="1">
      <c r="A115" s="590"/>
      <c r="B115" s="529" t="s">
        <v>2607</v>
      </c>
      <c r="C115" s="545"/>
      <c r="D115" s="545"/>
      <c r="E115" s="574"/>
      <c r="F115" s="574"/>
      <c r="G115" s="574"/>
      <c r="H115" s="574"/>
      <c r="I115" s="574"/>
      <c r="J115" s="574"/>
      <c r="K115" s="575"/>
      <c r="L115" s="576"/>
      <c r="M115" s="577"/>
      <c r="N115" s="1140"/>
      <c r="O115" s="1140"/>
      <c r="P115" s="2672"/>
      <c r="Q115" s="495"/>
    </row>
    <row r="116" spans="1:17" ht="15.75" thickBot="1">
      <c r="A116" s="525"/>
      <c r="B116" s="534"/>
      <c r="C116" s="535">
        <v>100</v>
      </c>
      <c r="D116" s="535">
        <f t="shared" ref="D116:M116" si="28">C116-$K39</f>
        <v>100</v>
      </c>
      <c r="E116" s="535">
        <f t="shared" si="28"/>
        <v>100</v>
      </c>
      <c r="F116" s="535">
        <f t="shared" si="28"/>
        <v>100</v>
      </c>
      <c r="G116" s="535">
        <f t="shared" si="28"/>
        <v>100</v>
      </c>
      <c r="H116" s="535">
        <f t="shared" si="28"/>
        <v>100</v>
      </c>
      <c r="I116" s="535">
        <f t="shared" si="28"/>
        <v>100</v>
      </c>
      <c r="J116" s="535">
        <f t="shared" si="28"/>
        <v>100</v>
      </c>
      <c r="K116" s="535">
        <f t="shared" si="28"/>
        <v>100</v>
      </c>
      <c r="L116" s="535">
        <f t="shared" si="28"/>
        <v>100</v>
      </c>
      <c r="M116" s="536">
        <f t="shared" si="28"/>
        <v>100</v>
      </c>
      <c r="N116" s="1141"/>
      <c r="O116" s="1141"/>
      <c r="P116" s="2672"/>
      <c r="Q116" s="495"/>
    </row>
    <row r="117" spans="1:17" ht="15" thickTop="1">
      <c r="A117" s="590"/>
      <c r="B117" s="529" t="s">
        <v>2608</v>
      </c>
      <c r="C117" s="545"/>
      <c r="D117" s="545"/>
      <c r="E117" s="545"/>
      <c r="F117" s="545"/>
      <c r="G117" s="545"/>
      <c r="H117" s="574"/>
      <c r="I117" s="574"/>
      <c r="J117" s="574"/>
      <c r="K117" s="575"/>
      <c r="L117" s="576"/>
      <c r="M117" s="577"/>
      <c r="N117" s="1140"/>
      <c r="O117" s="1140"/>
      <c r="P117" s="2672"/>
      <c r="Q117" s="495"/>
    </row>
    <row r="118" spans="1:17" ht="15.75" thickBot="1">
      <c r="A118" s="525"/>
      <c r="B118" s="534"/>
      <c r="C118" s="535">
        <v>100</v>
      </c>
      <c r="D118" s="535">
        <f>C118-$K40</f>
        <v>100</v>
      </c>
      <c r="E118" s="535">
        <f>D118-$K40</f>
        <v>100</v>
      </c>
      <c r="F118" s="535">
        <f>E118-$K40</f>
        <v>100</v>
      </c>
      <c r="G118" s="535">
        <f>F118-$K40</f>
        <v>100</v>
      </c>
      <c r="H118" s="535"/>
      <c r="I118" s="535"/>
      <c r="J118" s="535"/>
      <c r="K118" s="535"/>
      <c r="L118" s="535"/>
      <c r="M118" s="536"/>
      <c r="N118" s="1141"/>
      <c r="O118" s="1141"/>
      <c r="P118" s="2672"/>
      <c r="Q118" s="495"/>
    </row>
    <row r="119" spans="1:17" ht="15" thickTop="1">
      <c r="A119" s="590"/>
      <c r="B119" s="627" t="s">
        <v>2691</v>
      </c>
      <c r="C119" s="574"/>
      <c r="D119" s="574"/>
      <c r="E119" s="574"/>
      <c r="F119" s="574"/>
      <c r="G119" s="574"/>
      <c r="H119" s="574"/>
      <c r="I119" s="574"/>
      <c r="J119" s="574"/>
      <c r="K119" s="574"/>
      <c r="L119" s="2677"/>
      <c r="M119" s="2678"/>
      <c r="N119" s="1141"/>
      <c r="O119" s="1141"/>
      <c r="P119" s="2679"/>
      <c r="Q119" s="629"/>
    </row>
    <row r="120" spans="1:17" ht="15.75" thickBot="1">
      <c r="A120" s="525"/>
      <c r="B120" s="534"/>
      <c r="C120" s="573">
        <v>100</v>
      </c>
      <c r="D120" s="535">
        <f>C120-$K41</f>
        <v>100</v>
      </c>
      <c r="E120" s="535">
        <f t="shared" ref="E120:M120" si="29">D120-$K41</f>
        <v>100</v>
      </c>
      <c r="F120" s="535">
        <f t="shared" si="29"/>
        <v>100</v>
      </c>
      <c r="G120" s="535">
        <f t="shared" si="29"/>
        <v>100</v>
      </c>
      <c r="H120" s="535">
        <f t="shared" si="29"/>
        <v>100</v>
      </c>
      <c r="I120" s="535">
        <f t="shared" si="29"/>
        <v>100</v>
      </c>
      <c r="J120" s="535">
        <f t="shared" si="29"/>
        <v>100</v>
      </c>
      <c r="K120" s="535">
        <f t="shared" si="29"/>
        <v>100</v>
      </c>
      <c r="L120" s="535">
        <f t="shared" si="29"/>
        <v>100</v>
      </c>
      <c r="M120" s="535">
        <f t="shared" si="29"/>
        <v>100</v>
      </c>
      <c r="N120" s="1141"/>
      <c r="O120" s="1141"/>
      <c r="P120" s="2672"/>
      <c r="Q120" s="495"/>
    </row>
    <row r="121" spans="1:17" s="462" customFormat="1" ht="15" thickTop="1">
      <c r="A121" s="584"/>
      <c r="B121" s="529" t="s">
        <v>2674</v>
      </c>
      <c r="C121" s="545"/>
      <c r="D121" s="545"/>
      <c r="E121" s="545"/>
      <c r="F121" s="574"/>
      <c r="G121" s="546"/>
      <c r="H121" s="546"/>
      <c r="I121" s="546"/>
      <c r="J121" s="546"/>
      <c r="K121" s="546"/>
      <c r="L121" s="547"/>
      <c r="M121" s="548"/>
      <c r="N121" s="1142"/>
      <c r="O121" s="1142"/>
      <c r="P121" s="2673"/>
      <c r="Q121" s="550"/>
    </row>
    <row r="122" spans="1:17" s="462" customFormat="1" ht="15.75" thickBot="1">
      <c r="A122" s="544"/>
      <c r="B122" s="526"/>
      <c r="C122" s="551"/>
      <c r="D122" s="551"/>
      <c r="E122" s="551"/>
      <c r="F122" s="551"/>
      <c r="G122" s="551"/>
      <c r="H122" s="551"/>
      <c r="I122" s="551"/>
      <c r="J122" s="551"/>
      <c r="K122" s="551"/>
      <c r="L122" s="551"/>
      <c r="M122" s="551"/>
      <c r="N122" s="1142"/>
      <c r="O122" s="1142"/>
      <c r="P122" s="2673"/>
      <c r="Q122" s="550"/>
    </row>
    <row r="123" spans="1:17" ht="15" thickTop="1">
      <c r="A123" s="590"/>
      <c r="B123" s="529" t="s">
        <v>2610</v>
      </c>
      <c r="C123" s="545"/>
      <c r="D123" s="545"/>
      <c r="E123" s="545"/>
      <c r="F123" s="574"/>
      <c r="G123" s="574"/>
      <c r="H123" s="574"/>
      <c r="I123" s="574"/>
      <c r="J123" s="574"/>
      <c r="K123" s="575"/>
      <c r="L123" s="576"/>
      <c r="M123" s="577"/>
      <c r="N123" s="1140"/>
      <c r="O123" s="1140"/>
      <c r="P123" s="2672"/>
      <c r="Q123" s="495"/>
    </row>
    <row r="124" spans="1:17" ht="15.75" thickBot="1">
      <c r="A124" s="525"/>
      <c r="B124" s="534"/>
      <c r="C124" s="535">
        <v>100</v>
      </c>
      <c r="D124" s="535">
        <f t="shared" ref="D124:M124" si="30">C124-$K43</f>
        <v>100</v>
      </c>
      <c r="E124" s="535">
        <f t="shared" si="30"/>
        <v>100</v>
      </c>
      <c r="F124" s="535">
        <f t="shared" si="30"/>
        <v>100</v>
      </c>
      <c r="G124" s="535">
        <f t="shared" si="30"/>
        <v>100</v>
      </c>
      <c r="H124" s="535">
        <f t="shared" si="30"/>
        <v>100</v>
      </c>
      <c r="I124" s="535">
        <f t="shared" si="30"/>
        <v>100</v>
      </c>
      <c r="J124" s="535">
        <f t="shared" si="30"/>
        <v>100</v>
      </c>
      <c r="K124" s="535">
        <f t="shared" si="30"/>
        <v>100</v>
      </c>
      <c r="L124" s="535">
        <f t="shared" si="30"/>
        <v>100</v>
      </c>
      <c r="M124" s="536">
        <f t="shared" si="30"/>
        <v>100</v>
      </c>
      <c r="N124" s="1141"/>
      <c r="O124" s="1141"/>
      <c r="P124" s="2672"/>
      <c r="Q124" s="495"/>
    </row>
    <row r="125" spans="1:17" ht="15" thickTop="1">
      <c r="A125" s="590"/>
      <c r="B125" s="529" t="s">
        <v>2611</v>
      </c>
      <c r="C125" s="569" t="s">
        <v>2587</v>
      </c>
      <c r="D125" s="569" t="s">
        <v>2588</v>
      </c>
      <c r="E125" s="569" t="s">
        <v>2589</v>
      </c>
      <c r="F125" s="569" t="s">
        <v>2590</v>
      </c>
      <c r="G125" s="569" t="s">
        <v>2591</v>
      </c>
      <c r="H125" s="530"/>
      <c r="I125" s="530"/>
      <c r="J125" s="530"/>
      <c r="K125" s="531"/>
      <c r="L125" s="532"/>
      <c r="M125" s="533"/>
      <c r="N125" s="1140"/>
      <c r="O125" s="1140"/>
      <c r="P125" s="2673"/>
      <c r="Q125" s="495"/>
    </row>
    <row r="126" spans="1:17" ht="15.75" thickBot="1">
      <c r="A126" s="525"/>
      <c r="B126" s="534"/>
      <c r="C126" s="535">
        <v>100</v>
      </c>
      <c r="D126" s="535">
        <f>C126-$K44</f>
        <v>100</v>
      </c>
      <c r="E126" s="535">
        <f>D126-$K44</f>
        <v>100</v>
      </c>
      <c r="F126" s="535">
        <f>E126-$K44</f>
        <v>100</v>
      </c>
      <c r="G126" s="535">
        <f>F126-$K44</f>
        <v>100</v>
      </c>
      <c r="H126" s="535"/>
      <c r="I126" s="535"/>
      <c r="J126" s="535"/>
      <c r="K126" s="535"/>
      <c r="L126" s="535"/>
      <c r="M126" s="536"/>
      <c r="N126" s="1141"/>
      <c r="O126" s="1141"/>
      <c r="P126" s="2672"/>
      <c r="Q126" s="495"/>
    </row>
    <row r="127" spans="1:17" s="462" customFormat="1" ht="15" thickTop="1">
      <c r="A127" s="584"/>
      <c r="B127" s="529">
        <f>B45</f>
        <v>111</v>
      </c>
      <c r="C127" s="545"/>
      <c r="D127" s="545"/>
      <c r="E127" s="545"/>
      <c r="F127" s="545"/>
      <c r="G127" s="545"/>
      <c r="H127" s="546"/>
      <c r="I127" s="546"/>
      <c r="J127" s="546"/>
      <c r="K127" s="546"/>
      <c r="L127" s="547"/>
      <c r="M127" s="548"/>
      <c r="N127" s="1142"/>
      <c r="O127" s="1142"/>
      <c r="P127" s="2673"/>
      <c r="Q127" s="550"/>
    </row>
    <row r="128" spans="1:17" s="462" customFormat="1" ht="15.75" thickBot="1">
      <c r="A128" s="544"/>
      <c r="B128" s="534"/>
      <c r="C128" s="551"/>
      <c r="D128" s="527"/>
      <c r="E128" s="527"/>
      <c r="F128" s="527"/>
      <c r="G128" s="551"/>
      <c r="H128" s="553"/>
      <c r="I128" s="553"/>
      <c r="J128" s="553"/>
      <c r="K128" s="553"/>
      <c r="L128" s="553"/>
      <c r="M128" s="554"/>
      <c r="N128" s="1142"/>
      <c r="O128" s="1142"/>
      <c r="P128" s="2673"/>
      <c r="Q128" s="550"/>
    </row>
    <row r="129" spans="1:17" ht="15" thickTop="1">
      <c r="A129" s="590"/>
      <c r="B129" s="529">
        <f>B46</f>
        <v>111</v>
      </c>
      <c r="C129" s="545"/>
      <c r="D129" s="545"/>
      <c r="E129" s="545"/>
      <c r="F129" s="545"/>
      <c r="G129" s="574"/>
      <c r="H129" s="574"/>
      <c r="I129" s="574"/>
      <c r="J129" s="574"/>
      <c r="K129" s="575"/>
      <c r="L129" s="576"/>
      <c r="M129" s="577"/>
      <c r="N129" s="1140"/>
      <c r="O129" s="1140"/>
      <c r="P129" s="2672"/>
      <c r="Q129" s="495"/>
    </row>
    <row r="130" spans="1:17" ht="15.75" thickBot="1">
      <c r="A130" s="525"/>
      <c r="B130" s="534"/>
      <c r="C130" s="551"/>
      <c r="D130" s="551"/>
      <c r="E130" s="551"/>
      <c r="F130" s="551"/>
      <c r="G130" s="527"/>
      <c r="H130" s="527"/>
      <c r="I130" s="527"/>
      <c r="J130" s="527"/>
      <c r="K130" s="527"/>
      <c r="L130" s="527"/>
      <c r="M130" s="528"/>
      <c r="N130" s="1141"/>
      <c r="O130" s="1141"/>
      <c r="P130" s="2672"/>
      <c r="Q130" s="495"/>
    </row>
    <row r="131" spans="1:17" ht="15" thickTop="1">
      <c r="A131" s="590"/>
      <c r="B131" s="537">
        <f>B47</f>
        <v>111</v>
      </c>
      <c r="C131" s="514"/>
      <c r="D131" s="514"/>
      <c r="E131" s="514"/>
      <c r="F131" s="514"/>
      <c r="G131" s="578"/>
      <c r="H131" s="578"/>
      <c r="I131" s="578"/>
      <c r="J131" s="578"/>
      <c r="K131" s="514"/>
      <c r="L131" s="515"/>
      <c r="M131" s="581"/>
      <c r="N131" s="1140"/>
      <c r="O131" s="1140"/>
      <c r="P131" s="2672"/>
      <c r="Q131" s="495"/>
    </row>
    <row r="132" spans="1:17" ht="15.75" thickBot="1">
      <c r="A132" s="2624"/>
      <c r="B132" s="560"/>
      <c r="C132" s="561"/>
      <c r="D132" s="561"/>
      <c r="E132" s="561"/>
      <c r="F132" s="561"/>
      <c r="G132" s="582"/>
      <c r="H132" s="582"/>
      <c r="I132" s="582"/>
      <c r="J132" s="582"/>
      <c r="K132" s="582"/>
      <c r="L132" s="582"/>
      <c r="M132" s="583"/>
      <c r="N132" s="1141"/>
      <c r="O132" s="1141"/>
      <c r="P132" s="2672"/>
      <c r="Q132" s="49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394" customWidth="1"/>
    <col min="2" max="2" width="15.75" style="394" customWidth="1"/>
    <col min="3" max="3" width="14.375" style="394" customWidth="1"/>
    <col min="4" max="4" width="12.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394"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29" s="1616" customFormat="1" ht="28.5" customHeight="1" thickBot="1">
      <c r="A1" s="1605" t="s">
        <v>2518</v>
      </c>
      <c r="B1" s="2657" t="s">
        <v>2692</v>
      </c>
      <c r="C1" s="1607" t="s">
        <v>2520</v>
      </c>
      <c r="D1" s="1608"/>
      <c r="E1" s="1617"/>
      <c r="F1" s="2574"/>
      <c r="G1" s="1618" t="s">
        <v>2633</v>
      </c>
      <c r="H1" s="1617"/>
      <c r="I1" s="1617"/>
      <c r="J1" s="1617"/>
      <c r="K1" s="1619"/>
      <c r="L1" s="1620"/>
      <c r="M1" s="1621"/>
      <c r="N1" s="1621"/>
      <c r="O1" s="1621"/>
      <c r="P1" s="1607"/>
      <c r="Q1" s="1607"/>
      <c r="R1" s="1607"/>
      <c r="S1" s="1607"/>
      <c r="T1" s="1607"/>
      <c r="U1" s="1607"/>
      <c r="V1" s="1607"/>
      <c r="W1" s="1607"/>
      <c r="X1" s="1607"/>
      <c r="Y1" s="1607"/>
      <c r="Z1" s="1607"/>
      <c r="AA1" s="1607"/>
      <c r="AB1" s="1607"/>
      <c r="AC1" s="1615"/>
    </row>
    <row r="2" spans="1:29" s="389" customFormat="1" ht="28.5" customHeight="1" thickTop="1">
      <c r="A2" s="1604" t="s">
        <v>2320</v>
      </c>
      <c r="B2" s="1406" t="e">
        <f ca="1">IF(C2="——",ROUND(C43*D3/10000,0),ROUND(C43*D3/10000,0)-D2)</f>
        <v>#DIV/0!</v>
      </c>
      <c r="C2" s="2576"/>
      <c r="D2" s="1112" t="e">
        <f ca="1">SUMIF(INDIRECT("'"&amp;F2&amp;"'"&amp;"!A:A"),"承租人权益价值",INDIRECT("'"&amp;F2&amp;"'"&amp;"!c:c"))</f>
        <v>#REF!</v>
      </c>
      <c r="E2" s="2577" t="s">
        <v>2321</v>
      </c>
      <c r="F2" s="2578"/>
      <c r="G2" s="1113"/>
      <c r="H2" s="1113"/>
      <c r="I2" s="1113"/>
      <c r="J2" s="1113"/>
      <c r="K2" s="1113"/>
      <c r="L2" s="1116"/>
      <c r="M2" s="1117"/>
      <c r="N2" s="1117"/>
      <c r="O2" s="1117"/>
      <c r="P2" s="759"/>
      <c r="Q2" s="759"/>
      <c r="R2" s="759"/>
      <c r="S2" s="759"/>
      <c r="T2" s="759"/>
      <c r="U2" s="759"/>
      <c r="V2" s="759"/>
      <c r="W2" s="759"/>
      <c r="X2" s="759"/>
      <c r="Y2" s="759"/>
      <c r="Z2" s="759"/>
      <c r="AA2" s="759"/>
      <c r="AB2" s="759"/>
      <c r="AC2" s="773"/>
    </row>
    <row r="3" spans="1:29" s="389" customFormat="1" ht="28.5" customHeight="1" thickBot="1">
      <c r="A3" s="238" t="s">
        <v>2322</v>
      </c>
      <c r="B3" s="600" t="e">
        <f ca="1">IF(C2="——",C43,ROUND(B2*10000/D3,0))</f>
        <v>#DIV/0!</v>
      </c>
      <c r="C3" s="391" t="s">
        <v>2634</v>
      </c>
      <c r="D3" s="390">
        <f>IF(D1="",'数据-汇总表'!E3,SUMIF('数据-汇总表'!$C19:$C33,D1,'数据-汇总表'!$E19:$E33))</f>
        <v>20428.607999999997</v>
      </c>
      <c r="E3" s="1113"/>
      <c r="F3" s="1114"/>
      <c r="G3" s="1113"/>
      <c r="H3" s="1113"/>
      <c r="I3" s="1113"/>
      <c r="J3" s="1113"/>
      <c r="K3" s="1115"/>
      <c r="L3" s="1116"/>
      <c r="M3" s="1117"/>
      <c r="N3" s="1117"/>
      <c r="O3" s="1117"/>
      <c r="P3" s="759"/>
      <c r="Q3" s="759"/>
      <c r="R3" s="759"/>
      <c r="S3" s="759"/>
      <c r="T3" s="759"/>
      <c r="U3" s="759"/>
      <c r="V3" s="759"/>
      <c r="W3" s="759"/>
      <c r="X3" s="759"/>
      <c r="Y3" s="759"/>
      <c r="Z3" s="759"/>
      <c r="AA3" s="759"/>
      <c r="AB3" s="777"/>
      <c r="AC3" s="773"/>
    </row>
    <row r="4" spans="1:29" ht="15">
      <c r="A4" s="392" t="s">
        <v>2635</v>
      </c>
      <c r="B4" s="393"/>
      <c r="C4" s="3286" t="s">
        <v>2636</v>
      </c>
      <c r="D4" s="3287"/>
      <c r="E4" s="3288" t="s">
        <v>2637</v>
      </c>
      <c r="F4" s="3289"/>
      <c r="G4" s="3286" t="s">
        <v>2638</v>
      </c>
      <c r="H4" s="3287"/>
      <c r="I4" s="3286" t="s">
        <v>2639</v>
      </c>
      <c r="J4" s="3287"/>
      <c r="K4" s="601" t="s">
        <v>2640</v>
      </c>
      <c r="L4" s="1118"/>
      <c r="M4" s="1119"/>
      <c r="N4" s="1119"/>
      <c r="O4" s="1119"/>
      <c r="P4" s="3290" t="s">
        <v>2641</v>
      </c>
      <c r="Q4" s="3291"/>
      <c r="R4" s="3273" t="s">
        <v>2637</v>
      </c>
      <c r="S4" s="3274"/>
      <c r="T4" s="3273" t="s">
        <v>2638</v>
      </c>
      <c r="U4" s="3274"/>
      <c r="V4" s="3298" t="s">
        <v>2639</v>
      </c>
      <c r="W4" s="3298"/>
      <c r="X4" s="1800"/>
      <c r="Y4" s="3273" t="s">
        <v>2641</v>
      </c>
      <c r="Z4" s="3274"/>
      <c r="AA4" s="3268" t="s">
        <v>2637</v>
      </c>
      <c r="AB4" s="3269" t="s">
        <v>2638</v>
      </c>
      <c r="AC4" s="3268" t="s">
        <v>2639</v>
      </c>
    </row>
    <row r="5" spans="1:29" ht="15">
      <c r="A5" s="395"/>
      <c r="B5" s="396"/>
      <c r="C5" s="3311" t="s">
        <v>2532</v>
      </c>
      <c r="D5" s="3280"/>
      <c r="E5" s="3347" t="s">
        <v>2533</v>
      </c>
      <c r="F5" s="3278"/>
      <c r="G5" s="3311" t="s">
        <v>2534</v>
      </c>
      <c r="H5" s="3280"/>
      <c r="I5" s="3311" t="s">
        <v>2535</v>
      </c>
      <c r="J5" s="3280"/>
      <c r="K5" s="601"/>
      <c r="L5" s="1118"/>
      <c r="M5" s="1119"/>
      <c r="N5" s="1119"/>
      <c r="O5" s="1119"/>
      <c r="P5" s="3292"/>
      <c r="Q5" s="3293"/>
      <c r="R5" s="3275"/>
      <c r="S5" s="3276"/>
      <c r="T5" s="3275"/>
      <c r="U5" s="3276"/>
      <c r="V5" s="3298"/>
      <c r="W5" s="3298"/>
      <c r="X5" s="1800"/>
      <c r="Y5" s="3275"/>
      <c r="Z5" s="3276"/>
      <c r="AA5" s="3269"/>
      <c r="AB5" s="3269"/>
      <c r="AC5" s="3269"/>
    </row>
    <row r="6" spans="1:29" ht="15.75" thickBot="1">
      <c r="A6" s="397"/>
      <c r="B6" s="398"/>
      <c r="C6" s="3281" t="s">
        <v>2536</v>
      </c>
      <c r="D6" s="3282"/>
      <c r="E6" s="3283" t="s">
        <v>2536</v>
      </c>
      <c r="F6" s="3284"/>
      <c r="G6" s="3281" t="s">
        <v>2536</v>
      </c>
      <c r="H6" s="3282"/>
      <c r="I6" s="3281" t="s">
        <v>2536</v>
      </c>
      <c r="J6" s="3282"/>
      <c r="K6" s="601" t="s">
        <v>2537</v>
      </c>
      <c r="L6" s="1118"/>
      <c r="M6" s="1119"/>
      <c r="N6" s="1119"/>
      <c r="O6" s="1119"/>
      <c r="P6" s="3294"/>
      <c r="Q6" s="3295"/>
      <c r="R6" s="3275"/>
      <c r="S6" s="3276"/>
      <c r="T6" s="3296"/>
      <c r="U6" s="3297"/>
      <c r="V6" s="3298"/>
      <c r="W6" s="3298"/>
      <c r="X6" s="1800"/>
      <c r="Y6" s="3296"/>
      <c r="Z6" s="3297"/>
      <c r="AA6" s="3270"/>
      <c r="AB6" s="3270"/>
      <c r="AC6" s="3270"/>
    </row>
    <row r="7" spans="1:29" s="110" customFormat="1" ht="15.75" thickBot="1">
      <c r="A7" s="399" t="s">
        <v>2538</v>
      </c>
      <c r="B7" s="400"/>
      <c r="C7" s="401">
        <f>'数据-取费表'!B2</f>
        <v>43515</v>
      </c>
      <c r="D7" s="402">
        <v>100</v>
      </c>
      <c r="E7" s="403"/>
      <c r="F7" s="404">
        <f>SUMIF(52:52,YEAR(E7)&amp;"-"&amp;MONTH(E7),53:53)</f>
        <v>0</v>
      </c>
      <c r="G7" s="403"/>
      <c r="H7" s="402">
        <f>SUMIF(52:52,YEAR(G7)&amp;"-"&amp;MONTH(G7),53:53)</f>
        <v>0</v>
      </c>
      <c r="I7" s="403"/>
      <c r="J7" s="402">
        <f>SUMIF(52:52,YEAR(I7)&amp;"-"&amp;MONTH(I7),53:53)</f>
        <v>0</v>
      </c>
      <c r="K7" s="602"/>
      <c r="L7" s="1120"/>
      <c r="M7" s="1121"/>
      <c r="N7" s="1121"/>
      <c r="O7" s="1121"/>
      <c r="P7" s="3271" t="s">
        <v>2539</v>
      </c>
      <c r="Q7" s="3299"/>
      <c r="R7" s="761" t="s">
        <v>17</v>
      </c>
      <c r="S7" s="762">
        <f t="shared" ref="S7:S15" si="0">F7</f>
        <v>0</v>
      </c>
      <c r="T7" s="761" t="s">
        <v>17</v>
      </c>
      <c r="U7" s="762">
        <f t="shared" ref="U7:U15" si="1">H7</f>
        <v>0</v>
      </c>
      <c r="V7" s="761" t="s">
        <v>17</v>
      </c>
      <c r="W7" s="762">
        <f t="shared" ref="W7:W15" si="2">J7</f>
        <v>0</v>
      </c>
      <c r="X7" s="763"/>
      <c r="Y7" s="3271" t="s">
        <v>2539</v>
      </c>
      <c r="Z7" s="3272"/>
      <c r="AA7" s="764" t="e">
        <f>D7/F7</f>
        <v>#DIV/0!</v>
      </c>
      <c r="AB7" s="764" t="e">
        <f>D7/H7</f>
        <v>#DIV/0!</v>
      </c>
      <c r="AC7" s="764" t="e">
        <f>D7/J7</f>
        <v>#DIV/0!</v>
      </c>
    </row>
    <row r="8" spans="1:29" s="110" customFormat="1" ht="15.75" thickBot="1">
      <c r="A8" s="399" t="s">
        <v>2540</v>
      </c>
      <c r="B8" s="400"/>
      <c r="C8" s="405" t="s">
        <v>2541</v>
      </c>
      <c r="D8" s="402">
        <v>100</v>
      </c>
      <c r="E8" s="405"/>
      <c r="F8" s="404">
        <f>SUMIF(55:55,E8,56:56)-SUMIF(55:55,C8,56:56)+100</f>
        <v>0</v>
      </c>
      <c r="G8" s="405"/>
      <c r="H8" s="402">
        <f>SUMIF(55:55,G8,56:56)-SUMIF(55:55,C8,56:56)+100</f>
        <v>0</v>
      </c>
      <c r="I8" s="405"/>
      <c r="J8" s="402">
        <f>SUMIF(55:55,I8,56:56)-SUMIF(55:55,C8,56:56)+100</f>
        <v>0</v>
      </c>
      <c r="K8" s="602"/>
      <c r="L8" s="1120"/>
      <c r="M8" s="1121"/>
      <c r="N8" s="1121"/>
      <c r="O8" s="1121"/>
      <c r="P8" s="3271" t="s">
        <v>2542</v>
      </c>
      <c r="Q8" s="3272"/>
      <c r="R8" s="761" t="s">
        <v>17</v>
      </c>
      <c r="S8" s="762">
        <f t="shared" si="0"/>
        <v>0</v>
      </c>
      <c r="T8" s="761" t="s">
        <v>17</v>
      </c>
      <c r="U8" s="762">
        <f t="shared" si="1"/>
        <v>0</v>
      </c>
      <c r="V8" s="761" t="s">
        <v>17</v>
      </c>
      <c r="W8" s="762">
        <f t="shared" si="2"/>
        <v>0</v>
      </c>
      <c r="X8" s="763"/>
      <c r="Y8" s="3271" t="s">
        <v>2542</v>
      </c>
      <c r="Z8" s="3272"/>
      <c r="AA8" s="764" t="e">
        <f t="shared" ref="AA8:AA40" si="3">D8/F8</f>
        <v>#DIV/0!</v>
      </c>
      <c r="AB8" s="764" t="e">
        <f t="shared" ref="AB8:AB40" si="4">D8/H8</f>
        <v>#DIV/0!</v>
      </c>
      <c r="AC8" s="764" t="e">
        <f t="shared" ref="AC8:AC40" si="5">D8/J8</f>
        <v>#DIV/0!</v>
      </c>
    </row>
    <row r="9" spans="1:29" s="110" customFormat="1">
      <c r="A9" s="406" t="s">
        <v>2543</v>
      </c>
      <c r="B9" s="70" t="s">
        <v>2544</v>
      </c>
      <c r="C9" s="407"/>
      <c r="D9" s="126">
        <v>100</v>
      </c>
      <c r="E9" s="410"/>
      <c r="F9" s="126">
        <f>SUMIF(57:57,E9,58:58)-SUMIF(57:57,C9,58:58)+100</f>
        <v>100</v>
      </c>
      <c r="G9" s="408"/>
      <c r="H9" s="126">
        <f>SUMIF(57:57,G9,58:58)-SUMIF(57:57,C9,58:58)+100</f>
        <v>100</v>
      </c>
      <c r="I9" s="408"/>
      <c r="J9" s="126">
        <f>SUMIF(57:57,I9,58:58)-SUMIF(57:57,C9,58:58)+100</f>
        <v>100</v>
      </c>
      <c r="K9" s="602"/>
      <c r="L9" s="1120"/>
      <c r="M9" s="1121"/>
      <c r="N9" s="1121"/>
      <c r="O9" s="1122"/>
      <c r="P9" s="3285" t="s">
        <v>2545</v>
      </c>
      <c r="Q9" s="1782" t="str">
        <f t="shared" ref="Q9:Q15" si="6">B9</f>
        <v>用途</v>
      </c>
      <c r="R9" s="761" t="s">
        <v>17</v>
      </c>
      <c r="S9" s="762">
        <f t="shared" si="0"/>
        <v>100</v>
      </c>
      <c r="T9" s="761" t="s">
        <v>17</v>
      </c>
      <c r="U9" s="762">
        <f t="shared" si="1"/>
        <v>100</v>
      </c>
      <c r="V9" s="761" t="s">
        <v>17</v>
      </c>
      <c r="W9" s="762">
        <f t="shared" si="2"/>
        <v>100</v>
      </c>
      <c r="X9" s="763"/>
      <c r="Y9" s="3145" t="s">
        <v>2546</v>
      </c>
      <c r="Z9" s="54" t="str">
        <f t="shared" ref="Z9:Z15" si="7">Q9</f>
        <v>用途</v>
      </c>
      <c r="AA9" s="764">
        <f t="shared" si="3"/>
        <v>1</v>
      </c>
      <c r="AB9" s="764">
        <f t="shared" si="4"/>
        <v>1</v>
      </c>
      <c r="AC9" s="764">
        <f t="shared" si="5"/>
        <v>1</v>
      </c>
    </row>
    <row r="10" spans="1:29" s="418" customFormat="1" ht="27">
      <c r="A10" s="412"/>
      <c r="B10" s="413" t="s">
        <v>2547</v>
      </c>
      <c r="C10" s="414"/>
      <c r="D10" s="127">
        <v>100</v>
      </c>
      <c r="E10" s="414"/>
      <c r="F10" s="127">
        <f>SUMIF(59:59,E10,60:60)-SUMIF(59:59,C10,60:60)+100</f>
        <v>100</v>
      </c>
      <c r="G10" s="415"/>
      <c r="H10" s="127">
        <f>SUMIF(59:59,G10,60:60)-SUMIF(59:59,C10,60:60)+100</f>
        <v>100</v>
      </c>
      <c r="I10" s="414"/>
      <c r="J10" s="127">
        <f>SUMIF(59:59,I10,60:60)-SUMIF(59:59,C10,60:60)+100</f>
        <v>100</v>
      </c>
      <c r="K10" s="603"/>
      <c r="L10" s="1123"/>
      <c r="M10" s="1124"/>
      <c r="N10" s="1124"/>
      <c r="O10" s="1125"/>
      <c r="P10" s="3285"/>
      <c r="Q10" s="1782" t="str">
        <f t="shared" si="6"/>
        <v>土地使用年限（年）</v>
      </c>
      <c r="R10" s="761" t="s">
        <v>17</v>
      </c>
      <c r="S10" s="762">
        <f t="shared" si="0"/>
        <v>100</v>
      </c>
      <c r="T10" s="761" t="s">
        <v>17</v>
      </c>
      <c r="U10" s="762">
        <f t="shared" si="1"/>
        <v>100</v>
      </c>
      <c r="V10" s="761" t="s">
        <v>17</v>
      </c>
      <c r="W10" s="762">
        <f t="shared" si="2"/>
        <v>100</v>
      </c>
      <c r="X10" s="763"/>
      <c r="Y10" s="3145"/>
      <c r="Z10" s="54" t="str">
        <f t="shared" si="7"/>
        <v>土地使用年限（年）</v>
      </c>
      <c r="AA10" s="764">
        <f t="shared" si="3"/>
        <v>1</v>
      </c>
      <c r="AB10" s="764">
        <f t="shared" si="4"/>
        <v>1</v>
      </c>
      <c r="AC10" s="764">
        <f t="shared" si="5"/>
        <v>1</v>
      </c>
    </row>
    <row r="11" spans="1:29" ht="15">
      <c r="A11" s="419"/>
      <c r="B11" s="413" t="s">
        <v>2548</v>
      </c>
      <c r="C11" s="420"/>
      <c r="D11" s="127">
        <v>100</v>
      </c>
      <c r="E11" s="420"/>
      <c r="F11" s="127" t="e">
        <f>LOOKUP(E11,62:62,63:63)-LOOKUP(C11,62:62,63:63)+100</f>
        <v>#N/A</v>
      </c>
      <c r="G11" s="421"/>
      <c r="H11" s="127" t="e">
        <f>LOOKUP(G11,62:62,63:63)-LOOKUP(C11,62:62,63:63)+100</f>
        <v>#N/A</v>
      </c>
      <c r="I11" s="420"/>
      <c r="J11" s="127" t="e">
        <f>LOOKUP(I11,62:62,63:63)-LOOKUP(C11,62:62,63:63)+100</f>
        <v>#N/A</v>
      </c>
      <c r="K11" s="603"/>
      <c r="L11" s="1126"/>
      <c r="M11" s="1119"/>
      <c r="N11" s="1119"/>
      <c r="O11" s="1127"/>
      <c r="P11" s="3285"/>
      <c r="Q11" s="1782" t="str">
        <f t="shared" si="6"/>
        <v>容积率</v>
      </c>
      <c r="R11" s="761" t="s">
        <v>17</v>
      </c>
      <c r="S11" s="762" t="e">
        <f t="shared" si="0"/>
        <v>#N/A</v>
      </c>
      <c r="T11" s="761" t="s">
        <v>17</v>
      </c>
      <c r="U11" s="762" t="e">
        <f t="shared" si="1"/>
        <v>#N/A</v>
      </c>
      <c r="V11" s="761" t="s">
        <v>17</v>
      </c>
      <c r="W11" s="762" t="e">
        <f t="shared" si="2"/>
        <v>#N/A</v>
      </c>
      <c r="X11" s="763"/>
      <c r="Y11" s="3145"/>
      <c r="Z11" s="54" t="str">
        <f t="shared" si="7"/>
        <v>容积率</v>
      </c>
      <c r="AA11" s="764" t="e">
        <f t="shared" si="3"/>
        <v>#N/A</v>
      </c>
      <c r="AB11" s="764" t="e">
        <f t="shared" si="4"/>
        <v>#N/A</v>
      </c>
      <c r="AC11" s="764" t="e">
        <f t="shared" si="5"/>
        <v>#N/A</v>
      </c>
    </row>
    <row r="12" spans="1:29" s="110" customFormat="1" ht="15">
      <c r="A12" s="422"/>
      <c r="B12" s="2590">
        <v>111</v>
      </c>
      <c r="C12" s="423"/>
      <c r="D12" s="424">
        <v>100</v>
      </c>
      <c r="E12" s="425"/>
      <c r="F12" s="127">
        <f>SUMIF(64:64,E12,65:65)-SUMIF(64:64,C12,65:65)+100</f>
        <v>100</v>
      </c>
      <c r="G12" s="2680"/>
      <c r="H12" s="127">
        <f>SUMIF(64:64,G12,65:65)-SUMIF(64:64,C12,65:65)+100</f>
        <v>100</v>
      </c>
      <c r="I12" s="460"/>
      <c r="J12" s="127">
        <f>SUMIF(64:64,I12,65:65)-SUMIF(64:64,C12,65:65)+100</f>
        <v>100</v>
      </c>
      <c r="K12" s="604"/>
      <c r="L12" s="1120"/>
      <c r="M12" s="1121"/>
      <c r="N12" s="1121"/>
      <c r="O12" s="1122"/>
      <c r="P12" s="3285"/>
      <c r="Q12" s="1782">
        <f t="shared" si="6"/>
        <v>111</v>
      </c>
      <c r="R12" s="761" t="s">
        <v>17</v>
      </c>
      <c r="S12" s="762">
        <f t="shared" si="0"/>
        <v>100</v>
      </c>
      <c r="T12" s="761" t="s">
        <v>17</v>
      </c>
      <c r="U12" s="762">
        <f t="shared" si="1"/>
        <v>100</v>
      </c>
      <c r="V12" s="761" t="s">
        <v>17</v>
      </c>
      <c r="W12" s="762">
        <f t="shared" si="2"/>
        <v>100</v>
      </c>
      <c r="X12" s="763"/>
      <c r="Y12" s="3145"/>
      <c r="Z12" s="54">
        <f t="shared" si="7"/>
        <v>111</v>
      </c>
      <c r="AA12" s="764">
        <f>D12/F12</f>
        <v>1</v>
      </c>
      <c r="AB12" s="764">
        <f>D12/H12</f>
        <v>1</v>
      </c>
      <c r="AC12" s="764">
        <f>D12/J12</f>
        <v>1</v>
      </c>
    </row>
    <row r="13" spans="1:29" ht="15">
      <c r="A13" s="419"/>
      <c r="B13" s="2590">
        <v>111</v>
      </c>
      <c r="C13" s="425"/>
      <c r="D13" s="426">
        <v>100</v>
      </c>
      <c r="E13" s="425"/>
      <c r="F13" s="127">
        <f>SUMIF(66:66,E13,67:67)-SUMIF(66:66,C13,67:67)+100</f>
        <v>100</v>
      </c>
      <c r="G13" s="2680"/>
      <c r="H13" s="426">
        <f>SUMIF(66:66,G13,67:67)-SUMIF(66:66,C13,67:67)+100</f>
        <v>100</v>
      </c>
      <c r="I13" s="460"/>
      <c r="J13" s="426">
        <f>SUMIF(66:66,I13,67:67)-SUMIF(66:66,C13,67:67)+100</f>
        <v>100</v>
      </c>
      <c r="K13" s="604"/>
      <c r="L13" s="1128"/>
      <c r="M13" s="1119"/>
      <c r="N13" s="1119"/>
      <c r="O13" s="1127"/>
      <c r="P13" s="3285"/>
      <c r="Q13" s="1782">
        <f t="shared" si="6"/>
        <v>111</v>
      </c>
      <c r="R13" s="761" t="s">
        <v>17</v>
      </c>
      <c r="S13" s="762">
        <f t="shared" si="0"/>
        <v>100</v>
      </c>
      <c r="T13" s="761" t="s">
        <v>17</v>
      </c>
      <c r="U13" s="762">
        <f t="shared" si="1"/>
        <v>100</v>
      </c>
      <c r="V13" s="761" t="s">
        <v>17</v>
      </c>
      <c r="W13" s="762">
        <f t="shared" si="2"/>
        <v>100</v>
      </c>
      <c r="X13" s="763"/>
      <c r="Y13" s="3145"/>
      <c r="Z13" s="54">
        <f t="shared" si="7"/>
        <v>111</v>
      </c>
      <c r="AA13" s="764">
        <f t="shared" si="3"/>
        <v>1</v>
      </c>
      <c r="AB13" s="764">
        <f t="shared" si="4"/>
        <v>1</v>
      </c>
      <c r="AC13" s="764">
        <f t="shared" si="5"/>
        <v>1</v>
      </c>
    </row>
    <row r="14" spans="1:29" ht="15.75" thickBot="1">
      <c r="A14" s="427"/>
      <c r="B14" s="2592">
        <v>111</v>
      </c>
      <c r="C14" s="428"/>
      <c r="D14" s="429">
        <v>100</v>
      </c>
      <c r="E14" s="428"/>
      <c r="F14" s="429">
        <f>SUMIF(68:68,E14,69:69)-SUMIF(68:68,C14,69:69)+100</f>
        <v>100</v>
      </c>
      <c r="G14" s="2680"/>
      <c r="H14" s="429">
        <f>SUMIF(68:68,G14,69:69)-SUMIF(68:68,C14,69:69)+100</f>
        <v>100</v>
      </c>
      <c r="I14" s="460"/>
      <c r="J14" s="429">
        <f>SUMIF(68:68,I14,69:69)-SUMIF(68:68,C14,69:69)+100</f>
        <v>100</v>
      </c>
      <c r="K14" s="604"/>
      <c r="L14" s="1128"/>
      <c r="M14" s="1119"/>
      <c r="N14" s="1119"/>
      <c r="O14" s="1127"/>
      <c r="P14" s="3285"/>
      <c r="Q14" s="1782">
        <f t="shared" si="6"/>
        <v>111</v>
      </c>
      <c r="R14" s="761" t="s">
        <v>17</v>
      </c>
      <c r="S14" s="762">
        <f t="shared" si="0"/>
        <v>100</v>
      </c>
      <c r="T14" s="761" t="s">
        <v>17</v>
      </c>
      <c r="U14" s="762">
        <f t="shared" si="1"/>
        <v>100</v>
      </c>
      <c r="V14" s="761" t="s">
        <v>17</v>
      </c>
      <c r="W14" s="762">
        <f t="shared" si="2"/>
        <v>100</v>
      </c>
      <c r="X14" s="763"/>
      <c r="Y14" s="3145"/>
      <c r="Z14" s="54">
        <f t="shared" si="7"/>
        <v>111</v>
      </c>
      <c r="AA14" s="764">
        <f t="shared" si="3"/>
        <v>1</v>
      </c>
      <c r="AB14" s="764">
        <f t="shared" si="4"/>
        <v>1</v>
      </c>
      <c r="AC14" s="764">
        <f t="shared" si="5"/>
        <v>1</v>
      </c>
    </row>
    <row r="15" spans="1:29" ht="15">
      <c r="A15" s="431" t="s">
        <v>2549</v>
      </c>
      <c r="B15" s="68" t="s">
        <v>2693</v>
      </c>
      <c r="C15" s="2681">
        <f>估价对象房地状况!G3</f>
        <v>0</v>
      </c>
      <c r="D15" s="432">
        <v>100</v>
      </c>
      <c r="E15" s="433"/>
      <c r="F15" s="434">
        <f>SUMIF(70:70,E16,71:71)-SUMIF(70:70,C16,71:71)+100</f>
        <v>100</v>
      </c>
      <c r="G15" s="435"/>
      <c r="H15" s="432">
        <f>SUMIF(70:70,G16,71:71)-SUMIF(70:70,C16,71:71)+100</f>
        <v>100</v>
      </c>
      <c r="I15" s="433"/>
      <c r="J15" s="432">
        <f>SUMIF(70:70,I16,71:71)-SUMIF(70:70,C16,71:71)+100</f>
        <v>100</v>
      </c>
      <c r="K15" s="605"/>
      <c r="L15" s="1128"/>
      <c r="M15" s="1119"/>
      <c r="N15" s="1119"/>
      <c r="O15" s="1127"/>
      <c r="P15" s="3300" t="s">
        <v>2550</v>
      </c>
      <c r="Q15" s="1797" t="str">
        <f t="shared" si="6"/>
        <v>产业集聚程度</v>
      </c>
      <c r="R15" s="765" t="s">
        <v>17</v>
      </c>
      <c r="S15" s="766">
        <f t="shared" si="0"/>
        <v>100</v>
      </c>
      <c r="T15" s="765" t="s">
        <v>17</v>
      </c>
      <c r="U15" s="766">
        <f t="shared" si="1"/>
        <v>100</v>
      </c>
      <c r="V15" s="765" t="s">
        <v>17</v>
      </c>
      <c r="W15" s="766">
        <f t="shared" si="2"/>
        <v>100</v>
      </c>
      <c r="X15" s="1800"/>
      <c r="Y15" s="3300" t="s">
        <v>2550</v>
      </c>
      <c r="Z15" s="1801" t="str">
        <f t="shared" si="7"/>
        <v>产业集聚程度</v>
      </c>
      <c r="AA15" s="1798">
        <f t="shared" si="3"/>
        <v>1</v>
      </c>
      <c r="AB15" s="1798">
        <f t="shared" si="4"/>
        <v>1</v>
      </c>
      <c r="AC15" s="1798">
        <f t="shared" si="5"/>
        <v>1</v>
      </c>
    </row>
    <row r="16" spans="1:29" ht="15">
      <c r="A16" s="419"/>
      <c r="B16" s="437"/>
      <c r="C16" s="438"/>
      <c r="D16" s="439"/>
      <c r="E16" s="438"/>
      <c r="F16" s="440"/>
      <c r="G16" s="438"/>
      <c r="H16" s="441"/>
      <c r="I16" s="438"/>
      <c r="J16" s="439"/>
      <c r="K16" s="606"/>
      <c r="L16" s="1128"/>
      <c r="M16" s="1119"/>
      <c r="N16" s="1119"/>
      <c r="O16" s="1127"/>
      <c r="P16" s="3301"/>
      <c r="Q16" s="1797"/>
      <c r="R16" s="765"/>
      <c r="S16" s="766"/>
      <c r="T16" s="765"/>
      <c r="U16" s="766"/>
      <c r="V16" s="765"/>
      <c r="W16" s="766"/>
      <c r="X16" s="1800"/>
      <c r="Y16" s="3301"/>
      <c r="Z16" s="1801"/>
      <c r="AA16" s="1798">
        <v>1</v>
      </c>
      <c r="AB16" s="1798">
        <v>1</v>
      </c>
      <c r="AC16" s="1798">
        <v>1</v>
      </c>
    </row>
    <row r="17" spans="1:29" ht="15">
      <c r="A17" s="419"/>
      <c r="B17" s="442" t="s">
        <v>2094</v>
      </c>
      <c r="C17" s="2597">
        <f>估价对象房地状况!G4</f>
        <v>0</v>
      </c>
      <c r="D17" s="441">
        <v>100</v>
      </c>
      <c r="E17" s="443"/>
      <c r="F17" s="444">
        <f>SUMIF(72:72,E18,73:73)-SUMIF(72:72,C18,73:73)+100</f>
        <v>100</v>
      </c>
      <c r="G17" s="445"/>
      <c r="H17" s="446">
        <f>SUMIF(72:72,G18,73:73)-SUMIF(72:72,C18,73:73)+100</f>
        <v>100</v>
      </c>
      <c r="I17" s="443"/>
      <c r="J17" s="446">
        <f>SUMIF(72:72,I18,73:73)-SUMIF(72:72,C18,73:73)+100</f>
        <v>100</v>
      </c>
      <c r="K17" s="605"/>
      <c r="L17" s="1128"/>
      <c r="M17" s="1119"/>
      <c r="N17" s="1119"/>
      <c r="O17" s="1127"/>
      <c r="P17" s="3301"/>
      <c r="Q17" s="1797" t="str">
        <f>B17</f>
        <v>交通便捷度</v>
      </c>
      <c r="R17" s="765" t="s">
        <v>17</v>
      </c>
      <c r="S17" s="766">
        <f>F17</f>
        <v>100</v>
      </c>
      <c r="T17" s="765" t="s">
        <v>17</v>
      </c>
      <c r="U17" s="766">
        <f>H17</f>
        <v>100</v>
      </c>
      <c r="V17" s="765" t="s">
        <v>17</v>
      </c>
      <c r="W17" s="766">
        <f>J17</f>
        <v>100</v>
      </c>
      <c r="X17" s="1800"/>
      <c r="Y17" s="3301"/>
      <c r="Z17" s="1801" t="str">
        <f>Q17</f>
        <v>交通便捷度</v>
      </c>
      <c r="AA17" s="1798">
        <f t="shared" si="3"/>
        <v>1</v>
      </c>
      <c r="AB17" s="1798">
        <f t="shared" si="4"/>
        <v>1</v>
      </c>
      <c r="AC17" s="1798">
        <f t="shared" si="5"/>
        <v>1</v>
      </c>
    </row>
    <row r="18" spans="1:29" ht="15">
      <c r="A18" s="419"/>
      <c r="B18" s="447"/>
      <c r="C18" s="2598"/>
      <c r="D18" s="441"/>
      <c r="E18" s="2600"/>
      <c r="F18" s="444"/>
      <c r="G18" s="2599"/>
      <c r="H18" s="439"/>
      <c r="I18" s="2600"/>
      <c r="J18" s="439"/>
      <c r="K18" s="606"/>
      <c r="L18" s="1128"/>
      <c r="M18" s="1119"/>
      <c r="N18" s="1119"/>
      <c r="O18" s="1127"/>
      <c r="P18" s="3301"/>
      <c r="Q18" s="1797"/>
      <c r="R18" s="765"/>
      <c r="S18" s="766"/>
      <c r="T18" s="765"/>
      <c r="U18" s="766"/>
      <c r="V18" s="765"/>
      <c r="W18" s="766"/>
      <c r="X18" s="1800"/>
      <c r="Y18" s="3301"/>
      <c r="Z18" s="1801"/>
      <c r="AA18" s="1798">
        <v>1</v>
      </c>
      <c r="AB18" s="1798">
        <v>1</v>
      </c>
      <c r="AC18" s="1798">
        <v>1</v>
      </c>
    </row>
    <row r="19" spans="1:29" ht="15">
      <c r="A19" s="419"/>
      <c r="B19" s="442" t="s">
        <v>2678</v>
      </c>
      <c r="C19" s="2597">
        <f>估价对象房地状况!G5</f>
        <v>0</v>
      </c>
      <c r="D19" s="446">
        <v>100</v>
      </c>
      <c r="E19" s="448"/>
      <c r="F19" s="449">
        <f>SUMIF(74:74,E20,75:75)-SUMIF(74:74,C20,75:75)+100</f>
        <v>100</v>
      </c>
      <c r="G19" s="450"/>
      <c r="H19" s="441">
        <f>SUMIF(74:74,G20,75:75)-SUMIF(74:74,C20,75:75)+100</f>
        <v>100</v>
      </c>
      <c r="I19" s="448"/>
      <c r="J19" s="441">
        <f>SUMIF(74:74,I20,75:75)-SUMIF(74:74,C20,75:75)+100</f>
        <v>100</v>
      </c>
      <c r="K19" s="605"/>
      <c r="L19" s="1128"/>
      <c r="M19" s="1119"/>
      <c r="N19" s="1119"/>
      <c r="O19" s="1127"/>
      <c r="P19" s="3301"/>
      <c r="Q19" s="1797" t="str">
        <f>B19</f>
        <v>公共配套设施</v>
      </c>
      <c r="R19" s="765" t="s">
        <v>17</v>
      </c>
      <c r="S19" s="766">
        <f>F19</f>
        <v>100</v>
      </c>
      <c r="T19" s="765" t="s">
        <v>17</v>
      </c>
      <c r="U19" s="766">
        <f>H19</f>
        <v>100</v>
      </c>
      <c r="V19" s="765" t="s">
        <v>17</v>
      </c>
      <c r="W19" s="766">
        <f>J19</f>
        <v>100</v>
      </c>
      <c r="X19" s="1800"/>
      <c r="Y19" s="3301"/>
      <c r="Z19" s="1801" t="str">
        <f>Q19</f>
        <v>公共配套设施</v>
      </c>
      <c r="AA19" s="1798">
        <f t="shared" si="3"/>
        <v>1</v>
      </c>
      <c r="AB19" s="1798">
        <f t="shared" si="4"/>
        <v>1</v>
      </c>
      <c r="AC19" s="1798">
        <f t="shared" si="5"/>
        <v>1</v>
      </c>
    </row>
    <row r="20" spans="1:29" ht="15">
      <c r="A20" s="419"/>
      <c r="B20" s="447"/>
      <c r="C20" s="438"/>
      <c r="D20" s="439"/>
      <c r="E20" s="2595"/>
      <c r="F20" s="440"/>
      <c r="G20" s="2594"/>
      <c r="H20" s="439"/>
      <c r="I20" s="2595"/>
      <c r="J20" s="439"/>
      <c r="K20" s="606"/>
      <c r="L20" s="1128"/>
      <c r="M20" s="1119"/>
      <c r="N20" s="1119"/>
      <c r="O20" s="1127"/>
      <c r="P20" s="3301"/>
      <c r="Q20" s="1797"/>
      <c r="R20" s="765"/>
      <c r="S20" s="766"/>
      <c r="T20" s="765"/>
      <c r="U20" s="766"/>
      <c r="V20" s="765"/>
      <c r="W20" s="766"/>
      <c r="X20" s="1800"/>
      <c r="Y20" s="3301"/>
      <c r="Z20" s="1801"/>
      <c r="AA20" s="1798">
        <v>1</v>
      </c>
      <c r="AB20" s="1798">
        <v>1</v>
      </c>
      <c r="AC20" s="1798">
        <v>1</v>
      </c>
    </row>
    <row r="21" spans="1:29" ht="15">
      <c r="A21" s="419"/>
      <c r="B21" s="1372" t="s">
        <v>2679</v>
      </c>
      <c r="C21" s="2597">
        <f>估价对象房地状况!G6</f>
        <v>0</v>
      </c>
      <c r="D21" s="441">
        <v>100</v>
      </c>
      <c r="E21" s="448"/>
      <c r="F21" s="449">
        <f>SUMIF(76:76,E22,77:77)-SUMIF(76:76,C22,77:77)+100</f>
        <v>100</v>
      </c>
      <c r="G21" s="450"/>
      <c r="H21" s="441">
        <f>SUMIF(76:76,G22,77:77)-SUMIF(76:76,C22,77:77)+100</f>
        <v>100</v>
      </c>
      <c r="I21" s="448"/>
      <c r="J21" s="441">
        <f>SUMIF(76:76,I22,77:77)-SUMIF(76:76,C22,77:77)+100</f>
        <v>100</v>
      </c>
      <c r="K21" s="605"/>
      <c r="L21" s="1128"/>
      <c r="M21" s="1119"/>
      <c r="N21" s="1119"/>
      <c r="O21" s="1127"/>
      <c r="P21" s="3301"/>
      <c r="Q21" s="1797" t="str">
        <f>B21</f>
        <v>基础设施水平</v>
      </c>
      <c r="R21" s="765" t="s">
        <v>17</v>
      </c>
      <c r="S21" s="766">
        <f>F21</f>
        <v>100</v>
      </c>
      <c r="T21" s="765" t="s">
        <v>17</v>
      </c>
      <c r="U21" s="766">
        <f>H21</f>
        <v>100</v>
      </c>
      <c r="V21" s="765" t="s">
        <v>17</v>
      </c>
      <c r="W21" s="766">
        <f>J21</f>
        <v>100</v>
      </c>
      <c r="X21" s="1800"/>
      <c r="Y21" s="3301"/>
      <c r="Z21" s="1801" t="str">
        <f>Q21</f>
        <v>基础设施水平</v>
      </c>
      <c r="AA21" s="1798">
        <f t="shared" ref="AA21" si="8">D21/F21</f>
        <v>1</v>
      </c>
      <c r="AB21" s="1798">
        <f t="shared" ref="AB21" si="9">D21/H21</f>
        <v>1</v>
      </c>
      <c r="AC21" s="1798">
        <f t="shared" ref="AC21" si="10">D21/J21</f>
        <v>1</v>
      </c>
    </row>
    <row r="22" spans="1:29" ht="15">
      <c r="A22" s="419"/>
      <c r="B22" s="1372"/>
      <c r="C22" s="2598"/>
      <c r="D22" s="439"/>
      <c r="E22" s="438"/>
      <c r="F22" s="440"/>
      <c r="G22" s="438"/>
      <c r="H22" s="439"/>
      <c r="I22" s="438"/>
      <c r="J22" s="439"/>
      <c r="K22" s="1371"/>
      <c r="L22" s="1128"/>
      <c r="M22" s="1119"/>
      <c r="N22" s="1119"/>
      <c r="O22" s="1127"/>
      <c r="P22" s="3301"/>
      <c r="Q22" s="1797"/>
      <c r="R22" s="765"/>
      <c r="S22" s="766"/>
      <c r="T22" s="765"/>
      <c r="U22" s="766"/>
      <c r="V22" s="765"/>
      <c r="W22" s="766"/>
      <c r="X22" s="1800"/>
      <c r="Y22" s="3301"/>
      <c r="Z22" s="1801"/>
      <c r="AA22" s="1798">
        <v>1</v>
      </c>
      <c r="AB22" s="1798">
        <v>1</v>
      </c>
      <c r="AC22" s="1798">
        <v>1</v>
      </c>
    </row>
    <row r="23" spans="1:29" ht="15">
      <c r="A23" s="419"/>
      <c r="B23" s="442" t="s">
        <v>2680</v>
      </c>
      <c r="C23" s="2597">
        <f>估价对象房地状况!G7</f>
        <v>0</v>
      </c>
      <c r="D23" s="441">
        <v>100</v>
      </c>
      <c r="E23" s="443"/>
      <c r="F23" s="444">
        <f>SUMIF(78:78,E24,79:79)-SUMIF(78:78,C24,79:79)+100</f>
        <v>100</v>
      </c>
      <c r="G23" s="445"/>
      <c r="H23" s="441">
        <f>SUMIF(78:78,G24,79:79)-SUMIF(78:78,C24,79:79)+100</f>
        <v>100</v>
      </c>
      <c r="I23" s="443"/>
      <c r="J23" s="441">
        <f>SUMIF(78:78,I24,79:79)-SUMIF(78:78,C24,79:79)+100</f>
        <v>100</v>
      </c>
      <c r="K23" s="605"/>
      <c r="L23" s="1128"/>
      <c r="M23" s="1119"/>
      <c r="N23" s="1119"/>
      <c r="O23" s="1127"/>
      <c r="P23" s="3301"/>
      <c r="Q23" s="1797" t="str">
        <f>B23</f>
        <v>环境质量</v>
      </c>
      <c r="R23" s="765" t="s">
        <v>17</v>
      </c>
      <c r="S23" s="766">
        <f>F23</f>
        <v>100</v>
      </c>
      <c r="T23" s="765" t="s">
        <v>17</v>
      </c>
      <c r="U23" s="766">
        <f>H23</f>
        <v>100</v>
      </c>
      <c r="V23" s="765" t="s">
        <v>17</v>
      </c>
      <c r="W23" s="766">
        <f>J23</f>
        <v>100</v>
      </c>
      <c r="X23" s="1800"/>
      <c r="Y23" s="3301"/>
      <c r="Z23" s="1801" t="str">
        <f>Q23</f>
        <v>环境质量</v>
      </c>
      <c r="AA23" s="1798">
        <f t="shared" si="3"/>
        <v>1</v>
      </c>
      <c r="AB23" s="1798">
        <f t="shared" si="4"/>
        <v>1</v>
      </c>
      <c r="AC23" s="1798">
        <f t="shared" si="5"/>
        <v>1</v>
      </c>
    </row>
    <row r="24" spans="1:29" ht="15">
      <c r="A24" s="419"/>
      <c r="B24" s="1372"/>
      <c r="C24" s="438"/>
      <c r="D24" s="439"/>
      <c r="E24" s="2595"/>
      <c r="F24" s="440"/>
      <c r="G24" s="2594"/>
      <c r="H24" s="439"/>
      <c r="I24" s="2595"/>
      <c r="J24" s="439"/>
      <c r="K24" s="606"/>
      <c r="L24" s="1128"/>
      <c r="M24" s="1119"/>
      <c r="N24" s="1119"/>
      <c r="O24" s="1127"/>
      <c r="P24" s="3301"/>
      <c r="Q24" s="1797"/>
      <c r="R24" s="765"/>
      <c r="S24" s="766"/>
      <c r="T24" s="765"/>
      <c r="U24" s="766"/>
      <c r="V24" s="765"/>
      <c r="W24" s="766"/>
      <c r="X24" s="1800"/>
      <c r="Y24" s="3301"/>
      <c r="Z24" s="1801"/>
      <c r="AA24" s="1798">
        <v>1</v>
      </c>
      <c r="AB24" s="1798">
        <v>1</v>
      </c>
      <c r="AC24" s="1798">
        <v>1</v>
      </c>
    </row>
    <row r="25" spans="1:29" ht="15">
      <c r="A25" s="395"/>
      <c r="B25" s="1374">
        <v>111</v>
      </c>
      <c r="C25" s="425">
        <v>111</v>
      </c>
      <c r="D25" s="426">
        <v>100</v>
      </c>
      <c r="E25" s="425"/>
      <c r="F25" s="452">
        <f>SUMIF(80:80,E25,81:81)-SUMIF(80:80,C25,81:81)+100</f>
        <v>100</v>
      </c>
      <c r="G25" s="425"/>
      <c r="H25" s="426">
        <f>SUMIF(80:80,G25,81:81)-SUMIF(80:80,C25,81:81)+100</f>
        <v>100</v>
      </c>
      <c r="I25" s="425"/>
      <c r="J25" s="426">
        <f>SUMIF(80:80,I25,81:81)-SUMIF(80:80,C25,81:81)+100</f>
        <v>100</v>
      </c>
      <c r="K25" s="604"/>
      <c r="L25" s="1128"/>
      <c r="M25" s="1119"/>
      <c r="N25" s="1119"/>
      <c r="O25" s="1127"/>
      <c r="P25" s="3301"/>
      <c r="Q25" s="1797">
        <f>B25</f>
        <v>111</v>
      </c>
      <c r="R25" s="765" t="s">
        <v>17</v>
      </c>
      <c r="S25" s="766">
        <f>F25</f>
        <v>100</v>
      </c>
      <c r="T25" s="765" t="s">
        <v>17</v>
      </c>
      <c r="U25" s="766">
        <f>H25</f>
        <v>100</v>
      </c>
      <c r="V25" s="765" t="s">
        <v>17</v>
      </c>
      <c r="W25" s="766">
        <f>J25</f>
        <v>100</v>
      </c>
      <c r="X25" s="1800"/>
      <c r="Y25" s="3301"/>
      <c r="Z25" s="1801">
        <f>Q25</f>
        <v>111</v>
      </c>
      <c r="AA25" s="1798">
        <f t="shared" si="3"/>
        <v>1</v>
      </c>
      <c r="AB25" s="1798">
        <f t="shared" si="4"/>
        <v>1</v>
      </c>
      <c r="AC25" s="1798">
        <f t="shared" si="5"/>
        <v>1</v>
      </c>
    </row>
    <row r="26" spans="1:29" ht="15">
      <c r="A26" s="419"/>
      <c r="B26" s="1374">
        <v>111</v>
      </c>
      <c r="C26" s="425">
        <v>111</v>
      </c>
      <c r="D26" s="426">
        <v>100</v>
      </c>
      <c r="E26" s="425"/>
      <c r="F26" s="452">
        <f>SUMIF(82:82,E26,83:83)-SUMIF(82:82,C26,83:83)+100</f>
        <v>100</v>
      </c>
      <c r="G26" s="425"/>
      <c r="H26" s="426">
        <f>SUMIF(82:82,G26,83:83)-SUMIF(82:82,C26,83:83)+100</f>
        <v>100</v>
      </c>
      <c r="I26" s="425"/>
      <c r="J26" s="426">
        <f>SUMIF(82:82,I26,83:83)-SUMIF(82:82,C26,83:83)+100</f>
        <v>100</v>
      </c>
      <c r="K26" s="604"/>
      <c r="L26" s="1128"/>
      <c r="M26" s="1119"/>
      <c r="N26" s="1119"/>
      <c r="O26" s="1127"/>
      <c r="P26" s="3301"/>
      <c r="Q26" s="1797">
        <f t="shared" ref="Q26:Q40" si="11">B26</f>
        <v>111</v>
      </c>
      <c r="R26" s="765" t="s">
        <v>17</v>
      </c>
      <c r="S26" s="766">
        <f>F26</f>
        <v>100</v>
      </c>
      <c r="T26" s="765" t="s">
        <v>17</v>
      </c>
      <c r="U26" s="766">
        <f>H26</f>
        <v>100</v>
      </c>
      <c r="V26" s="765" t="s">
        <v>17</v>
      </c>
      <c r="W26" s="766">
        <f>J26</f>
        <v>100</v>
      </c>
      <c r="X26" s="1800"/>
      <c r="Y26" s="3301"/>
      <c r="Z26" s="1801">
        <f>Q26</f>
        <v>111</v>
      </c>
      <c r="AA26" s="1798">
        <f t="shared" si="3"/>
        <v>1</v>
      </c>
      <c r="AB26" s="1798">
        <f t="shared" si="4"/>
        <v>1</v>
      </c>
      <c r="AC26" s="1798">
        <f t="shared" si="5"/>
        <v>1</v>
      </c>
    </row>
    <row r="27" spans="1:29" s="110" customFormat="1" ht="15">
      <c r="A27" s="422"/>
      <c r="B27" s="1374">
        <v>111</v>
      </c>
      <c r="C27" s="425">
        <v>111</v>
      </c>
      <c r="D27" s="453">
        <v>100</v>
      </c>
      <c r="E27" s="425"/>
      <c r="F27" s="455">
        <f>SUMIF(84:84,E27,85:85)-SUMIF(84:84,C27,85:85)+100</f>
        <v>100</v>
      </c>
      <c r="G27" s="425"/>
      <c r="H27" s="453">
        <f>SUMIF(84:84,G27,85:85)-SUMIF(84:84,C27,85:85)+100</f>
        <v>100</v>
      </c>
      <c r="I27" s="425"/>
      <c r="J27" s="453">
        <f>SUMIF(84:84,I27,85:85)-SUMIF(84:84,C27,85:85)+100</f>
        <v>100</v>
      </c>
      <c r="K27" s="604"/>
      <c r="L27" s="1120"/>
      <c r="M27" s="1121"/>
      <c r="N27" s="1121"/>
      <c r="O27" s="1122"/>
      <c r="P27" s="3301"/>
      <c r="Q27" s="1782">
        <f t="shared" si="11"/>
        <v>111</v>
      </c>
      <c r="R27" s="761" t="s">
        <v>17</v>
      </c>
      <c r="S27" s="762">
        <f>F27</f>
        <v>100</v>
      </c>
      <c r="T27" s="761" t="s">
        <v>17</v>
      </c>
      <c r="U27" s="762">
        <f>H27</f>
        <v>100</v>
      </c>
      <c r="V27" s="761" t="s">
        <v>17</v>
      </c>
      <c r="W27" s="762">
        <f>J27</f>
        <v>100</v>
      </c>
      <c r="X27" s="763"/>
      <c r="Y27" s="3301"/>
      <c r="Z27" s="54">
        <f>Q27</f>
        <v>111</v>
      </c>
      <c r="AA27" s="1798">
        <f>D27/F27</f>
        <v>1</v>
      </c>
      <c r="AB27" s="1798">
        <f>D27/H27</f>
        <v>1</v>
      </c>
      <c r="AC27" s="1798">
        <f>D27/J27</f>
        <v>1</v>
      </c>
    </row>
    <row r="28" spans="1:29" ht="15.75" thickBot="1">
      <c r="A28" s="427"/>
      <c r="B28" s="1374">
        <v>111</v>
      </c>
      <c r="C28" s="428">
        <v>111</v>
      </c>
      <c r="D28" s="429">
        <v>100</v>
      </c>
      <c r="E28" s="425"/>
      <c r="F28" s="430">
        <f>SUMIF(86:86,E28,87:87)-SUMIF(86:86,C28,87:87)+100</f>
        <v>100</v>
      </c>
      <c r="G28" s="460"/>
      <c r="H28" s="429">
        <f>SUMIF(86:86,G28,87:87)-SUMIF(86:86,C28,87:87)+100</f>
        <v>100</v>
      </c>
      <c r="I28" s="460"/>
      <c r="J28" s="429">
        <f>SUMIF(86:86,I28,87:87)-SUMIF(86:86,C28,87:87)+100</f>
        <v>100</v>
      </c>
      <c r="K28" s="604"/>
      <c r="L28" s="1128"/>
      <c r="M28" s="1119"/>
      <c r="N28" s="1119"/>
      <c r="O28" s="1127"/>
      <c r="P28" s="3301"/>
      <c r="Q28" s="1797">
        <f t="shared" si="11"/>
        <v>111</v>
      </c>
      <c r="R28" s="765" t="s">
        <v>17</v>
      </c>
      <c r="S28" s="766">
        <f t="shared" ref="S28:S40" si="12">F28</f>
        <v>100</v>
      </c>
      <c r="T28" s="765" t="s">
        <v>17</v>
      </c>
      <c r="U28" s="766">
        <f t="shared" ref="U28:U40" si="13">H28</f>
        <v>100</v>
      </c>
      <c r="V28" s="765" t="s">
        <v>17</v>
      </c>
      <c r="W28" s="766">
        <f t="shared" ref="W28:W40" si="14">J28</f>
        <v>100</v>
      </c>
      <c r="X28" s="1800"/>
      <c r="Y28" s="3301"/>
      <c r="Z28" s="1801">
        <f t="shared" ref="Z28:Z40" si="15">Q28</f>
        <v>111</v>
      </c>
      <c r="AA28" s="1798">
        <f t="shared" si="3"/>
        <v>1</v>
      </c>
      <c r="AB28" s="1798">
        <f t="shared" si="4"/>
        <v>1</v>
      </c>
      <c r="AC28" s="1798">
        <f t="shared" si="5"/>
        <v>1</v>
      </c>
    </row>
    <row r="29" spans="1:29" ht="15">
      <c r="A29" s="457" t="s">
        <v>2553</v>
      </c>
      <c r="B29" s="70" t="s">
        <v>2683</v>
      </c>
      <c r="C29" s="2667"/>
      <c r="D29" s="458">
        <v>100</v>
      </c>
      <c r="E29" s="2667"/>
      <c r="F29" s="452">
        <f>SUMIF(88:88,E29,89:89)-SUMIF(88:88,C29,89:89)+100</f>
        <v>100</v>
      </c>
      <c r="G29" s="2667"/>
      <c r="H29" s="426">
        <f>SUMIF(88:88,G29,89:89)-SUMIF(88:88,C29,89:89)+100</f>
        <v>100</v>
      </c>
      <c r="I29" s="2667"/>
      <c r="J29" s="458">
        <f>SUMIF(88:88,I29,89:89)-SUMIF(88:88,C29,89:89)+100</f>
        <v>100</v>
      </c>
      <c r="K29" s="603"/>
      <c r="L29" s="1128"/>
      <c r="M29" s="1119"/>
      <c r="N29" s="1119"/>
      <c r="O29" s="1127"/>
      <c r="P29" s="3302" t="s">
        <v>2555</v>
      </c>
      <c r="Q29" s="1797" t="str">
        <f t="shared" si="11"/>
        <v>建筑类型</v>
      </c>
      <c r="R29" s="765" t="s">
        <v>17</v>
      </c>
      <c r="S29" s="766">
        <f t="shared" si="12"/>
        <v>100</v>
      </c>
      <c r="T29" s="765" t="s">
        <v>17</v>
      </c>
      <c r="U29" s="766">
        <f t="shared" si="13"/>
        <v>100</v>
      </c>
      <c r="V29" s="765" t="s">
        <v>17</v>
      </c>
      <c r="W29" s="766">
        <f t="shared" si="14"/>
        <v>100</v>
      </c>
      <c r="X29" s="1800"/>
      <c r="Y29" s="3303" t="s">
        <v>2555</v>
      </c>
      <c r="Z29" s="1801" t="str">
        <f t="shared" si="15"/>
        <v>建筑类型</v>
      </c>
      <c r="AA29" s="1798">
        <f t="shared" si="3"/>
        <v>1</v>
      </c>
      <c r="AB29" s="1798">
        <f t="shared" si="4"/>
        <v>1</v>
      </c>
      <c r="AC29" s="1798">
        <f t="shared" si="5"/>
        <v>1</v>
      </c>
    </row>
    <row r="30" spans="1:29" s="462" customFormat="1" ht="15">
      <c r="A30" s="459"/>
      <c r="B30" s="413" t="s">
        <v>2556</v>
      </c>
      <c r="C30" s="460"/>
      <c r="D30" s="127">
        <v>100</v>
      </c>
      <c r="E30" s="421"/>
      <c r="F30" s="416" t="e">
        <f>LOOKUP(E30,91:91,92:92)-LOOKUP(C30,91:91,92:92)+100</f>
        <v>#N/A</v>
      </c>
      <c r="G30" s="420"/>
      <c r="H30" s="127" t="e">
        <f>LOOKUP(G30,91:91,92:92)-LOOKUP(C30,91:91,92:92)+100</f>
        <v>#N/A</v>
      </c>
      <c r="I30" s="420"/>
      <c r="J30" s="127" t="e">
        <f>LOOKUP(I30,91:91,92:92)-LOOKUP(C30,91:91,92:92)+100</f>
        <v>#N/A</v>
      </c>
      <c r="K30" s="604"/>
      <c r="L30" s="1126"/>
      <c r="M30" s="1129"/>
      <c r="N30" s="1129"/>
      <c r="O30" s="1130"/>
      <c r="P30" s="3303"/>
      <c r="Q30" s="767" t="str">
        <f t="shared" si="11"/>
        <v>项目建筑规模</v>
      </c>
      <c r="R30" s="768" t="s">
        <v>17</v>
      </c>
      <c r="S30" s="769" t="e">
        <f t="shared" si="12"/>
        <v>#N/A</v>
      </c>
      <c r="T30" s="768" t="s">
        <v>17</v>
      </c>
      <c r="U30" s="769" t="e">
        <f t="shared" si="13"/>
        <v>#N/A</v>
      </c>
      <c r="V30" s="768" t="s">
        <v>17</v>
      </c>
      <c r="W30" s="769" t="e">
        <f t="shared" si="14"/>
        <v>#N/A</v>
      </c>
      <c r="X30" s="770"/>
      <c r="Y30" s="3303"/>
      <c r="Z30" s="771" t="str">
        <f t="shared" si="15"/>
        <v>项目建筑规模</v>
      </c>
      <c r="AA30" s="1798" t="e">
        <f t="shared" si="3"/>
        <v>#N/A</v>
      </c>
      <c r="AB30" s="1798" t="e">
        <f t="shared" si="4"/>
        <v>#N/A</v>
      </c>
      <c r="AC30" s="1798" t="e">
        <f t="shared" si="5"/>
        <v>#N/A</v>
      </c>
    </row>
    <row r="31" spans="1:29" ht="15">
      <c r="A31" s="463"/>
      <c r="B31" s="413" t="s">
        <v>2557</v>
      </c>
      <c r="C31" s="451"/>
      <c r="D31" s="426">
        <v>100</v>
      </c>
      <c r="E31" s="451"/>
      <c r="F31" s="452">
        <f>SUMIF(93:93,E31,94:94)-SUMIF(93:93,C31,94:94)+100</f>
        <v>100</v>
      </c>
      <c r="G31" s="451"/>
      <c r="H31" s="426">
        <f>SUMIF(93:93,G31,94:94)-SUMIF(93:93,C31,94:94)+100</f>
        <v>100</v>
      </c>
      <c r="I31" s="451"/>
      <c r="J31" s="426">
        <f>SUMIF(93:93,I31,94:94)-SUMIF(93:93,C31,94:94)+100</f>
        <v>100</v>
      </c>
      <c r="K31" s="603"/>
      <c r="L31" s="1128"/>
      <c r="M31" s="1119"/>
      <c r="N31" s="1119"/>
      <c r="O31" s="1127"/>
      <c r="P31" s="3303"/>
      <c r="Q31" s="1797" t="str">
        <f t="shared" si="11"/>
        <v>建筑结构</v>
      </c>
      <c r="R31" s="765" t="s">
        <v>17</v>
      </c>
      <c r="S31" s="766">
        <f t="shared" si="12"/>
        <v>100</v>
      </c>
      <c r="T31" s="765" t="s">
        <v>17</v>
      </c>
      <c r="U31" s="766">
        <f t="shared" si="13"/>
        <v>100</v>
      </c>
      <c r="V31" s="765" t="s">
        <v>17</v>
      </c>
      <c r="W31" s="766">
        <f t="shared" si="14"/>
        <v>100</v>
      </c>
      <c r="X31" s="1800"/>
      <c r="Y31" s="3303"/>
      <c r="Z31" s="1801" t="str">
        <f t="shared" si="15"/>
        <v>建筑结构</v>
      </c>
      <c r="AA31" s="1798">
        <f t="shared" si="3"/>
        <v>1</v>
      </c>
      <c r="AB31" s="1798">
        <f t="shared" si="4"/>
        <v>1</v>
      </c>
      <c r="AC31" s="1798">
        <f t="shared" si="5"/>
        <v>1</v>
      </c>
    </row>
    <row r="32" spans="1:29" ht="15">
      <c r="A32" s="463"/>
      <c r="B32" s="413" t="s">
        <v>2651</v>
      </c>
      <c r="C32" s="451"/>
      <c r="D32" s="426">
        <v>100</v>
      </c>
      <c r="E32" s="451"/>
      <c r="F32" s="452">
        <f>SUMIF(95:95,E32,96:96)-SUMIF(95:95,C32,96:96)+100</f>
        <v>100</v>
      </c>
      <c r="G32" s="451"/>
      <c r="H32" s="426">
        <f>SUMIF(95:95,G32,96:96)-SUMIF(95:95,C32,96:96)+100</f>
        <v>100</v>
      </c>
      <c r="I32" s="451"/>
      <c r="J32" s="426">
        <f>SUMIF(95:95,I32,96:96)-SUMIF(95:95,C32,96:96)+100</f>
        <v>100</v>
      </c>
      <c r="K32" s="603"/>
      <c r="L32" s="1128"/>
      <c r="M32" s="1119"/>
      <c r="N32" s="1119"/>
      <c r="O32" s="1127"/>
      <c r="P32" s="3303"/>
      <c r="Q32" s="1797" t="str">
        <f t="shared" si="11"/>
        <v>公共部分装修</v>
      </c>
      <c r="R32" s="765" t="s">
        <v>17</v>
      </c>
      <c r="S32" s="766">
        <f t="shared" si="12"/>
        <v>100</v>
      </c>
      <c r="T32" s="765" t="s">
        <v>17</v>
      </c>
      <c r="U32" s="766">
        <f t="shared" si="13"/>
        <v>100</v>
      </c>
      <c r="V32" s="765" t="s">
        <v>17</v>
      </c>
      <c r="W32" s="766">
        <f t="shared" si="14"/>
        <v>100</v>
      </c>
      <c r="X32" s="1800"/>
      <c r="Y32" s="3303"/>
      <c r="Z32" s="1801" t="str">
        <f t="shared" si="15"/>
        <v>公共部分装修</v>
      </c>
      <c r="AA32" s="1798">
        <f t="shared" si="3"/>
        <v>1</v>
      </c>
      <c r="AB32" s="1798">
        <f t="shared" si="4"/>
        <v>1</v>
      </c>
      <c r="AC32" s="1798">
        <f t="shared" si="5"/>
        <v>1</v>
      </c>
    </row>
    <row r="33" spans="1:29" ht="15">
      <c r="A33" s="463"/>
      <c r="B33" s="413" t="s">
        <v>2652</v>
      </c>
      <c r="C33" s="460"/>
      <c r="D33" s="426">
        <v>100</v>
      </c>
      <c r="E33" s="465"/>
      <c r="F33" s="452" t="e">
        <f>LOOKUP(E33,98:98,99:99)-LOOKUP(C33,98:98,99:99)+100</f>
        <v>#N/A</v>
      </c>
      <c r="G33" s="465"/>
      <c r="H33" s="452" t="e">
        <f>LOOKUP(G33,98:98,99:99)-LOOKUP(C33,98:98,99:99)+100</f>
        <v>#N/A</v>
      </c>
      <c r="I33" s="465"/>
      <c r="J33" s="426" t="e">
        <f>LOOKUP(I33,98:98,99:99)-LOOKUP(C33,98:98,99:99)+100</f>
        <v>#N/A</v>
      </c>
      <c r="K33" s="603"/>
      <c r="L33" s="1128"/>
      <c r="M33" s="1119"/>
      <c r="N33" s="1119"/>
      <c r="O33" s="1127"/>
      <c r="P33" s="3303"/>
      <c r="Q33" s="1797" t="str">
        <f t="shared" si="11"/>
        <v>成新度</v>
      </c>
      <c r="R33" s="765" t="s">
        <v>17</v>
      </c>
      <c r="S33" s="766" t="e">
        <f t="shared" si="12"/>
        <v>#N/A</v>
      </c>
      <c r="T33" s="765" t="s">
        <v>17</v>
      </c>
      <c r="U33" s="766" t="e">
        <f t="shared" si="13"/>
        <v>#N/A</v>
      </c>
      <c r="V33" s="765" t="s">
        <v>17</v>
      </c>
      <c r="W33" s="766" t="e">
        <f t="shared" si="14"/>
        <v>#N/A</v>
      </c>
      <c r="X33" s="1800"/>
      <c r="Y33" s="3303"/>
      <c r="Z33" s="1801" t="str">
        <f t="shared" si="15"/>
        <v>成新度</v>
      </c>
      <c r="AA33" s="1798" t="e">
        <f t="shared" si="3"/>
        <v>#N/A</v>
      </c>
      <c r="AB33" s="1798" t="e">
        <f t="shared" si="4"/>
        <v>#N/A</v>
      </c>
      <c r="AC33" s="1798" t="e">
        <f t="shared" si="5"/>
        <v>#N/A</v>
      </c>
    </row>
    <row r="34" spans="1:29" s="110" customFormat="1" ht="15">
      <c r="A34" s="464"/>
      <c r="B34" s="413" t="s">
        <v>2685</v>
      </c>
      <c r="C34" s="451"/>
      <c r="D34" s="127">
        <v>100</v>
      </c>
      <c r="E34" s="451"/>
      <c r="F34" s="452">
        <f>SUMIF(100:100,E34,101:101)-SUMIF(100:100,C34,101:101)+100</f>
        <v>100</v>
      </c>
      <c r="G34" s="451"/>
      <c r="H34" s="426">
        <f>SUMIF(100:100,G34,101:101)-SUMIF(100:100,C34,101:101)+100</f>
        <v>100</v>
      </c>
      <c r="I34" s="451"/>
      <c r="J34" s="426">
        <f>SUMIF(100:100,I34,101:101)-SUMIF(100:100,C34,101:101)+100</f>
        <v>100</v>
      </c>
      <c r="K34" s="603"/>
      <c r="L34" s="1120"/>
      <c r="M34" s="1121"/>
      <c r="N34" s="1121"/>
      <c r="O34" s="1122"/>
      <c r="P34" s="3303"/>
      <c r="Q34" s="1782" t="str">
        <f t="shared" si="11"/>
        <v>物业管理</v>
      </c>
      <c r="R34" s="761" t="s">
        <v>17</v>
      </c>
      <c r="S34" s="762">
        <f t="shared" si="12"/>
        <v>100</v>
      </c>
      <c r="T34" s="761" t="s">
        <v>17</v>
      </c>
      <c r="U34" s="762">
        <f t="shared" si="13"/>
        <v>100</v>
      </c>
      <c r="V34" s="761" t="s">
        <v>17</v>
      </c>
      <c r="W34" s="762">
        <f t="shared" si="14"/>
        <v>100</v>
      </c>
      <c r="X34" s="763"/>
      <c r="Y34" s="3303"/>
      <c r="Z34" s="54" t="str">
        <f t="shared" si="15"/>
        <v>物业管理</v>
      </c>
      <c r="AA34" s="764">
        <f t="shared" si="3"/>
        <v>1</v>
      </c>
      <c r="AB34" s="764">
        <f t="shared" si="4"/>
        <v>1</v>
      </c>
      <c r="AC34" s="764">
        <f t="shared" si="5"/>
        <v>1</v>
      </c>
    </row>
    <row r="35" spans="1:29" ht="15">
      <c r="A35" s="463"/>
      <c r="B35" s="413" t="s">
        <v>2653</v>
      </c>
      <c r="C35" s="451"/>
      <c r="D35" s="426">
        <v>100</v>
      </c>
      <c r="E35" s="451"/>
      <c r="F35" s="452">
        <f>SUMIF(102:102,E35,103:103)-SUMIF(102:102,C35,103:103)+100</f>
        <v>100</v>
      </c>
      <c r="G35" s="451"/>
      <c r="H35" s="426">
        <f>SUMIF(102:102,G35,103:103)-SUMIF(102:102,C35,103:103)+100</f>
        <v>100</v>
      </c>
      <c r="I35" s="451"/>
      <c r="J35" s="426">
        <f>SUMIF(102:102,I35,103:103)-SUMIF(102:102,C35,103:103)+100</f>
        <v>100</v>
      </c>
      <c r="K35" s="603"/>
      <c r="L35" s="1128"/>
      <c r="M35" s="1119"/>
      <c r="N35" s="1119"/>
      <c r="O35" s="1127"/>
      <c r="P35" s="3303" t="s">
        <v>2555</v>
      </c>
      <c r="Q35" s="1797" t="str">
        <f t="shared" si="11"/>
        <v>市政基础设施</v>
      </c>
      <c r="R35" s="765" t="s">
        <v>17</v>
      </c>
      <c r="S35" s="766">
        <f t="shared" si="12"/>
        <v>100</v>
      </c>
      <c r="T35" s="765" t="s">
        <v>17</v>
      </c>
      <c r="U35" s="766">
        <f t="shared" si="13"/>
        <v>100</v>
      </c>
      <c r="V35" s="765" t="s">
        <v>17</v>
      </c>
      <c r="W35" s="766">
        <f t="shared" si="14"/>
        <v>100</v>
      </c>
      <c r="X35" s="1800"/>
      <c r="Y35" s="3303" t="s">
        <v>2555</v>
      </c>
      <c r="Z35" s="1801" t="str">
        <f t="shared" si="15"/>
        <v>市政基础设施</v>
      </c>
      <c r="AA35" s="1798">
        <f t="shared" si="3"/>
        <v>1</v>
      </c>
      <c r="AB35" s="1798">
        <f t="shared" si="4"/>
        <v>1</v>
      </c>
      <c r="AC35" s="1798">
        <f t="shared" si="5"/>
        <v>1</v>
      </c>
    </row>
    <row r="36" spans="1:29" ht="15">
      <c r="A36" s="463"/>
      <c r="B36" s="413" t="s">
        <v>2658</v>
      </c>
      <c r="C36" s="451"/>
      <c r="D36" s="426">
        <v>100</v>
      </c>
      <c r="E36" s="451"/>
      <c r="F36" s="452">
        <f>SUMIF(104:104,E36,105:105)-SUMIF(104:104,C36,105:105)+100</f>
        <v>100</v>
      </c>
      <c r="G36" s="451"/>
      <c r="H36" s="426">
        <f>SUMIF(104:104,G36,105:105)-SUMIF(104:104,C36,105:105)+100</f>
        <v>100</v>
      </c>
      <c r="I36" s="451"/>
      <c r="J36" s="426">
        <f>SUMIF(104:104,I36,105:105)-SUMIF(104:104,C36,105:105)+100</f>
        <v>100</v>
      </c>
      <c r="K36" s="603"/>
      <c r="L36" s="1128"/>
      <c r="M36" s="1119"/>
      <c r="N36" s="1119"/>
      <c r="O36" s="1127"/>
      <c r="P36" s="3303"/>
      <c r="Q36" s="1797" t="str">
        <f t="shared" si="11"/>
        <v>内部装修</v>
      </c>
      <c r="R36" s="765" t="s">
        <v>17</v>
      </c>
      <c r="S36" s="766">
        <f t="shared" si="12"/>
        <v>100</v>
      </c>
      <c r="T36" s="765" t="s">
        <v>17</v>
      </c>
      <c r="U36" s="766">
        <f t="shared" si="13"/>
        <v>100</v>
      </c>
      <c r="V36" s="765" t="s">
        <v>17</v>
      </c>
      <c r="W36" s="766">
        <f t="shared" si="14"/>
        <v>100</v>
      </c>
      <c r="X36" s="1800"/>
      <c r="Y36" s="3303"/>
      <c r="Z36" s="1801" t="str">
        <f t="shared" si="15"/>
        <v>内部装修</v>
      </c>
      <c r="AA36" s="1798">
        <f t="shared" si="3"/>
        <v>1</v>
      </c>
      <c r="AB36" s="1798">
        <f t="shared" si="4"/>
        <v>1</v>
      </c>
      <c r="AC36" s="1798">
        <f t="shared" si="5"/>
        <v>1</v>
      </c>
    </row>
    <row r="37" spans="1:29" ht="15">
      <c r="A37" s="463"/>
      <c r="B37" s="413" t="s">
        <v>2694</v>
      </c>
      <c r="C37" s="607"/>
      <c r="D37" s="426">
        <v>100</v>
      </c>
      <c r="E37" s="607"/>
      <c r="F37" s="452">
        <f>SUMIF(106:106,E37,107:107)-SUMIF(106:106,C37,107:107)+100</f>
        <v>100</v>
      </c>
      <c r="G37" s="607"/>
      <c r="H37" s="426">
        <f>SUMIF(106:106,G37,107:107)-SUMIF(106:106,C37,107:107)+100</f>
        <v>100</v>
      </c>
      <c r="I37" s="607"/>
      <c r="J37" s="426">
        <f>SUMIF(106:106,I37,107:107)-SUMIF(106:106,C37,107:107)+100</f>
        <v>100</v>
      </c>
      <c r="K37" s="603"/>
      <c r="L37" s="1128"/>
      <c r="M37" s="1119"/>
      <c r="N37" s="1119"/>
      <c r="O37" s="1127"/>
      <c r="P37" s="3303"/>
      <c r="Q37" s="1797" t="str">
        <f t="shared" si="11"/>
        <v>内部装修状况</v>
      </c>
      <c r="R37" s="765" t="s">
        <v>17</v>
      </c>
      <c r="S37" s="766">
        <f t="shared" si="12"/>
        <v>100</v>
      </c>
      <c r="T37" s="765" t="s">
        <v>17</v>
      </c>
      <c r="U37" s="766">
        <f t="shared" si="13"/>
        <v>100</v>
      </c>
      <c r="V37" s="765" t="s">
        <v>17</v>
      </c>
      <c r="W37" s="766">
        <f t="shared" si="14"/>
        <v>100</v>
      </c>
      <c r="X37" s="1800"/>
      <c r="Y37" s="3303"/>
      <c r="Z37" s="1801" t="str">
        <f t="shared" si="15"/>
        <v>内部装修状况</v>
      </c>
      <c r="AA37" s="1798">
        <f t="shared" si="3"/>
        <v>1</v>
      </c>
      <c r="AB37" s="1798">
        <f t="shared" si="4"/>
        <v>1</v>
      </c>
      <c r="AC37" s="1798">
        <f t="shared" si="5"/>
        <v>1</v>
      </c>
    </row>
    <row r="38" spans="1:29" s="462" customFormat="1" ht="15">
      <c r="A38" s="459"/>
      <c r="B38" s="1374">
        <v>111</v>
      </c>
      <c r="C38" s="460"/>
      <c r="D38" s="426">
        <v>100</v>
      </c>
      <c r="E38" s="425"/>
      <c r="F38" s="452">
        <f>SUMIF(108:108,E38,109:109)-SUMIF(108:108,C38,109:109)+100</f>
        <v>100</v>
      </c>
      <c r="G38" s="460"/>
      <c r="H38" s="426">
        <f>SUMIF(108:108,G38,109:109)-SUMIF(108:108,C38,109:109)+100</f>
        <v>100</v>
      </c>
      <c r="I38" s="460"/>
      <c r="J38" s="426">
        <f>SUMIF(108:108,I38,109:1038)-SUMIF(108:108,C38,109:109)+100</f>
        <v>100</v>
      </c>
      <c r="K38" s="604"/>
      <c r="L38" s="1126"/>
      <c r="M38" s="1129"/>
      <c r="N38" s="1129"/>
      <c r="O38" s="1130"/>
      <c r="P38" s="3303"/>
      <c r="Q38" s="767">
        <f t="shared" si="11"/>
        <v>111</v>
      </c>
      <c r="R38" s="768" t="s">
        <v>17</v>
      </c>
      <c r="S38" s="769">
        <f t="shared" si="12"/>
        <v>100</v>
      </c>
      <c r="T38" s="768" t="s">
        <v>17</v>
      </c>
      <c r="U38" s="769">
        <f t="shared" si="13"/>
        <v>100</v>
      </c>
      <c r="V38" s="768" t="s">
        <v>17</v>
      </c>
      <c r="W38" s="769">
        <f t="shared" si="14"/>
        <v>100</v>
      </c>
      <c r="X38" s="770"/>
      <c r="Y38" s="3303"/>
      <c r="Z38" s="771">
        <f t="shared" si="15"/>
        <v>111</v>
      </c>
      <c r="AA38" s="1798">
        <f t="shared" si="3"/>
        <v>1</v>
      </c>
      <c r="AB38" s="1798">
        <f t="shared" si="4"/>
        <v>1</v>
      </c>
      <c r="AC38" s="1798">
        <f t="shared" si="5"/>
        <v>1</v>
      </c>
    </row>
    <row r="39" spans="1:29" ht="15">
      <c r="A39" s="463"/>
      <c r="B39" s="1374">
        <v>111</v>
      </c>
      <c r="C39" s="460"/>
      <c r="D39" s="426">
        <v>100</v>
      </c>
      <c r="E39" s="425"/>
      <c r="F39" s="452">
        <f>SUMIF(110:110,E39,111:111)-SUMIF(110:110,C39,111:111)+100</f>
        <v>100</v>
      </c>
      <c r="G39" s="460"/>
      <c r="H39" s="426">
        <f>SUMIF(110:110,G39,111:111)-SUMIF(110:110,C39,111:111)+100</f>
        <v>100</v>
      </c>
      <c r="I39" s="460"/>
      <c r="J39" s="426">
        <f>SUMIF(110:110,I39,111:111)-SUMIF(110:110,C39,111:111)+100</f>
        <v>100</v>
      </c>
      <c r="K39" s="604"/>
      <c r="L39" s="1128"/>
      <c r="M39" s="1119"/>
      <c r="N39" s="1119"/>
      <c r="O39" s="1127"/>
      <c r="P39" s="3303"/>
      <c r="Q39" s="1797">
        <f t="shared" si="11"/>
        <v>111</v>
      </c>
      <c r="R39" s="765" t="s">
        <v>17</v>
      </c>
      <c r="S39" s="766">
        <f t="shared" si="12"/>
        <v>100</v>
      </c>
      <c r="T39" s="765" t="s">
        <v>17</v>
      </c>
      <c r="U39" s="766">
        <f t="shared" si="13"/>
        <v>100</v>
      </c>
      <c r="V39" s="765" t="s">
        <v>17</v>
      </c>
      <c r="W39" s="766">
        <f t="shared" si="14"/>
        <v>100</v>
      </c>
      <c r="X39" s="1800"/>
      <c r="Y39" s="3303"/>
      <c r="Z39" s="1801">
        <f t="shared" si="15"/>
        <v>111</v>
      </c>
      <c r="AA39" s="1798">
        <f t="shared" si="3"/>
        <v>1</v>
      </c>
      <c r="AB39" s="1798">
        <f t="shared" si="4"/>
        <v>1</v>
      </c>
      <c r="AC39" s="1798">
        <f t="shared" si="5"/>
        <v>1</v>
      </c>
    </row>
    <row r="40" spans="1:29" ht="15.75" thickBot="1">
      <c r="A40" s="469"/>
      <c r="B40" s="2592">
        <v>111</v>
      </c>
      <c r="C40" s="428"/>
      <c r="D40" s="429">
        <v>100</v>
      </c>
      <c r="E40" s="425"/>
      <c r="F40" s="430">
        <f>SUMIF(112:112,E40,113:113)-SUMIF(112:112,C40,113:113)+100</f>
        <v>100</v>
      </c>
      <c r="G40" s="460"/>
      <c r="H40" s="429">
        <f>SUMIF(112:112,G40,113:113)-SUMIF(112:112,C40,113:113)+100</f>
        <v>100</v>
      </c>
      <c r="I40" s="460"/>
      <c r="J40" s="429">
        <f>SUMIF(112:112,I40,113:113)-SUMIF(112:112,C40,113:113)+100</f>
        <v>100</v>
      </c>
      <c r="K40" s="604"/>
      <c r="L40" s="1128"/>
      <c r="M40" s="1119"/>
      <c r="N40" s="1119"/>
      <c r="O40" s="1127"/>
      <c r="P40" s="3317"/>
      <c r="Q40" s="1797">
        <f t="shared" si="11"/>
        <v>111</v>
      </c>
      <c r="R40" s="765" t="s">
        <v>17</v>
      </c>
      <c r="S40" s="766">
        <f t="shared" si="12"/>
        <v>100</v>
      </c>
      <c r="T40" s="765" t="s">
        <v>17</v>
      </c>
      <c r="U40" s="766">
        <f t="shared" si="13"/>
        <v>100</v>
      </c>
      <c r="V40" s="765" t="s">
        <v>17</v>
      </c>
      <c r="W40" s="766">
        <f t="shared" si="14"/>
        <v>100</v>
      </c>
      <c r="X40" s="1800"/>
      <c r="Y40" s="3317"/>
      <c r="Z40" s="1801">
        <f t="shared" si="15"/>
        <v>111</v>
      </c>
      <c r="AA40" s="1798">
        <f t="shared" si="3"/>
        <v>1</v>
      </c>
      <c r="AB40" s="1798">
        <f t="shared" si="4"/>
        <v>1</v>
      </c>
      <c r="AC40" s="1798">
        <f t="shared" si="5"/>
        <v>1</v>
      </c>
    </row>
    <row r="41" spans="1:29" ht="15">
      <c r="A41" s="470" t="s">
        <v>2567</v>
      </c>
      <c r="B41" s="471"/>
      <c r="C41" s="1395" t="s">
        <v>1</v>
      </c>
      <c r="D41" s="1396"/>
      <c r="E41" s="1397"/>
      <c r="F41" s="1398"/>
      <c r="G41" s="1399"/>
      <c r="H41" s="1400"/>
      <c r="I41" s="1397"/>
      <c r="J41" s="1400"/>
      <c r="K41" s="774"/>
      <c r="L41" s="1131"/>
      <c r="M41" s="1132"/>
      <c r="N41" s="1119"/>
      <c r="O41" s="1132"/>
      <c r="P41" s="3285" t="str">
        <f>A41</f>
        <v>成交单价（元/平方米）</v>
      </c>
      <c r="Q41" s="3285"/>
      <c r="R41" s="3313">
        <f>E41</f>
        <v>0</v>
      </c>
      <c r="S41" s="3313"/>
      <c r="T41" s="3313">
        <f>G41</f>
        <v>0</v>
      </c>
      <c r="U41" s="3313"/>
      <c r="V41" s="3313">
        <f>I41</f>
        <v>0</v>
      </c>
      <c r="W41" s="3313"/>
      <c r="X41" s="750"/>
      <c r="Y41" s="772"/>
      <c r="Z41" s="750"/>
      <c r="AA41" s="750"/>
      <c r="AB41" s="750"/>
      <c r="AC41" s="750"/>
    </row>
    <row r="42" spans="1:29" ht="15.75" thickBot="1">
      <c r="A42" s="477" t="s">
        <v>2659</v>
      </c>
      <c r="B42" s="478"/>
      <c r="C42" s="1401" t="e">
        <f>R43</f>
        <v>#DIV/0!</v>
      </c>
      <c r="D42" s="1402"/>
      <c r="E42" s="1403" t="e">
        <f>R42</f>
        <v>#DIV/0!</v>
      </c>
      <c r="F42" s="1403"/>
      <c r="G42" s="1401" t="e">
        <f>T42</f>
        <v>#DIV/0!</v>
      </c>
      <c r="H42" s="1402"/>
      <c r="I42" s="1403" t="e">
        <f>V42</f>
        <v>#DIV/0!</v>
      </c>
      <c r="J42" s="1402"/>
      <c r="K42" s="775"/>
      <c r="L42" s="1131"/>
      <c r="M42" s="1132"/>
      <c r="N42" s="1119"/>
      <c r="O42" s="1132"/>
      <c r="P42" s="3285" t="str">
        <f>A42</f>
        <v>比较价值（元/平方米）</v>
      </c>
      <c r="Q42" s="3285"/>
      <c r="R42" s="3313" t="e">
        <f>IF(F1="售价",ROUND(PRODUCT(R41,AA7:AA40),0),ROUND(PRODUCT(R41,AA7:AA40),1))</f>
        <v>#DIV/0!</v>
      </c>
      <c r="S42" s="3313"/>
      <c r="T42" s="3313" t="e">
        <f>IF(F1="售价",ROUND(PRODUCT(T41,AB7:AB40),0),ROUND(PRODUCT(T41,AB7:AB40),1))</f>
        <v>#DIV/0!</v>
      </c>
      <c r="U42" s="3313"/>
      <c r="V42" s="3313" t="e">
        <f>IF(F1="售价",ROUND(PRODUCT(V41,AC7:AC40),0),ROUND(PRODUCT(V41,AC7:AC40),1))</f>
        <v>#DIV/0!</v>
      </c>
      <c r="W42" s="3313"/>
      <c r="X42" s="750"/>
      <c r="Y42" s="750"/>
      <c r="Z42" s="750"/>
      <c r="AA42" s="750"/>
      <c r="AB42" s="750"/>
      <c r="AC42" s="750"/>
    </row>
    <row r="43" spans="1:29" ht="15.75" thickBot="1">
      <c r="A43" s="483" t="s">
        <v>2660</v>
      </c>
      <c r="B43" s="484"/>
      <c r="C43" s="1405" t="e">
        <f>R43</f>
        <v>#DIV/0!</v>
      </c>
      <c r="D43" s="1405"/>
      <c r="E43" s="1405"/>
      <c r="F43" s="1405"/>
      <c r="G43" s="1405"/>
      <c r="H43" s="1405"/>
      <c r="I43" s="1405"/>
      <c r="J43" s="1405"/>
      <c r="K43" s="776"/>
      <c r="L43" s="1131"/>
      <c r="M43" s="1132"/>
      <c r="N43" s="1132"/>
      <c r="O43" s="1132"/>
      <c r="P43" s="3305" t="str">
        <f>A43</f>
        <v>估价对象XX用房的比较价值（楼面单价，元/平方米）</v>
      </c>
      <c r="Q43" s="3306"/>
      <c r="R43" s="3312" t="e">
        <f>IF(F1="售价",ROUND(AVERAGE(R42:V42),0),ROUND(AVERAGE(R42:V42),1))</f>
        <v>#DIV/0!</v>
      </c>
      <c r="S43" s="3312"/>
      <c r="T43" s="3312"/>
      <c r="U43" s="3312"/>
      <c r="V43" s="3312"/>
      <c r="W43" s="3312"/>
      <c r="X43" s="750"/>
      <c r="Y43" s="750"/>
      <c r="Z43" s="750"/>
      <c r="AA43" s="750"/>
      <c r="AB43" s="750"/>
      <c r="AC43" s="750"/>
    </row>
    <row r="44" spans="1:29">
      <c r="A44" s="1132"/>
      <c r="B44" s="1132"/>
      <c r="C44" s="1132"/>
      <c r="D44" s="1132"/>
      <c r="E44" s="1132"/>
      <c r="F44" s="1132"/>
      <c r="G44" s="1135"/>
      <c r="H44" s="1132"/>
      <c r="I44" s="1132"/>
      <c r="J44" s="1132"/>
      <c r="K44" s="1093"/>
      <c r="L44" s="1094"/>
      <c r="M44" s="1132"/>
      <c r="N44" s="1132"/>
      <c r="O44" s="1132"/>
    </row>
    <row r="45" spans="1:29">
      <c r="A45" s="1132"/>
      <c r="B45" s="1132"/>
      <c r="C45" s="1132"/>
      <c r="D45" s="1132"/>
      <c r="E45" s="1132"/>
      <c r="F45" s="1132"/>
      <c r="G45" s="1132"/>
      <c r="H45" s="1132"/>
      <c r="I45" s="1132"/>
      <c r="J45" s="1132"/>
      <c r="K45" s="1093"/>
      <c r="L45" s="1094"/>
      <c r="M45" s="1132"/>
      <c r="N45" s="1132"/>
      <c r="O45" s="1132"/>
    </row>
    <row r="46" spans="1:29" ht="13.5" customHeight="1">
      <c r="A46" s="1132"/>
      <c r="B46" s="1132"/>
      <c r="C46" s="488" t="s">
        <v>2661</v>
      </c>
      <c r="D46" s="489"/>
      <c r="E46" s="490" t="e">
        <f>IF(E41&lt;E42,E42/E41-1,E41/E42-1)</f>
        <v>#DIV/0!</v>
      </c>
      <c r="F46" s="491" t="e">
        <f>IF(OR(E46&gt;=0.3,E46&lt;=-0.3),"超过30%","")</f>
        <v>#DIV/0!</v>
      </c>
      <c r="G46" s="490" t="e">
        <f>IF(G41&lt;G42,G42/G41-1,G41/G42-1)</f>
        <v>#DIV/0!</v>
      </c>
      <c r="H46" s="491" t="e">
        <f>IF(OR(G46&gt;=0.3,G46&lt;=-0.3),"超过30%","")</f>
        <v>#DIV/0!</v>
      </c>
      <c r="I46" s="490" t="e">
        <f>IF(I41&lt;I42,I42/I41-1,I41/I42-1)</f>
        <v>#DIV/0!</v>
      </c>
      <c r="J46" s="491" t="e">
        <f>IF(OR(I46&gt;=0.3,I46&lt;=-0.3),"超过30%","")</f>
        <v>#DIV/0!</v>
      </c>
      <c r="K46" s="1093"/>
      <c r="L46" s="1094"/>
      <c r="M46" s="1132"/>
      <c r="N46" s="1132"/>
      <c r="O46" s="1132"/>
    </row>
    <row r="47" spans="1:29" ht="13.5" customHeight="1">
      <c r="A47" s="1132"/>
      <c r="B47" s="1132"/>
      <c r="C47" s="488" t="s">
        <v>2662</v>
      </c>
      <c r="D47" s="492"/>
      <c r="E47" s="490" t="e">
        <f>IF(E42&lt;G42,G42/E42-1,E42/G42-1)</f>
        <v>#DIV/0!</v>
      </c>
      <c r="F47" s="491" t="e">
        <f>IF(OR(E47&gt;=0.2,E47&lt;=-0.2),"超过20%","")</f>
        <v>#DIV/0!</v>
      </c>
      <c r="G47" s="490" t="e">
        <f>IF(G42&lt;I42,I42/G42-1,G42/I42-1)</f>
        <v>#DIV/0!</v>
      </c>
      <c r="H47" s="491" t="e">
        <f>IF(OR(G47&gt;=0.2,G47&lt;=-0.2),"超过20%","")</f>
        <v>#DIV/0!</v>
      </c>
      <c r="I47" s="490" t="e">
        <f>IF(I42&lt;E42,E42/I42-1,I42/E42-1)</f>
        <v>#DIV/0!</v>
      </c>
      <c r="J47" s="491" t="e">
        <f>IF(OR(I47&gt;=0.2,I47&lt;=-0.2),"超过20%","")</f>
        <v>#DIV/0!</v>
      </c>
      <c r="K47" s="1093"/>
      <c r="L47" s="1094"/>
      <c r="M47" s="1132"/>
      <c r="N47" s="1132"/>
      <c r="O47" s="1132"/>
    </row>
    <row r="48" spans="1:29" s="493" customFormat="1" ht="13.5" customHeight="1">
      <c r="A48" s="1133"/>
      <c r="B48" s="1133"/>
      <c r="C48" s="488" t="s">
        <v>2663</v>
      </c>
      <c r="D48" s="492"/>
      <c r="E48" s="490" t="e">
        <f>IF(E41&lt;G41,G41/E41-1,E41/G41-1)</f>
        <v>#DIV/0!</v>
      </c>
      <c r="F48" s="491" t="e">
        <f>IF(OR(E48&gt;=0.3,E48&lt;=-0.3),"超过30%","")</f>
        <v>#DIV/0!</v>
      </c>
      <c r="G48" s="490" t="e">
        <f>IF(G41&lt;I41,I41/G41-1,G41/I41-1)</f>
        <v>#DIV/0!</v>
      </c>
      <c r="H48" s="491" t="e">
        <f>IF(OR(G48&gt;=0.3,G48&lt;=-0.3),"超过30%","")</f>
        <v>#DIV/0!</v>
      </c>
      <c r="I48" s="490" t="e">
        <f>IF(I41&lt;E41,E41/I41-1,I41/E41-1)</f>
        <v>#DIV/0!</v>
      </c>
      <c r="J48" s="491" t="e">
        <f>IF(OR(I48&gt;=0.3,I48&lt;=-0.3),"超过30%","")</f>
        <v>#DIV/0!</v>
      </c>
      <c r="K48" s="1136"/>
      <c r="L48" s="1137"/>
      <c r="M48" s="1133"/>
      <c r="N48" s="1133"/>
      <c r="O48" s="1133"/>
    </row>
    <row r="49" spans="1:17" s="493" customFormat="1">
      <c r="A49" s="1133"/>
      <c r="B49" s="1134"/>
      <c r="C49" s="1138"/>
      <c r="D49" s="1133"/>
      <c r="E49" s="1133"/>
      <c r="F49" s="1133"/>
      <c r="G49" s="1133"/>
      <c r="H49" s="1133"/>
      <c r="I49" s="1133"/>
      <c r="J49" s="1133"/>
      <c r="K49" s="1136"/>
      <c r="L49" s="1137"/>
      <c r="M49" s="1133"/>
      <c r="N49" s="1133"/>
      <c r="O49" s="1133"/>
    </row>
    <row r="50" spans="1:17">
      <c r="A50" s="1132"/>
      <c r="B50" s="1134"/>
      <c r="C50" s="1138"/>
      <c r="D50" s="1132"/>
      <c r="E50" s="1132"/>
      <c r="F50" s="1132"/>
      <c r="G50" s="1132"/>
      <c r="H50" s="1132"/>
      <c r="I50" s="1132"/>
      <c r="J50" s="1132"/>
      <c r="K50" s="1093"/>
      <c r="L50" s="1094"/>
      <c r="M50" s="1132"/>
      <c r="N50" s="1132"/>
      <c r="O50" s="1132"/>
    </row>
    <row r="51" spans="1:17" ht="21.75" thickBot="1">
      <c r="A51" s="754" t="s">
        <v>2664</v>
      </c>
      <c r="B51" s="750"/>
      <c r="C51" s="755"/>
      <c r="D51" s="755"/>
      <c r="E51" s="755"/>
      <c r="F51" s="756"/>
      <c r="G51" s="756"/>
      <c r="H51" s="755"/>
      <c r="I51" s="755"/>
      <c r="J51" s="755"/>
      <c r="K51" s="1148"/>
      <c r="L51" s="1149"/>
      <c r="M51" s="1147"/>
      <c r="N51" s="1147"/>
      <c r="O51" s="1147"/>
      <c r="P51" s="494"/>
      <c r="Q51" s="495"/>
    </row>
    <row r="52" spans="1:17" s="499" customFormat="1" ht="15">
      <c r="A52" s="496" t="s">
        <v>2538</v>
      </c>
      <c r="B52" s="497"/>
      <c r="C52" s="1561" t="str">
        <f>YEAR(C7)&amp;"-"&amp;MONTH(C7)</f>
        <v>2019-2</v>
      </c>
      <c r="D52" s="1562">
        <f>EDATE(C52,-1)</f>
        <v>43466</v>
      </c>
      <c r="E52" s="1562">
        <f t="shared" ref="E52:O52" si="16">EDATE(D52,-1)</f>
        <v>43435</v>
      </c>
      <c r="F52" s="1562">
        <f t="shared" si="16"/>
        <v>43405</v>
      </c>
      <c r="G52" s="1562">
        <f t="shared" si="16"/>
        <v>43374</v>
      </c>
      <c r="H52" s="1562">
        <f t="shared" si="16"/>
        <v>43344</v>
      </c>
      <c r="I52" s="1562">
        <f t="shared" si="16"/>
        <v>43313</v>
      </c>
      <c r="J52" s="1562">
        <f t="shared" si="16"/>
        <v>43282</v>
      </c>
      <c r="K52" s="1562">
        <f t="shared" si="16"/>
        <v>43252</v>
      </c>
      <c r="L52" s="1562">
        <f t="shared" si="16"/>
        <v>43221</v>
      </c>
      <c r="M52" s="1562">
        <f t="shared" si="16"/>
        <v>43191</v>
      </c>
      <c r="N52" s="1562">
        <f t="shared" si="16"/>
        <v>43160</v>
      </c>
      <c r="O52" s="1562">
        <f t="shared" si="16"/>
        <v>43132</v>
      </c>
      <c r="P52" s="498"/>
    </row>
    <row r="53" spans="1:17" s="110" customFormat="1" ht="15">
      <c r="A53" s="500"/>
      <c r="B53" s="501"/>
      <c r="C53" s="1560">
        <v>100</v>
      </c>
      <c r="D53" s="503"/>
      <c r="E53" s="503"/>
      <c r="F53" s="503"/>
      <c r="G53" s="503"/>
      <c r="H53" s="503"/>
      <c r="I53" s="503"/>
      <c r="J53" s="503"/>
      <c r="K53" s="503"/>
      <c r="L53" s="503"/>
      <c r="M53" s="504"/>
      <c r="N53" s="503"/>
      <c r="O53" s="505"/>
      <c r="P53" s="495"/>
    </row>
    <row r="54" spans="1:17" s="110" customFormat="1" ht="15.75" thickBot="1">
      <c r="A54" s="506" t="s">
        <v>2575</v>
      </c>
      <c r="B54" s="507"/>
      <c r="C54" s="508"/>
      <c r="D54" s="509"/>
      <c r="E54" s="509"/>
      <c r="F54" s="509"/>
      <c r="G54" s="509"/>
      <c r="H54" s="509"/>
      <c r="I54" s="509"/>
      <c r="J54" s="509"/>
      <c r="K54" s="509"/>
      <c r="L54" s="509"/>
      <c r="M54" s="510"/>
      <c r="N54" s="509"/>
      <c r="O54" s="511"/>
      <c r="P54" s="495"/>
      <c r="Q54" s="495"/>
    </row>
    <row r="55" spans="1:17" s="110" customFormat="1" ht="15">
      <c r="A55" s="512" t="s">
        <v>2540</v>
      </c>
      <c r="B55" s="501"/>
      <c r="C55" s="513" t="s">
        <v>2642</v>
      </c>
      <c r="D55" s="514"/>
      <c r="E55" s="514"/>
      <c r="F55" s="514"/>
      <c r="G55" s="514"/>
      <c r="H55" s="514"/>
      <c r="I55" s="514"/>
      <c r="J55" s="514"/>
      <c r="K55" s="514"/>
      <c r="L55" s="515"/>
      <c r="M55" s="516"/>
      <c r="N55" s="1139"/>
      <c r="O55" s="1139"/>
      <c r="P55" s="517"/>
      <c r="Q55" s="495"/>
    </row>
    <row r="56" spans="1:17" s="110" customFormat="1" ht="15.75" thickBot="1">
      <c r="A56" s="512"/>
      <c r="B56" s="501"/>
      <c r="C56" s="630">
        <v>100</v>
      </c>
      <c r="D56" s="503"/>
      <c r="E56" s="503"/>
      <c r="F56" s="503"/>
      <c r="G56" s="503"/>
      <c r="H56" s="503"/>
      <c r="I56" s="503"/>
      <c r="J56" s="503"/>
      <c r="K56" s="503"/>
      <c r="L56" s="503"/>
      <c r="M56" s="505"/>
      <c r="N56" s="1139"/>
      <c r="O56" s="1139"/>
      <c r="P56" s="495"/>
      <c r="Q56" s="495"/>
    </row>
    <row r="57" spans="1:17">
      <c r="A57" s="518" t="s">
        <v>2578</v>
      </c>
      <c r="B57" s="519" t="s">
        <v>2544</v>
      </c>
      <c r="C57" s="520">
        <f>C9</f>
        <v>0</v>
      </c>
      <c r="D57" s="521"/>
      <c r="E57" s="521"/>
      <c r="F57" s="521"/>
      <c r="G57" s="521"/>
      <c r="H57" s="521"/>
      <c r="I57" s="521"/>
      <c r="J57" s="521"/>
      <c r="K57" s="522"/>
      <c r="L57" s="523"/>
      <c r="M57" s="524"/>
      <c r="N57" s="1140"/>
      <c r="O57" s="1140"/>
      <c r="P57" s="45"/>
      <c r="Q57" s="495"/>
    </row>
    <row r="58" spans="1:17" ht="15.75" thickBot="1">
      <c r="A58" s="525"/>
      <c r="B58" s="526"/>
      <c r="C58" s="527">
        <v>100</v>
      </c>
      <c r="D58" s="527"/>
      <c r="E58" s="527"/>
      <c r="F58" s="527"/>
      <c r="G58" s="527"/>
      <c r="H58" s="527"/>
      <c r="I58" s="527"/>
      <c r="J58" s="527"/>
      <c r="K58" s="527"/>
      <c r="L58" s="527"/>
      <c r="M58" s="528"/>
      <c r="N58" s="1141"/>
      <c r="O58" s="1141"/>
      <c r="P58" s="45"/>
      <c r="Q58" s="495"/>
    </row>
    <row r="59" spans="1:17" ht="27.75" thickTop="1">
      <c r="A59" s="525"/>
      <c r="B59" s="529" t="s">
        <v>2547</v>
      </c>
      <c r="C59" s="530" t="s">
        <v>2579</v>
      </c>
      <c r="D59" s="530" t="s">
        <v>2580</v>
      </c>
      <c r="E59" s="530" t="s">
        <v>2581</v>
      </c>
      <c r="F59" s="530" t="s">
        <v>2582</v>
      </c>
      <c r="G59" s="530" t="s">
        <v>2583</v>
      </c>
      <c r="H59" s="530" t="s">
        <v>2584</v>
      </c>
      <c r="I59" s="530" t="s">
        <v>2585</v>
      </c>
      <c r="J59" s="530"/>
      <c r="K59" s="531"/>
      <c r="L59" s="532"/>
      <c r="M59" s="533"/>
      <c r="N59" s="1140"/>
      <c r="O59" s="1140"/>
      <c r="P59" s="45"/>
      <c r="Q59" s="495"/>
    </row>
    <row r="60" spans="1:17" ht="15.75" thickBot="1">
      <c r="A60" s="525"/>
      <c r="B60" s="534"/>
      <c r="C60" s="535" t="s">
        <v>24</v>
      </c>
      <c r="D60" s="535" t="s">
        <v>25</v>
      </c>
      <c r="E60" s="535">
        <v>100</v>
      </c>
      <c r="F60" s="535">
        <f>E60-$K10</f>
        <v>100</v>
      </c>
      <c r="G60" s="535">
        <f>F60-$K10</f>
        <v>100</v>
      </c>
      <c r="H60" s="535">
        <f>G60-$K10</f>
        <v>100</v>
      </c>
      <c r="I60" s="535">
        <f>H60-$K10</f>
        <v>100</v>
      </c>
      <c r="J60" s="535"/>
      <c r="K60" s="535"/>
      <c r="L60" s="535"/>
      <c r="M60" s="536"/>
      <c r="N60" s="1141"/>
      <c r="O60" s="1141"/>
      <c r="P60" s="45"/>
      <c r="Q60" s="495"/>
    </row>
    <row r="61" spans="1:17" ht="15.75" thickTop="1">
      <c r="A61" s="525"/>
      <c r="B61" s="537" t="s">
        <v>2548</v>
      </c>
      <c r="C61" s="538" t="str">
        <f>C62&amp;"（含）"&amp;"-"&amp;D62</f>
        <v>（含）-</v>
      </c>
      <c r="D61" s="538" t="str">
        <f t="shared" ref="D61:L61" si="17">D62&amp;"（含）"&amp;"-"&amp;E62</f>
        <v>（含）-</v>
      </c>
      <c r="E61" s="538" t="str">
        <f t="shared" si="17"/>
        <v>（含）-</v>
      </c>
      <c r="F61" s="538" t="str">
        <f t="shared" si="17"/>
        <v>（含）-</v>
      </c>
      <c r="G61" s="538" t="str">
        <f t="shared" si="17"/>
        <v>（含）-</v>
      </c>
      <c r="H61" s="538" t="str">
        <f t="shared" si="17"/>
        <v>（含）-</v>
      </c>
      <c r="I61" s="538" t="str">
        <f t="shared" si="17"/>
        <v>（含）-</v>
      </c>
      <c r="J61" s="538" t="str">
        <f t="shared" si="17"/>
        <v>（含）-</v>
      </c>
      <c r="K61" s="538" t="str">
        <f t="shared" si="17"/>
        <v>（含）-</v>
      </c>
      <c r="L61" s="538" t="str">
        <f t="shared" si="17"/>
        <v>（含）-</v>
      </c>
      <c r="M61" s="439" t="str">
        <f>M62&amp;"（含）"&amp;"-"&amp;P62</f>
        <v>（含）-</v>
      </c>
      <c r="N61" s="1141"/>
      <c r="O61" s="1141"/>
      <c r="P61" s="45"/>
      <c r="Q61" s="495"/>
    </row>
    <row r="62" spans="1:17" ht="15">
      <c r="A62" s="525"/>
      <c r="B62" s="539"/>
      <c r="C62" s="540"/>
      <c r="D62" s="540"/>
      <c r="E62" s="540"/>
      <c r="F62" s="540"/>
      <c r="G62" s="540"/>
      <c r="H62" s="540"/>
      <c r="I62" s="540"/>
      <c r="J62" s="540"/>
      <c r="K62" s="541"/>
      <c r="L62" s="542"/>
      <c r="M62" s="543"/>
      <c r="N62" s="1140"/>
      <c r="O62" s="1140"/>
      <c r="P62" s="45"/>
      <c r="Q62" s="495"/>
    </row>
    <row r="63" spans="1:17" ht="15.75" thickBot="1">
      <c r="A63" s="525"/>
      <c r="B63" s="526"/>
      <c r="C63" s="535">
        <v>100</v>
      </c>
      <c r="D63" s="535">
        <f t="shared" ref="D63:M63" si="18">C63-$K11</f>
        <v>100</v>
      </c>
      <c r="E63" s="535">
        <f t="shared" si="18"/>
        <v>100</v>
      </c>
      <c r="F63" s="535">
        <f t="shared" si="18"/>
        <v>100</v>
      </c>
      <c r="G63" s="535">
        <f t="shared" si="18"/>
        <v>100</v>
      </c>
      <c r="H63" s="535">
        <f t="shared" si="18"/>
        <v>100</v>
      </c>
      <c r="I63" s="535">
        <f t="shared" si="18"/>
        <v>100</v>
      </c>
      <c r="J63" s="535">
        <f t="shared" si="18"/>
        <v>100</v>
      </c>
      <c r="K63" s="535">
        <f t="shared" si="18"/>
        <v>100</v>
      </c>
      <c r="L63" s="535">
        <f t="shared" si="18"/>
        <v>100</v>
      </c>
      <c r="M63" s="536">
        <f t="shared" si="18"/>
        <v>100</v>
      </c>
      <c r="N63" s="1141"/>
      <c r="O63" s="1141"/>
      <c r="P63" s="45"/>
      <c r="Q63" s="495"/>
    </row>
    <row r="64" spans="1:17" s="462" customFormat="1" ht="15.75" thickTop="1">
      <c r="A64" s="544"/>
      <c r="B64" s="529">
        <f>B12</f>
        <v>111</v>
      </c>
      <c r="C64" s="545"/>
      <c r="D64" s="545"/>
      <c r="E64" s="545"/>
      <c r="F64" s="545"/>
      <c r="G64" s="545"/>
      <c r="H64" s="546"/>
      <c r="I64" s="546"/>
      <c r="J64" s="546"/>
      <c r="K64" s="546"/>
      <c r="L64" s="547"/>
      <c r="M64" s="548"/>
      <c r="N64" s="1142"/>
      <c r="O64" s="1142"/>
      <c r="P64" s="549"/>
      <c r="Q64" s="550"/>
    </row>
    <row r="65" spans="1:17" s="462" customFormat="1" ht="15.75" thickBot="1">
      <c r="A65" s="544"/>
      <c r="B65" s="534"/>
      <c r="C65" s="551"/>
      <c r="D65" s="527"/>
      <c r="E65" s="527"/>
      <c r="F65" s="527"/>
      <c r="G65" s="527"/>
      <c r="H65" s="527"/>
      <c r="I65" s="527"/>
      <c r="J65" s="527"/>
      <c r="K65" s="527"/>
      <c r="L65" s="527"/>
      <c r="M65" s="528"/>
      <c r="N65" s="1141"/>
      <c r="O65" s="1141"/>
      <c r="P65" s="549"/>
      <c r="Q65" s="550"/>
    </row>
    <row r="66" spans="1:17" s="462" customFormat="1" ht="15.75" thickTop="1">
      <c r="A66" s="544"/>
      <c r="B66" s="529">
        <f>B13</f>
        <v>111</v>
      </c>
      <c r="C66" s="545"/>
      <c r="D66" s="545"/>
      <c r="E66" s="545"/>
      <c r="F66" s="545"/>
      <c r="G66" s="545"/>
      <c r="H66" s="546"/>
      <c r="I66" s="546"/>
      <c r="J66" s="546"/>
      <c r="K66" s="546"/>
      <c r="L66" s="547"/>
      <c r="M66" s="548"/>
      <c r="N66" s="1142"/>
      <c r="O66" s="1142"/>
      <c r="P66" s="461"/>
      <c r="Q66" s="552"/>
    </row>
    <row r="67" spans="1:17" s="462" customFormat="1" ht="15.75" thickBot="1">
      <c r="A67" s="544"/>
      <c r="B67" s="534"/>
      <c r="C67" s="551"/>
      <c r="D67" s="527"/>
      <c r="E67" s="527"/>
      <c r="F67" s="527"/>
      <c r="G67" s="551"/>
      <c r="H67" s="553"/>
      <c r="I67" s="553"/>
      <c r="J67" s="553"/>
      <c r="K67" s="553"/>
      <c r="L67" s="553"/>
      <c r="M67" s="554"/>
      <c r="N67" s="1142"/>
      <c r="O67" s="1142"/>
      <c r="P67" s="549"/>
      <c r="Q67" s="550"/>
    </row>
    <row r="68" spans="1:17" s="462" customFormat="1" ht="15.75" thickTop="1">
      <c r="A68" s="544"/>
      <c r="B68" s="537">
        <f>B14</f>
        <v>111</v>
      </c>
      <c r="C68" s="514"/>
      <c r="D68" s="514"/>
      <c r="E68" s="514"/>
      <c r="F68" s="514"/>
      <c r="G68" s="514"/>
      <c r="H68" s="555"/>
      <c r="I68" s="555"/>
      <c r="J68" s="555"/>
      <c r="K68" s="555"/>
      <c r="L68" s="556"/>
      <c r="M68" s="557"/>
      <c r="N68" s="1142"/>
      <c r="O68" s="1142"/>
      <c r="P68" s="558"/>
      <c r="Q68" s="550"/>
    </row>
    <row r="69" spans="1:17" s="462" customFormat="1" ht="15.75" thickBot="1">
      <c r="A69" s="559"/>
      <c r="B69" s="560"/>
      <c r="C69" s="561"/>
      <c r="D69" s="561"/>
      <c r="E69" s="561"/>
      <c r="F69" s="561"/>
      <c r="G69" s="561"/>
      <c r="H69" s="562"/>
      <c r="I69" s="562"/>
      <c r="J69" s="562"/>
      <c r="K69" s="562"/>
      <c r="L69" s="562"/>
      <c r="M69" s="563"/>
      <c r="N69" s="1142"/>
      <c r="O69" s="1142"/>
      <c r="P69" s="549"/>
      <c r="Q69" s="550"/>
    </row>
    <row r="70" spans="1:17">
      <c r="A70" s="518" t="s">
        <v>2549</v>
      </c>
      <c r="B70" s="519" t="s">
        <v>2695</v>
      </c>
      <c r="C70" s="564" t="s">
        <v>2587</v>
      </c>
      <c r="D70" s="564" t="s">
        <v>2588</v>
      </c>
      <c r="E70" s="564" t="s">
        <v>2589</v>
      </c>
      <c r="F70" s="564" t="s">
        <v>2590</v>
      </c>
      <c r="G70" s="564" t="s">
        <v>2591</v>
      </c>
      <c r="H70" s="520"/>
      <c r="I70" s="520"/>
      <c r="J70" s="520"/>
      <c r="K70" s="565"/>
      <c r="L70" s="566"/>
      <c r="M70" s="567"/>
      <c r="N70" s="1140"/>
      <c r="O70" s="1140"/>
      <c r="P70" s="568"/>
      <c r="Q70" s="495"/>
    </row>
    <row r="71" spans="1:17" ht="15.75" thickBot="1">
      <c r="A71" s="525"/>
      <c r="B71" s="534"/>
      <c r="C71" s="535">
        <v>100</v>
      </c>
      <c r="D71" s="535">
        <f>C71-$K15</f>
        <v>100</v>
      </c>
      <c r="E71" s="535">
        <f>D71-$K15</f>
        <v>100</v>
      </c>
      <c r="F71" s="535">
        <f>E71-$K15</f>
        <v>100</v>
      </c>
      <c r="G71" s="535">
        <f>F71-$K15</f>
        <v>100</v>
      </c>
      <c r="H71" s="535"/>
      <c r="I71" s="535"/>
      <c r="J71" s="535"/>
      <c r="K71" s="535"/>
      <c r="L71" s="535"/>
      <c r="M71" s="536"/>
      <c r="N71" s="1141"/>
      <c r="O71" s="1141"/>
      <c r="P71" s="45"/>
      <c r="Q71" s="495"/>
    </row>
    <row r="72" spans="1:17" ht="15.75" thickTop="1">
      <c r="A72" s="525"/>
      <c r="B72" s="529" t="s">
        <v>2592</v>
      </c>
      <c r="C72" s="569" t="s">
        <v>2587</v>
      </c>
      <c r="D72" s="569" t="s">
        <v>2588</v>
      </c>
      <c r="E72" s="569" t="s">
        <v>2589</v>
      </c>
      <c r="F72" s="569" t="s">
        <v>2590</v>
      </c>
      <c r="G72" s="569" t="s">
        <v>2591</v>
      </c>
      <c r="H72" s="530"/>
      <c r="I72" s="530"/>
      <c r="J72" s="530"/>
      <c r="K72" s="531"/>
      <c r="L72" s="532"/>
      <c r="M72" s="533"/>
      <c r="N72" s="1140"/>
      <c r="O72" s="1140"/>
      <c r="P72" s="45"/>
      <c r="Q72" s="495"/>
    </row>
    <row r="73" spans="1:17" ht="15.75" thickBot="1">
      <c r="A73" s="525"/>
      <c r="B73" s="534"/>
      <c r="C73" s="535">
        <v>100</v>
      </c>
      <c r="D73" s="535">
        <f>C73-$K17</f>
        <v>100</v>
      </c>
      <c r="E73" s="535">
        <f>D73-$K17</f>
        <v>100</v>
      </c>
      <c r="F73" s="535">
        <f>E73-$K17</f>
        <v>100</v>
      </c>
      <c r="G73" s="535">
        <f>F73-$K17</f>
        <v>100</v>
      </c>
      <c r="H73" s="535"/>
      <c r="I73" s="535"/>
      <c r="J73" s="535"/>
      <c r="K73" s="535"/>
      <c r="L73" s="535"/>
      <c r="M73" s="536"/>
      <c r="N73" s="1141"/>
      <c r="O73" s="1141"/>
      <c r="P73" s="45"/>
      <c r="Q73" s="495"/>
    </row>
    <row r="74" spans="1:17" ht="15.75" thickTop="1">
      <c r="A74" s="525"/>
      <c r="B74" s="529" t="s">
        <v>2593</v>
      </c>
      <c r="C74" s="569" t="s">
        <v>2587</v>
      </c>
      <c r="D74" s="569" t="s">
        <v>2588</v>
      </c>
      <c r="E74" s="569" t="s">
        <v>2589</v>
      </c>
      <c r="F74" s="569" t="s">
        <v>2590</v>
      </c>
      <c r="G74" s="569" t="s">
        <v>2591</v>
      </c>
      <c r="H74" s="530"/>
      <c r="I74" s="530"/>
      <c r="J74" s="530"/>
      <c r="K74" s="531"/>
      <c r="L74" s="532"/>
      <c r="M74" s="533"/>
      <c r="N74" s="1140"/>
      <c r="O74" s="1140"/>
      <c r="P74" s="45"/>
      <c r="Q74" s="495"/>
    </row>
    <row r="75" spans="1:17" ht="15.75" thickBot="1">
      <c r="A75" s="525"/>
      <c r="B75" s="534"/>
      <c r="C75" s="535">
        <v>100</v>
      </c>
      <c r="D75" s="535">
        <f>C75-$K19</f>
        <v>100</v>
      </c>
      <c r="E75" s="535">
        <f>D75-$K19</f>
        <v>100</v>
      </c>
      <c r="F75" s="535">
        <f>E75-$K19</f>
        <v>100</v>
      </c>
      <c r="G75" s="535">
        <f>F75-$K19</f>
        <v>100</v>
      </c>
      <c r="H75" s="535"/>
      <c r="I75" s="535"/>
      <c r="J75" s="535"/>
      <c r="K75" s="535"/>
      <c r="L75" s="535"/>
      <c r="M75" s="536"/>
      <c r="N75" s="1141"/>
      <c r="O75" s="1141"/>
      <c r="P75" s="45"/>
      <c r="Q75" s="495"/>
    </row>
    <row r="76" spans="1:17" ht="15.75" thickTop="1">
      <c r="A76" s="525"/>
      <c r="B76" s="537" t="s">
        <v>2679</v>
      </c>
      <c r="C76" s="651" t="s">
        <v>2665</v>
      </c>
      <c r="D76" s="651" t="s">
        <v>2666</v>
      </c>
      <c r="E76" s="651" t="s">
        <v>2667</v>
      </c>
      <c r="F76" s="651" t="s">
        <v>2668</v>
      </c>
      <c r="G76" s="651" t="s">
        <v>2669</v>
      </c>
      <c r="H76" s="530"/>
      <c r="I76" s="530"/>
      <c r="J76" s="530"/>
      <c r="K76" s="530"/>
      <c r="L76" s="530"/>
      <c r="M76" s="1370"/>
      <c r="N76" s="1141"/>
      <c r="O76" s="1141"/>
      <c r="P76" s="45"/>
      <c r="Q76" s="495"/>
    </row>
    <row r="77" spans="1:17" ht="15.75" thickBot="1">
      <c r="A77" s="525"/>
      <c r="B77" s="537"/>
      <c r="C77" s="535">
        <v>100</v>
      </c>
      <c r="D77" s="535">
        <f>C77-$K21</f>
        <v>100</v>
      </c>
      <c r="E77" s="535">
        <f>D77-$K21</f>
        <v>100</v>
      </c>
      <c r="F77" s="535">
        <f>E77-$K21</f>
        <v>100</v>
      </c>
      <c r="G77" s="535">
        <f>F77-$K21</f>
        <v>100</v>
      </c>
      <c r="H77" s="651"/>
      <c r="I77" s="651"/>
      <c r="J77" s="651"/>
      <c r="K77" s="651"/>
      <c r="L77" s="651"/>
      <c r="M77" s="441"/>
      <c r="N77" s="1141"/>
      <c r="O77" s="1141"/>
      <c r="P77" s="45"/>
      <c r="Q77" s="495"/>
    </row>
    <row r="78" spans="1:17" ht="15.75" thickTop="1">
      <c r="A78" s="525"/>
      <c r="B78" s="529" t="s">
        <v>2688</v>
      </c>
      <c r="C78" s="569" t="s">
        <v>2587</v>
      </c>
      <c r="D78" s="569" t="s">
        <v>2588</v>
      </c>
      <c r="E78" s="569" t="s">
        <v>2589</v>
      </c>
      <c r="F78" s="569" t="s">
        <v>2590</v>
      </c>
      <c r="G78" s="569" t="s">
        <v>2591</v>
      </c>
      <c r="H78" s="530"/>
      <c r="I78" s="530"/>
      <c r="J78" s="530"/>
      <c r="K78" s="531"/>
      <c r="L78" s="532"/>
      <c r="M78" s="533"/>
      <c r="N78" s="1140"/>
      <c r="O78" s="1140"/>
      <c r="P78" s="45"/>
      <c r="Q78" s="495"/>
    </row>
    <row r="79" spans="1:17" ht="15.75" thickBot="1">
      <c r="A79" s="525"/>
      <c r="B79" s="534"/>
      <c r="C79" s="535">
        <v>100</v>
      </c>
      <c r="D79" s="535">
        <f>C79-$K23</f>
        <v>100</v>
      </c>
      <c r="E79" s="535">
        <f>D79-$K23</f>
        <v>100</v>
      </c>
      <c r="F79" s="535">
        <f>E79-$K23</f>
        <v>100</v>
      </c>
      <c r="G79" s="535">
        <f>F79-$K23</f>
        <v>100</v>
      </c>
      <c r="H79" s="535"/>
      <c r="I79" s="535"/>
      <c r="J79" s="535"/>
      <c r="K79" s="535"/>
      <c r="L79" s="535"/>
      <c r="M79" s="536"/>
      <c r="N79" s="1141"/>
      <c r="O79" s="1141"/>
      <c r="P79" s="45"/>
      <c r="Q79" s="495"/>
    </row>
    <row r="80" spans="1:17" s="110" customFormat="1" ht="15.75" thickTop="1">
      <c r="A80" s="570"/>
      <c r="B80" s="529">
        <f>B25</f>
        <v>111</v>
      </c>
      <c r="C80" s="545"/>
      <c r="D80" s="545"/>
      <c r="E80" s="545"/>
      <c r="F80" s="545"/>
      <c r="G80" s="545"/>
      <c r="H80" s="545"/>
      <c r="I80" s="545"/>
      <c r="J80" s="545"/>
      <c r="K80" s="545"/>
      <c r="L80" s="571"/>
      <c r="M80" s="572"/>
      <c r="N80" s="1139"/>
      <c r="O80" s="1139"/>
      <c r="P80" s="45"/>
      <c r="Q80" s="495"/>
    </row>
    <row r="81" spans="1:17" s="110" customFormat="1" ht="15.75" thickBot="1">
      <c r="A81" s="570"/>
      <c r="B81" s="534"/>
      <c r="C81" s="551"/>
      <c r="D81" s="527"/>
      <c r="E81" s="527"/>
      <c r="F81" s="527"/>
      <c r="G81" s="527"/>
      <c r="H81" s="527"/>
      <c r="I81" s="527"/>
      <c r="J81" s="527"/>
      <c r="K81" s="527"/>
      <c r="L81" s="527"/>
      <c r="M81" s="528"/>
      <c r="N81" s="1141"/>
      <c r="O81" s="1141"/>
      <c r="P81" s="45"/>
      <c r="Q81" s="495"/>
    </row>
    <row r="82" spans="1:17" s="110" customFormat="1" ht="15.75" thickTop="1">
      <c r="A82" s="570"/>
      <c r="B82" s="529">
        <f>B26</f>
        <v>111</v>
      </c>
      <c r="C82" s="545"/>
      <c r="D82" s="545"/>
      <c r="E82" s="545"/>
      <c r="F82" s="545"/>
      <c r="G82" s="545"/>
      <c r="H82" s="545"/>
      <c r="I82" s="545"/>
      <c r="J82" s="545"/>
      <c r="K82" s="545"/>
      <c r="L82" s="571"/>
      <c r="M82" s="572"/>
      <c r="N82" s="1139"/>
      <c r="O82" s="1139"/>
      <c r="P82" s="45"/>
      <c r="Q82" s="495"/>
    </row>
    <row r="83" spans="1:17" s="110" customFormat="1" ht="15.75" thickBot="1">
      <c r="A83" s="570"/>
      <c r="B83" s="534"/>
      <c r="C83" s="551"/>
      <c r="D83" s="527"/>
      <c r="E83" s="527"/>
      <c r="F83" s="527"/>
      <c r="G83" s="527"/>
      <c r="H83" s="527"/>
      <c r="I83" s="527"/>
      <c r="J83" s="527"/>
      <c r="K83" s="527"/>
      <c r="L83" s="527"/>
      <c r="M83" s="528"/>
      <c r="N83" s="1141"/>
      <c r="O83" s="1141"/>
      <c r="P83" s="45"/>
      <c r="Q83" s="495"/>
    </row>
    <row r="84" spans="1:17" s="462" customFormat="1" ht="15.75" thickTop="1">
      <c r="A84" s="544"/>
      <c r="B84" s="529">
        <f>B27</f>
        <v>111</v>
      </c>
      <c r="C84" s="545"/>
      <c r="D84" s="545"/>
      <c r="E84" s="545"/>
      <c r="F84" s="545"/>
      <c r="G84" s="545"/>
      <c r="H84" s="545"/>
      <c r="I84" s="545"/>
      <c r="J84" s="545"/>
      <c r="K84" s="545"/>
      <c r="L84" s="571"/>
      <c r="M84" s="572"/>
      <c r="N84" s="1142"/>
      <c r="O84" s="1142"/>
      <c r="P84" s="549"/>
      <c r="Q84" s="550"/>
    </row>
    <row r="85" spans="1:17" s="462" customFormat="1" ht="15.75" thickBot="1">
      <c r="A85" s="544"/>
      <c r="B85" s="534"/>
      <c r="C85" s="551"/>
      <c r="D85" s="527"/>
      <c r="E85" s="527"/>
      <c r="F85" s="527"/>
      <c r="G85" s="527"/>
      <c r="H85" s="527"/>
      <c r="I85" s="527"/>
      <c r="J85" s="527"/>
      <c r="K85" s="527"/>
      <c r="L85" s="527"/>
      <c r="M85" s="528"/>
      <c r="N85" s="1142"/>
      <c r="O85" s="1142"/>
      <c r="P85" s="549"/>
      <c r="Q85" s="550"/>
    </row>
    <row r="86" spans="1:17" ht="15.75" thickTop="1">
      <c r="A86" s="525"/>
      <c r="B86" s="537">
        <f>B28</f>
        <v>111</v>
      </c>
      <c r="C86" s="514"/>
      <c r="D86" s="514"/>
      <c r="E86" s="514"/>
      <c r="F86" s="514"/>
      <c r="G86" s="578"/>
      <c r="H86" s="578"/>
      <c r="I86" s="578"/>
      <c r="J86" s="578"/>
      <c r="K86" s="579"/>
      <c r="L86" s="580"/>
      <c r="M86" s="581"/>
      <c r="N86" s="1140"/>
      <c r="O86" s="1140"/>
      <c r="P86" s="45"/>
      <c r="Q86" s="495"/>
    </row>
    <row r="87" spans="1:17" ht="15.75" thickBot="1">
      <c r="A87" s="2624"/>
      <c r="B87" s="560"/>
      <c r="C87" s="561"/>
      <c r="D87" s="561"/>
      <c r="E87" s="561"/>
      <c r="F87" s="561"/>
      <c r="G87" s="582"/>
      <c r="H87" s="582"/>
      <c r="I87" s="582"/>
      <c r="J87" s="582"/>
      <c r="K87" s="582"/>
      <c r="L87" s="582"/>
      <c r="M87" s="583"/>
      <c r="N87" s="1141"/>
      <c r="O87" s="1141"/>
      <c r="P87" s="45"/>
      <c r="Q87" s="495"/>
    </row>
    <row r="88" spans="1:17">
      <c r="A88" s="518" t="s">
        <v>2553</v>
      </c>
      <c r="B88" s="519" t="s">
        <v>2602</v>
      </c>
      <c r="C88" s="521"/>
      <c r="D88" s="521"/>
      <c r="E88" s="521"/>
      <c r="F88" s="521"/>
      <c r="G88" s="521"/>
      <c r="H88" s="521"/>
      <c r="I88" s="521"/>
      <c r="J88" s="521"/>
      <c r="K88" s="522"/>
      <c r="L88" s="523"/>
      <c r="M88" s="524"/>
      <c r="N88" s="1140"/>
      <c r="O88" s="1140"/>
      <c r="P88" s="45"/>
      <c r="Q88" s="495"/>
    </row>
    <row r="89" spans="1:17" ht="15.75" thickBot="1">
      <c r="A89" s="525"/>
      <c r="B89" s="534"/>
      <c r="C89" s="535">
        <v>100</v>
      </c>
      <c r="D89" s="535">
        <f t="shared" ref="D89:M89" si="19">C89-$K29</f>
        <v>100</v>
      </c>
      <c r="E89" s="535">
        <f t="shared" si="19"/>
        <v>100</v>
      </c>
      <c r="F89" s="535">
        <f t="shared" si="19"/>
        <v>100</v>
      </c>
      <c r="G89" s="535">
        <f t="shared" si="19"/>
        <v>100</v>
      </c>
      <c r="H89" s="535">
        <f t="shared" si="19"/>
        <v>100</v>
      </c>
      <c r="I89" s="535">
        <f t="shared" si="19"/>
        <v>100</v>
      </c>
      <c r="J89" s="535">
        <f t="shared" si="19"/>
        <v>100</v>
      </c>
      <c r="K89" s="535">
        <f t="shared" si="19"/>
        <v>100</v>
      </c>
      <c r="L89" s="535">
        <f t="shared" si="19"/>
        <v>100</v>
      </c>
      <c r="M89" s="536">
        <f t="shared" si="19"/>
        <v>100</v>
      </c>
      <c r="N89" s="1141"/>
      <c r="O89" s="1141"/>
      <c r="P89" s="45"/>
      <c r="Q89" s="495"/>
    </row>
    <row r="90" spans="1:17" ht="15.75" thickTop="1">
      <c r="A90" s="525"/>
      <c r="B90" s="529" t="s">
        <v>2603</v>
      </c>
      <c r="C90" s="569" t="str">
        <f>C91&amp;"(含)"&amp;"-"&amp;D91</f>
        <v>(含)-</v>
      </c>
      <c r="D90" s="569" t="str">
        <f t="shared" ref="D90:L90" si="20">D91&amp;"(含)"&amp;"-"&amp;E91</f>
        <v>(含)-</v>
      </c>
      <c r="E90" s="569" t="str">
        <f t="shared" si="20"/>
        <v>(含)-</v>
      </c>
      <c r="F90" s="569" t="str">
        <f t="shared" si="20"/>
        <v>(含)-</v>
      </c>
      <c r="G90" s="569" t="str">
        <f t="shared" si="20"/>
        <v>(含)-</v>
      </c>
      <c r="H90" s="569" t="str">
        <f t="shared" si="20"/>
        <v>(含)-</v>
      </c>
      <c r="I90" s="569" t="str">
        <f t="shared" si="20"/>
        <v>(含)-</v>
      </c>
      <c r="J90" s="569" t="str">
        <f t="shared" si="20"/>
        <v>(含)-</v>
      </c>
      <c r="K90" s="569" t="str">
        <f t="shared" si="20"/>
        <v>(含)-</v>
      </c>
      <c r="L90" s="569" t="str">
        <f t="shared" si="20"/>
        <v>(含)-</v>
      </c>
      <c r="M90" s="613" t="str">
        <f>M91&amp;"(含)"&amp;"-"&amp;P91</f>
        <v>(含)-</v>
      </c>
      <c r="N90" s="1139"/>
      <c r="O90" s="1139"/>
      <c r="P90" s="45"/>
      <c r="Q90" s="495"/>
    </row>
    <row r="91" spans="1:17" s="462" customFormat="1">
      <c r="A91" s="584"/>
      <c r="B91" s="585"/>
      <c r="C91" s="586"/>
      <c r="D91" s="586"/>
      <c r="E91" s="586"/>
      <c r="F91" s="586"/>
      <c r="G91" s="586"/>
      <c r="H91" s="586"/>
      <c r="I91" s="586"/>
      <c r="J91" s="587"/>
      <c r="K91" s="587"/>
      <c r="L91" s="588"/>
      <c r="M91" s="589"/>
      <c r="N91" s="1142"/>
      <c r="O91" s="1142"/>
      <c r="P91" s="549"/>
      <c r="Q91" s="550"/>
    </row>
    <row r="92" spans="1:17" s="462" customFormat="1" ht="15.75" thickBot="1">
      <c r="A92" s="544"/>
      <c r="B92" s="534"/>
      <c r="C92" s="551"/>
      <c r="D92" s="527"/>
      <c r="E92" s="527"/>
      <c r="F92" s="527"/>
      <c r="G92" s="527"/>
      <c r="H92" s="527"/>
      <c r="I92" s="527"/>
      <c r="J92" s="527"/>
      <c r="K92" s="527"/>
      <c r="L92" s="527"/>
      <c r="M92" s="528"/>
      <c r="N92" s="1141"/>
      <c r="O92" s="1141"/>
      <c r="P92" s="549"/>
      <c r="Q92" s="550"/>
    </row>
    <row r="93" spans="1:17" ht="15" thickTop="1">
      <c r="A93" s="590"/>
      <c r="B93" s="529" t="s">
        <v>2604</v>
      </c>
      <c r="C93" s="545"/>
      <c r="D93" s="545"/>
      <c r="E93" s="574"/>
      <c r="F93" s="574"/>
      <c r="G93" s="574"/>
      <c r="H93" s="574"/>
      <c r="I93" s="574"/>
      <c r="J93" s="574"/>
      <c r="K93" s="575"/>
      <c r="L93" s="576"/>
      <c r="M93" s="577"/>
      <c r="N93" s="1140"/>
      <c r="O93" s="1140"/>
      <c r="P93" s="45"/>
      <c r="Q93" s="495"/>
    </row>
    <row r="94" spans="1:17" ht="15.75" thickBot="1">
      <c r="A94" s="525"/>
      <c r="B94" s="534"/>
      <c r="C94" s="535">
        <v>100</v>
      </c>
      <c r="D94" s="535">
        <f t="shared" ref="D94:M94" si="21">C94-$K31</f>
        <v>100</v>
      </c>
      <c r="E94" s="535">
        <f t="shared" si="21"/>
        <v>100</v>
      </c>
      <c r="F94" s="535">
        <f t="shared" si="21"/>
        <v>100</v>
      </c>
      <c r="G94" s="535">
        <f t="shared" si="21"/>
        <v>100</v>
      </c>
      <c r="H94" s="535">
        <f t="shared" si="21"/>
        <v>100</v>
      </c>
      <c r="I94" s="535">
        <f t="shared" si="21"/>
        <v>100</v>
      </c>
      <c r="J94" s="535">
        <f t="shared" si="21"/>
        <v>100</v>
      </c>
      <c r="K94" s="535">
        <f t="shared" si="21"/>
        <v>100</v>
      </c>
      <c r="L94" s="535">
        <f t="shared" si="21"/>
        <v>100</v>
      </c>
      <c r="M94" s="536">
        <f t="shared" si="21"/>
        <v>100</v>
      </c>
      <c r="N94" s="1141"/>
      <c r="O94" s="1141"/>
      <c r="P94" s="45"/>
      <c r="Q94" s="495"/>
    </row>
    <row r="95" spans="1:17" ht="15" thickTop="1">
      <c r="A95" s="590"/>
      <c r="B95" s="529" t="s">
        <v>2606</v>
      </c>
      <c r="C95" s="545"/>
      <c r="D95" s="545"/>
      <c r="E95" s="545"/>
      <c r="F95" s="574"/>
      <c r="G95" s="574"/>
      <c r="H95" s="574"/>
      <c r="I95" s="574"/>
      <c r="J95" s="574"/>
      <c r="K95" s="575"/>
      <c r="L95" s="576"/>
      <c r="M95" s="577"/>
      <c r="N95" s="1140"/>
      <c r="O95" s="1140"/>
      <c r="P95" s="45"/>
      <c r="Q95" s="495"/>
    </row>
    <row r="96" spans="1:17" ht="15.75" thickBot="1">
      <c r="A96" s="525"/>
      <c r="B96" s="534"/>
      <c r="C96" s="535">
        <v>100</v>
      </c>
      <c r="D96" s="535">
        <f t="shared" ref="D96:M96" si="22">C96-$K32</f>
        <v>100</v>
      </c>
      <c r="E96" s="535">
        <f t="shared" si="22"/>
        <v>100</v>
      </c>
      <c r="F96" s="535">
        <f t="shared" si="22"/>
        <v>100</v>
      </c>
      <c r="G96" s="535">
        <f t="shared" si="22"/>
        <v>100</v>
      </c>
      <c r="H96" s="535">
        <f t="shared" si="22"/>
        <v>100</v>
      </c>
      <c r="I96" s="535">
        <f t="shared" si="22"/>
        <v>100</v>
      </c>
      <c r="J96" s="535">
        <f t="shared" si="22"/>
        <v>100</v>
      </c>
      <c r="K96" s="535">
        <f t="shared" si="22"/>
        <v>100</v>
      </c>
      <c r="L96" s="535">
        <f t="shared" si="22"/>
        <v>100</v>
      </c>
      <c r="M96" s="536">
        <f t="shared" si="22"/>
        <v>100</v>
      </c>
      <c r="N96" s="1141"/>
      <c r="O96" s="1141"/>
      <c r="P96" s="45"/>
      <c r="Q96" s="495"/>
    </row>
    <row r="97" spans="1:17" ht="15" thickTop="1">
      <c r="A97" s="590"/>
      <c r="B97" s="529" t="s">
        <v>1999</v>
      </c>
      <c r="C97" s="569" t="str">
        <f>C98&amp;"(含)"&amp;"-"&amp;D98</f>
        <v>0.5(含)-0.6</v>
      </c>
      <c r="D97" s="569" t="str">
        <f>D98&amp;"(含)"&amp;"-"&amp;E98</f>
        <v>0.6(含)-0.7</v>
      </c>
      <c r="E97" s="569" t="str">
        <f>E98&amp;"(含)"&amp;"-"&amp;F98</f>
        <v>0.7(含)-0.8</v>
      </c>
      <c r="F97" s="569" t="str">
        <f>F98&amp;"(含)"&amp;"-"&amp;G98</f>
        <v>0.8(含)-0.9</v>
      </c>
      <c r="G97" s="569" t="str">
        <f>G98&amp;"(含)"&amp;"-"&amp;ROUND(H98,0)&amp;"(含)"</f>
        <v>0.9(含)-1(含)</v>
      </c>
      <c r="H97" s="569"/>
      <c r="I97" s="574"/>
      <c r="J97" s="574"/>
      <c r="K97" s="575"/>
      <c r="L97" s="576"/>
      <c r="M97" s="577"/>
      <c r="N97" s="1140"/>
      <c r="O97" s="1140"/>
      <c r="P97" s="45"/>
      <c r="Q97" s="495"/>
    </row>
    <row r="98" spans="1:17">
      <c r="A98" s="590"/>
      <c r="B98" s="537"/>
      <c r="C98" s="594">
        <v>0.5</v>
      </c>
      <c r="D98" s="594">
        <v>0.6</v>
      </c>
      <c r="E98" s="594">
        <v>0.7</v>
      </c>
      <c r="F98" s="594">
        <v>0.8</v>
      </c>
      <c r="G98" s="594">
        <v>0.9</v>
      </c>
      <c r="H98" s="594">
        <v>1.0001</v>
      </c>
      <c r="I98" s="614"/>
      <c r="J98" s="614"/>
      <c r="K98" s="615"/>
      <c r="L98" s="616"/>
      <c r="M98" s="617"/>
      <c r="N98" s="1140"/>
      <c r="O98" s="1140"/>
      <c r="P98" s="45"/>
      <c r="Q98" s="495"/>
    </row>
    <row r="99" spans="1:17" ht="15.75" thickBot="1">
      <c r="A99" s="525"/>
      <c r="B99" s="534"/>
      <c r="C99" s="573">
        <v>100</v>
      </c>
      <c r="D99" s="535">
        <f>C99+$K33</f>
        <v>100</v>
      </c>
      <c r="E99" s="535">
        <f t="shared" ref="E99:M99" si="23">D99+$K33</f>
        <v>100</v>
      </c>
      <c r="F99" s="535">
        <f t="shared" si="23"/>
        <v>100</v>
      </c>
      <c r="G99" s="535">
        <f t="shared" si="23"/>
        <v>100</v>
      </c>
      <c r="H99" s="535">
        <f t="shared" si="23"/>
        <v>100</v>
      </c>
      <c r="I99" s="535">
        <f t="shared" si="23"/>
        <v>100</v>
      </c>
      <c r="J99" s="535">
        <f t="shared" si="23"/>
        <v>100</v>
      </c>
      <c r="K99" s="535">
        <f t="shared" si="23"/>
        <v>100</v>
      </c>
      <c r="L99" s="535">
        <f t="shared" si="23"/>
        <v>100</v>
      </c>
      <c r="M99" s="535">
        <f t="shared" si="23"/>
        <v>100</v>
      </c>
      <c r="N99" s="1141"/>
      <c r="O99" s="1141"/>
      <c r="P99" s="45"/>
      <c r="Q99" s="495"/>
    </row>
    <row r="100" spans="1:17" s="462" customFormat="1" ht="15" thickTop="1">
      <c r="A100" s="584"/>
      <c r="B100" s="529" t="s">
        <v>2607</v>
      </c>
      <c r="C100" s="545"/>
      <c r="D100" s="545"/>
      <c r="E100" s="545"/>
      <c r="F100" s="545"/>
      <c r="G100" s="545"/>
      <c r="H100" s="574"/>
      <c r="I100" s="574"/>
      <c r="J100" s="574"/>
      <c r="K100" s="575"/>
      <c r="L100" s="576"/>
      <c r="M100" s="577"/>
      <c r="N100" s="1142"/>
      <c r="O100" s="1142"/>
      <c r="P100" s="549"/>
      <c r="Q100" s="550"/>
    </row>
    <row r="101" spans="1:17" s="462" customFormat="1" ht="15.75" thickBot="1">
      <c r="A101" s="544"/>
      <c r="B101" s="534"/>
      <c r="C101" s="535">
        <v>100</v>
      </c>
      <c r="D101" s="535">
        <f>C101-$K34</f>
        <v>100</v>
      </c>
      <c r="E101" s="535">
        <f t="shared" ref="E101:M101" si="24">D101-$K34</f>
        <v>100</v>
      </c>
      <c r="F101" s="535">
        <f t="shared" si="24"/>
        <v>100</v>
      </c>
      <c r="G101" s="535">
        <f t="shared" si="24"/>
        <v>100</v>
      </c>
      <c r="H101" s="535">
        <f t="shared" si="24"/>
        <v>100</v>
      </c>
      <c r="I101" s="535">
        <f t="shared" si="24"/>
        <v>100</v>
      </c>
      <c r="J101" s="535">
        <f t="shared" si="24"/>
        <v>100</v>
      </c>
      <c r="K101" s="535">
        <f t="shared" si="24"/>
        <v>100</v>
      </c>
      <c r="L101" s="535">
        <f t="shared" si="24"/>
        <v>100</v>
      </c>
      <c r="M101" s="535">
        <f t="shared" si="24"/>
        <v>100</v>
      </c>
      <c r="N101" s="1142"/>
      <c r="O101" s="1142"/>
      <c r="P101" s="549"/>
      <c r="Q101" s="550"/>
    </row>
    <row r="102" spans="1:17" ht="15" thickTop="1">
      <c r="A102" s="590"/>
      <c r="B102" s="529" t="s">
        <v>2608</v>
      </c>
      <c r="C102" s="545"/>
      <c r="D102" s="545"/>
      <c r="E102" s="545"/>
      <c r="F102" s="545"/>
      <c r="G102" s="545"/>
      <c r="H102" s="574"/>
      <c r="I102" s="574"/>
      <c r="J102" s="574"/>
      <c r="K102" s="575"/>
      <c r="L102" s="576"/>
      <c r="M102" s="577"/>
      <c r="N102" s="1140"/>
      <c r="O102" s="1140"/>
      <c r="P102" s="45"/>
      <c r="Q102" s="495"/>
    </row>
    <row r="103" spans="1:17" ht="15.75" thickBot="1">
      <c r="A103" s="525"/>
      <c r="B103" s="534"/>
      <c r="C103" s="535">
        <v>100</v>
      </c>
      <c r="D103" s="535">
        <f t="shared" ref="D103:M103" si="25">C103-$K35</f>
        <v>100</v>
      </c>
      <c r="E103" s="535">
        <f t="shared" si="25"/>
        <v>100</v>
      </c>
      <c r="F103" s="535">
        <f t="shared" si="25"/>
        <v>100</v>
      </c>
      <c r="G103" s="535">
        <f t="shared" si="25"/>
        <v>100</v>
      </c>
      <c r="H103" s="535">
        <f t="shared" si="25"/>
        <v>100</v>
      </c>
      <c r="I103" s="535">
        <f t="shared" si="25"/>
        <v>100</v>
      </c>
      <c r="J103" s="535">
        <f t="shared" si="25"/>
        <v>100</v>
      </c>
      <c r="K103" s="535">
        <f t="shared" si="25"/>
        <v>100</v>
      </c>
      <c r="L103" s="535">
        <f t="shared" si="25"/>
        <v>100</v>
      </c>
      <c r="M103" s="536">
        <f t="shared" si="25"/>
        <v>100</v>
      </c>
      <c r="N103" s="1141"/>
      <c r="O103" s="1141"/>
      <c r="P103" s="45"/>
      <c r="Q103" s="495"/>
    </row>
    <row r="104" spans="1:17" ht="15" thickTop="1">
      <c r="A104" s="590"/>
      <c r="B104" s="529" t="s">
        <v>2610</v>
      </c>
      <c r="C104" s="545"/>
      <c r="D104" s="545"/>
      <c r="E104" s="545"/>
      <c r="F104" s="545"/>
      <c r="G104" s="545"/>
      <c r="H104" s="574"/>
      <c r="I104" s="574"/>
      <c r="J104" s="574"/>
      <c r="K104" s="575"/>
      <c r="L104" s="576"/>
      <c r="M104" s="577"/>
      <c r="N104" s="1140"/>
      <c r="O104" s="1140"/>
      <c r="P104" s="45"/>
      <c r="Q104" s="495"/>
    </row>
    <row r="105" spans="1:17" ht="15.75" thickBot="1">
      <c r="A105" s="525"/>
      <c r="B105" s="534"/>
      <c r="C105" s="535">
        <v>100</v>
      </c>
      <c r="D105" s="535">
        <f>C105-$K36</f>
        <v>100</v>
      </c>
      <c r="E105" s="535">
        <f>D105-$K36</f>
        <v>100</v>
      </c>
      <c r="F105" s="535">
        <f>E105-$K36</f>
        <v>100</v>
      </c>
      <c r="G105" s="535">
        <f>F105-$K36</f>
        <v>100</v>
      </c>
      <c r="H105" s="535"/>
      <c r="I105" s="535"/>
      <c r="J105" s="535"/>
      <c r="K105" s="535"/>
      <c r="L105" s="535"/>
      <c r="M105" s="536"/>
      <c r="N105" s="1141"/>
      <c r="O105" s="1141"/>
      <c r="P105" s="45"/>
      <c r="Q105" s="495"/>
    </row>
    <row r="106" spans="1:17" ht="15" thickTop="1">
      <c r="A106" s="590"/>
      <c r="B106" s="627" t="s">
        <v>2696</v>
      </c>
      <c r="C106" s="569" t="s">
        <v>2587</v>
      </c>
      <c r="D106" s="569" t="s">
        <v>2588</v>
      </c>
      <c r="E106" s="569" t="s">
        <v>2589</v>
      </c>
      <c r="F106" s="569" t="s">
        <v>2590</v>
      </c>
      <c r="G106" s="569" t="s">
        <v>2591</v>
      </c>
      <c r="H106" s="530"/>
      <c r="I106" s="530"/>
      <c r="J106" s="530"/>
      <c r="K106" s="531"/>
      <c r="L106" s="532"/>
      <c r="M106" s="533"/>
      <c r="N106" s="1141"/>
      <c r="O106" s="1141"/>
      <c r="P106" s="628"/>
      <c r="Q106" s="629"/>
    </row>
    <row r="107" spans="1:17" ht="15.75" thickBot="1">
      <c r="A107" s="525"/>
      <c r="B107" s="534"/>
      <c r="C107" s="573">
        <v>100</v>
      </c>
      <c r="D107" s="535">
        <f t="shared" ref="D107:M107" si="26">C107-$K37</f>
        <v>100</v>
      </c>
      <c r="E107" s="535">
        <f t="shared" si="26"/>
        <v>100</v>
      </c>
      <c r="F107" s="535">
        <f t="shared" si="26"/>
        <v>100</v>
      </c>
      <c r="G107" s="535">
        <f t="shared" si="26"/>
        <v>100</v>
      </c>
      <c r="H107" s="535">
        <f t="shared" si="26"/>
        <v>100</v>
      </c>
      <c r="I107" s="535">
        <f t="shared" si="26"/>
        <v>100</v>
      </c>
      <c r="J107" s="535">
        <f t="shared" si="26"/>
        <v>100</v>
      </c>
      <c r="K107" s="535">
        <f t="shared" si="26"/>
        <v>100</v>
      </c>
      <c r="L107" s="535">
        <f t="shared" si="26"/>
        <v>100</v>
      </c>
      <c r="M107" s="535">
        <f t="shared" si="26"/>
        <v>100</v>
      </c>
      <c r="N107" s="1141"/>
      <c r="O107" s="1141"/>
      <c r="P107" s="45"/>
      <c r="Q107" s="495"/>
    </row>
    <row r="108" spans="1:17" s="462" customFormat="1" ht="15" thickTop="1">
      <c r="A108" s="584"/>
      <c r="B108" s="529">
        <f>B38</f>
        <v>111</v>
      </c>
      <c r="C108" s="545"/>
      <c r="D108" s="545"/>
      <c r="E108" s="545"/>
      <c r="F108" s="545"/>
      <c r="G108" s="545"/>
      <c r="H108" s="546"/>
      <c r="I108" s="546"/>
      <c r="J108" s="546"/>
      <c r="K108" s="546"/>
      <c r="L108" s="547"/>
      <c r="M108" s="548"/>
      <c r="N108" s="1142"/>
      <c r="O108" s="1142"/>
      <c r="P108" s="549"/>
      <c r="Q108" s="550"/>
    </row>
    <row r="109" spans="1:17" s="462" customFormat="1" ht="15.75" thickBot="1">
      <c r="A109" s="544"/>
      <c r="B109" s="526"/>
      <c r="C109" s="551"/>
      <c r="D109" s="527"/>
      <c r="E109" s="527"/>
      <c r="F109" s="527"/>
      <c r="G109" s="551"/>
      <c r="H109" s="553"/>
      <c r="I109" s="553"/>
      <c r="J109" s="553"/>
      <c r="K109" s="553"/>
      <c r="L109" s="553"/>
      <c r="M109" s="554"/>
      <c r="N109" s="1142"/>
      <c r="O109" s="1142"/>
      <c r="P109" s="549"/>
      <c r="Q109" s="550"/>
    </row>
    <row r="110" spans="1:17" ht="15" thickTop="1">
      <c r="A110" s="590"/>
      <c r="B110" s="529">
        <f>B39</f>
        <v>111</v>
      </c>
      <c r="C110" s="545"/>
      <c r="D110" s="545"/>
      <c r="E110" s="545"/>
      <c r="F110" s="545"/>
      <c r="G110" s="545"/>
      <c r="H110" s="546"/>
      <c r="I110" s="546"/>
      <c r="J110" s="546"/>
      <c r="K110" s="546"/>
      <c r="L110" s="547"/>
      <c r="M110" s="548"/>
      <c r="N110" s="1140"/>
      <c r="O110" s="1140"/>
      <c r="P110" s="45"/>
      <c r="Q110" s="495"/>
    </row>
    <row r="111" spans="1:17" ht="15.75" thickBot="1">
      <c r="A111" s="525"/>
      <c r="B111" s="534"/>
      <c r="C111" s="551"/>
      <c r="D111" s="527"/>
      <c r="E111" s="527"/>
      <c r="F111" s="527"/>
      <c r="G111" s="551"/>
      <c r="H111" s="553"/>
      <c r="I111" s="553"/>
      <c r="J111" s="553"/>
      <c r="K111" s="553"/>
      <c r="L111" s="553"/>
      <c r="M111" s="554"/>
      <c r="N111" s="1141"/>
      <c r="O111" s="1141"/>
      <c r="P111" s="45"/>
      <c r="Q111" s="495"/>
    </row>
    <row r="112" spans="1:17" ht="15" thickTop="1">
      <c r="A112" s="590"/>
      <c r="B112" s="537">
        <f>B40</f>
        <v>111</v>
      </c>
      <c r="C112" s="514"/>
      <c r="D112" s="514"/>
      <c r="E112" s="514"/>
      <c r="F112" s="514"/>
      <c r="G112" s="578"/>
      <c r="H112" s="578"/>
      <c r="I112" s="578"/>
      <c r="J112" s="578"/>
      <c r="K112" s="514"/>
      <c r="L112" s="515"/>
      <c r="M112" s="581"/>
      <c r="N112" s="1140"/>
      <c r="O112" s="1140"/>
      <c r="P112" s="45"/>
      <c r="Q112" s="495"/>
    </row>
    <row r="113" spans="1:17" ht="15.75" thickBot="1">
      <c r="A113" s="2624"/>
      <c r="B113" s="560"/>
      <c r="C113" s="561"/>
      <c r="D113" s="561"/>
      <c r="E113" s="561"/>
      <c r="F113" s="561"/>
      <c r="G113" s="582"/>
      <c r="H113" s="582"/>
      <c r="I113" s="582"/>
      <c r="J113" s="582"/>
      <c r="K113" s="582"/>
      <c r="L113" s="582"/>
      <c r="M113" s="583"/>
      <c r="N113" s="1141"/>
      <c r="O113" s="1141"/>
      <c r="P113" s="45"/>
      <c r="Q113" s="49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0" zoomScaleNormal="90" workbookViewId="0">
      <selection activeCell="T42" sqref="A42:T42"/>
    </sheetView>
  </sheetViews>
  <sheetFormatPr defaultRowHeight="14.25"/>
  <cols>
    <col min="1" max="1" width="10.5" style="394" customWidth="1"/>
    <col min="2" max="2" width="15.75" style="394" customWidth="1"/>
    <col min="3" max="3" width="14.375" style="394" customWidth="1"/>
    <col min="4" max="4" width="12.25" style="394" customWidth="1"/>
    <col min="5" max="5" width="14.375" style="394" customWidth="1"/>
    <col min="6" max="6" width="12.25" style="394" customWidth="1"/>
    <col min="7" max="7" width="14.5" style="394" customWidth="1"/>
    <col min="8" max="8" width="12.25" style="394" customWidth="1"/>
    <col min="9" max="9" width="15.5" style="394" customWidth="1"/>
    <col min="10" max="10" width="12.25" style="394" customWidth="1"/>
    <col min="11" max="11" width="12.25" style="486" customWidth="1"/>
    <col min="12" max="12" width="12.25" style="487" customWidth="1"/>
    <col min="13" max="15" width="12.25" style="394" customWidth="1"/>
    <col min="16" max="16" width="4.75" style="1111"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29" s="1616" customFormat="1" ht="28.5" customHeight="1" thickBot="1">
      <c r="A1" s="1605" t="s">
        <v>2697</v>
      </c>
      <c r="B1" s="1606" t="s">
        <v>3041</v>
      </c>
      <c r="C1" s="1607" t="s">
        <v>2520</v>
      </c>
      <c r="D1" s="1608" t="s">
        <v>48</v>
      </c>
      <c r="E1" s="1609"/>
      <c r="F1" s="2574" t="s">
        <v>3136</v>
      </c>
      <c r="G1" s="1610" t="s">
        <v>2633</v>
      </c>
      <c r="H1" s="1609"/>
      <c r="I1" s="1609"/>
      <c r="J1" s="1609"/>
      <c r="K1" s="1611"/>
      <c r="L1" s="1612"/>
      <c r="M1" s="1613"/>
      <c r="N1" s="1613"/>
      <c r="O1" s="1613"/>
      <c r="P1" s="1614"/>
      <c r="Q1" s="1607"/>
      <c r="R1" s="1607"/>
      <c r="S1" s="1607"/>
      <c r="T1" s="1607"/>
      <c r="U1" s="1607"/>
      <c r="V1" s="1607"/>
      <c r="W1" s="1607"/>
      <c r="X1" s="1607"/>
      <c r="Y1" s="1607"/>
      <c r="Z1" s="1607"/>
      <c r="AA1" s="1607"/>
      <c r="AB1" s="1607"/>
      <c r="AC1" s="1615"/>
    </row>
    <row r="2" spans="1:29" s="389" customFormat="1" ht="28.5" customHeight="1" thickTop="1">
      <c r="A2" s="1604" t="s">
        <v>2320</v>
      </c>
      <c r="B2" s="1406" t="e">
        <f>IF(C2="——",IF(B37="元/平方米",ROUND(C39*D3/10000,0),ROUND(F3*C39/10000,0)),IF(B37="元/平方米",ROUND(C39*D3/10000,0),ROUND(F3*C39/10000,0))-D2)</f>
        <v>#DIV/0!</v>
      </c>
      <c r="C2" s="2576" t="s">
        <v>70</v>
      </c>
      <c r="D2" s="1112" t="e">
        <f ca="1">SUMIF(INDIRECT("'"&amp;F2&amp;"'"&amp;"!A:A"),"承租人权益价值",INDIRECT("'"&amp;F2&amp;"'"&amp;"!c:c"))</f>
        <v>#REF!</v>
      </c>
      <c r="E2" s="2577" t="s">
        <v>2321</v>
      </c>
      <c r="F2" s="2578"/>
      <c r="G2" s="1113"/>
      <c r="H2" s="1113"/>
      <c r="I2" s="1113"/>
      <c r="J2" s="1113"/>
      <c r="K2" s="1115"/>
      <c r="L2" s="1116"/>
      <c r="M2" s="1117"/>
      <c r="N2" s="1117"/>
      <c r="O2" s="1117"/>
      <c r="P2" s="1407"/>
      <c r="Q2" s="759"/>
      <c r="R2" s="759"/>
      <c r="S2" s="759"/>
      <c r="T2" s="759"/>
      <c r="U2" s="759"/>
      <c r="V2" s="759"/>
      <c r="W2" s="759"/>
      <c r="X2" s="759"/>
      <c r="Y2" s="759"/>
      <c r="Z2" s="759"/>
      <c r="AA2" s="759"/>
      <c r="AB2" s="759"/>
      <c r="AC2" s="760"/>
    </row>
    <row r="3" spans="1:29" s="389" customFormat="1" ht="28.5" customHeight="1" thickBot="1">
      <c r="A3" s="238" t="s">
        <v>2322</v>
      </c>
      <c r="B3" s="600" t="e">
        <f>IF(AND(C2="——",B37="元/平方米"),C39,ROUND(B2*10000/D3,0))</f>
        <v>#DIV/0!</v>
      </c>
      <c r="C3" s="391" t="s">
        <v>2634</v>
      </c>
      <c r="D3" s="390">
        <f>SUMIF('数据-汇总表'!$C19:$C33,D1,'数据-汇总表'!$E19:$E33)</f>
        <v>0</v>
      </c>
      <c r="E3" s="391" t="s">
        <v>2698</v>
      </c>
      <c r="F3" s="390">
        <f>SUMIF('数据-取费表'!A5:A15,D1,'数据-取费表'!AH5:AH15)</f>
        <v>0</v>
      </c>
      <c r="G3" s="1113"/>
      <c r="H3" s="1113"/>
      <c r="I3" s="1113"/>
      <c r="J3" s="1113"/>
      <c r="K3" s="1115"/>
      <c r="L3" s="1116"/>
      <c r="M3" s="1117"/>
      <c r="N3" s="1117"/>
      <c r="O3" s="1117"/>
      <c r="P3" s="1407"/>
      <c r="Q3" s="759"/>
      <c r="R3" s="759"/>
      <c r="S3" s="759"/>
      <c r="T3" s="759"/>
      <c r="U3" s="759"/>
      <c r="V3" s="759"/>
      <c r="W3" s="759"/>
      <c r="X3" s="759"/>
      <c r="Y3" s="759"/>
      <c r="Z3" s="759"/>
      <c r="AA3" s="759"/>
      <c r="AB3" s="777"/>
      <c r="AC3" s="773"/>
    </row>
    <row r="4" spans="1:29" ht="15">
      <c r="A4" s="392" t="s">
        <v>2635</v>
      </c>
      <c r="B4" s="393"/>
      <c r="C4" s="3286" t="s">
        <v>2636</v>
      </c>
      <c r="D4" s="3287"/>
      <c r="E4" s="3288" t="s">
        <v>2637</v>
      </c>
      <c r="F4" s="3289"/>
      <c r="G4" s="3286" t="s">
        <v>2638</v>
      </c>
      <c r="H4" s="3287"/>
      <c r="I4" s="3286" t="s">
        <v>2639</v>
      </c>
      <c r="J4" s="3287"/>
      <c r="K4" s="601" t="s">
        <v>2640</v>
      </c>
      <c r="L4" s="1118"/>
      <c r="M4" s="1119"/>
      <c r="N4" s="1119"/>
      <c r="O4" s="1119"/>
      <c r="P4" s="3290" t="s">
        <v>2641</v>
      </c>
      <c r="Q4" s="3291"/>
      <c r="R4" s="3273" t="s">
        <v>2637</v>
      </c>
      <c r="S4" s="3274"/>
      <c r="T4" s="3273" t="s">
        <v>2638</v>
      </c>
      <c r="U4" s="3274"/>
      <c r="V4" s="3298" t="s">
        <v>2639</v>
      </c>
      <c r="W4" s="3298"/>
      <c r="X4" s="1800"/>
      <c r="Y4" s="3273" t="s">
        <v>2641</v>
      </c>
      <c r="Z4" s="3274"/>
      <c r="AA4" s="3268" t="s">
        <v>2637</v>
      </c>
      <c r="AB4" s="3269" t="s">
        <v>2638</v>
      </c>
      <c r="AC4" s="3268" t="s">
        <v>2639</v>
      </c>
    </row>
    <row r="5" spans="1:29" ht="15">
      <c r="A5" s="395"/>
      <c r="B5" s="396"/>
      <c r="C5" s="3311" t="s">
        <v>2532</v>
      </c>
      <c r="D5" s="3280"/>
      <c r="E5" s="3277" t="s">
        <v>3135</v>
      </c>
      <c r="F5" s="3278"/>
      <c r="G5" s="3279" t="s">
        <v>3113</v>
      </c>
      <c r="H5" s="3280"/>
      <c r="I5" s="3279" t="s">
        <v>3114</v>
      </c>
      <c r="J5" s="3280"/>
      <c r="K5" s="601"/>
      <c r="L5" s="1118"/>
      <c r="M5" s="1119"/>
      <c r="N5" s="1119"/>
      <c r="O5" s="1119"/>
      <c r="P5" s="3292"/>
      <c r="Q5" s="3293"/>
      <c r="R5" s="3275"/>
      <c r="S5" s="3276"/>
      <c r="T5" s="3275"/>
      <c r="U5" s="3276"/>
      <c r="V5" s="3298"/>
      <c r="W5" s="3298"/>
      <c r="X5" s="1800"/>
      <c r="Y5" s="3275"/>
      <c r="Z5" s="3276"/>
      <c r="AA5" s="3269"/>
      <c r="AB5" s="3269"/>
      <c r="AC5" s="3269"/>
    </row>
    <row r="6" spans="1:29" ht="15.75" thickBot="1">
      <c r="A6" s="397"/>
      <c r="B6" s="398"/>
      <c r="C6" s="3281" t="s">
        <v>2536</v>
      </c>
      <c r="D6" s="3282"/>
      <c r="E6" s="3283" t="s">
        <v>2536</v>
      </c>
      <c r="F6" s="3284"/>
      <c r="G6" s="3281" t="s">
        <v>2536</v>
      </c>
      <c r="H6" s="3282"/>
      <c r="I6" s="3281" t="s">
        <v>2536</v>
      </c>
      <c r="J6" s="3282"/>
      <c r="K6" s="601" t="s">
        <v>2537</v>
      </c>
      <c r="L6" s="1118"/>
      <c r="M6" s="1119"/>
      <c r="N6" s="1119"/>
      <c r="O6" s="1119"/>
      <c r="P6" s="3294"/>
      <c r="Q6" s="3295"/>
      <c r="R6" s="3275"/>
      <c r="S6" s="3276"/>
      <c r="T6" s="3296"/>
      <c r="U6" s="3297"/>
      <c r="V6" s="3298"/>
      <c r="W6" s="3298"/>
      <c r="X6" s="1800"/>
      <c r="Y6" s="3296"/>
      <c r="Z6" s="3297"/>
      <c r="AA6" s="3270"/>
      <c r="AB6" s="3270"/>
      <c r="AC6" s="3270"/>
    </row>
    <row r="7" spans="1:29" s="110" customFormat="1" ht="15.75" thickBot="1">
      <c r="A7" s="399" t="s">
        <v>2538</v>
      </c>
      <c r="B7" s="400"/>
      <c r="C7" s="401">
        <f>'数据-取费表'!B2</f>
        <v>43515</v>
      </c>
      <c r="D7" s="402">
        <v>100</v>
      </c>
      <c r="E7" s="403">
        <v>43392</v>
      </c>
      <c r="F7" s="404">
        <f>SUMIF(48:48,YEAR(E7)&amp;"-"&amp;MONTH(E7),49:49)</f>
        <v>0</v>
      </c>
      <c r="G7" s="403">
        <v>43392</v>
      </c>
      <c r="H7" s="402">
        <f>SUMIF(48:48,YEAR(G7)&amp;"-"&amp;MONTH(G7),49:49)</f>
        <v>0</v>
      </c>
      <c r="I7" s="403">
        <v>43392</v>
      </c>
      <c r="J7" s="402">
        <f>SUMIF(48:48,YEAR(I7)&amp;"-"&amp;MONTH(I7),49:49)</f>
        <v>0</v>
      </c>
      <c r="K7" s="602"/>
      <c r="L7" s="1120"/>
      <c r="M7" s="1121"/>
      <c r="N7" s="1121"/>
      <c r="O7" s="1121"/>
      <c r="P7" s="3271" t="s">
        <v>2539</v>
      </c>
      <c r="Q7" s="3299"/>
      <c r="R7" s="761" t="s">
        <v>17</v>
      </c>
      <c r="S7" s="762">
        <f t="shared" ref="S7:S14" si="0">F7</f>
        <v>0</v>
      </c>
      <c r="T7" s="761" t="s">
        <v>17</v>
      </c>
      <c r="U7" s="762">
        <f t="shared" ref="U7:U14" si="1">H7</f>
        <v>0</v>
      </c>
      <c r="V7" s="761" t="s">
        <v>17</v>
      </c>
      <c r="W7" s="762">
        <f t="shared" ref="W7:W14" si="2">J7</f>
        <v>0</v>
      </c>
      <c r="X7" s="763"/>
      <c r="Y7" s="3271" t="s">
        <v>2539</v>
      </c>
      <c r="Z7" s="3272"/>
      <c r="AA7" s="764" t="e">
        <f>D7/F7</f>
        <v>#DIV/0!</v>
      </c>
      <c r="AB7" s="764" t="e">
        <f>D7/H7</f>
        <v>#DIV/0!</v>
      </c>
      <c r="AC7" s="764" t="e">
        <f>D7/J7</f>
        <v>#DIV/0!</v>
      </c>
    </row>
    <row r="8" spans="1:29" s="110" customFormat="1" ht="15.75" thickBot="1">
      <c r="A8" s="399" t="s">
        <v>2540</v>
      </c>
      <c r="B8" s="400"/>
      <c r="C8" s="405" t="s">
        <v>2642</v>
      </c>
      <c r="D8" s="402">
        <v>100</v>
      </c>
      <c r="E8" s="405" t="s">
        <v>3081</v>
      </c>
      <c r="F8" s="404">
        <f>SUMIF(51:51,E8,52:52)-SUMIF(51:51,C8,52:52)+100</f>
        <v>100</v>
      </c>
      <c r="G8" s="405" t="s">
        <v>3081</v>
      </c>
      <c r="H8" s="402">
        <f>SUMIF(51:51,G8,52:52)-SUMIF(51:51,C8,52:52)+100</f>
        <v>100</v>
      </c>
      <c r="I8" s="405" t="s">
        <v>3081</v>
      </c>
      <c r="J8" s="402">
        <f>SUMIF(51:51,I8,52:52)-SUMIF(51:51,C8,52:52)+100</f>
        <v>100</v>
      </c>
      <c r="K8" s="602"/>
      <c r="L8" s="1120"/>
      <c r="M8" s="1121"/>
      <c r="N8" s="1121"/>
      <c r="O8" s="1121"/>
      <c r="P8" s="3271" t="s">
        <v>2542</v>
      </c>
      <c r="Q8" s="3272"/>
      <c r="R8" s="761" t="s">
        <v>17</v>
      </c>
      <c r="S8" s="762">
        <f t="shared" si="0"/>
        <v>100</v>
      </c>
      <c r="T8" s="761" t="s">
        <v>17</v>
      </c>
      <c r="U8" s="762">
        <f t="shared" si="1"/>
        <v>100</v>
      </c>
      <c r="V8" s="761" t="s">
        <v>17</v>
      </c>
      <c r="W8" s="762">
        <f t="shared" si="2"/>
        <v>100</v>
      </c>
      <c r="X8" s="763"/>
      <c r="Y8" s="3271" t="s">
        <v>2542</v>
      </c>
      <c r="Z8" s="3272"/>
      <c r="AA8" s="764">
        <f t="shared" ref="AA8:AA36" si="3">D8/F8</f>
        <v>1</v>
      </c>
      <c r="AB8" s="764">
        <f t="shared" ref="AB8:AB36" si="4">D8/H8</f>
        <v>1</v>
      </c>
      <c r="AC8" s="764">
        <f t="shared" ref="AC8:AC36" si="5">D8/J8</f>
        <v>1</v>
      </c>
    </row>
    <row r="9" spans="1:29" s="110" customFormat="1">
      <c r="A9" s="67" t="s">
        <v>2543</v>
      </c>
      <c r="B9" s="631" t="s">
        <v>2544</v>
      </c>
      <c r="C9" s="2941" t="s">
        <v>3115</v>
      </c>
      <c r="D9" s="126">
        <v>100</v>
      </c>
      <c r="E9" s="410" t="s">
        <v>3041</v>
      </c>
      <c r="F9" s="126">
        <f>SUMIF(53:53,E9,54:54)-SUMIF(53:53,C9,54:54)+100</f>
        <v>100</v>
      </c>
      <c r="G9" s="410" t="s">
        <v>3041</v>
      </c>
      <c r="H9" s="126">
        <f>SUMIF(53:53,G9,54:54)-SUMIF(53:53,C9,54:54)+100</f>
        <v>100</v>
      </c>
      <c r="I9" s="410" t="s">
        <v>3041</v>
      </c>
      <c r="J9" s="126">
        <f>SUMIF(53:53,I9,54:54)-SUMIF(53:53,C9,54:54)+100</f>
        <v>100</v>
      </c>
      <c r="K9" s="602"/>
      <c r="L9" s="1120"/>
      <c r="M9" s="1121"/>
      <c r="N9" s="1121"/>
      <c r="O9" s="1121"/>
      <c r="P9" s="3285" t="s">
        <v>2545</v>
      </c>
      <c r="Q9" s="1782" t="str">
        <f t="shared" ref="Q9:Q14" si="6">B9</f>
        <v>用途</v>
      </c>
      <c r="R9" s="761" t="s">
        <v>17</v>
      </c>
      <c r="S9" s="762">
        <f t="shared" si="0"/>
        <v>100</v>
      </c>
      <c r="T9" s="761" t="s">
        <v>17</v>
      </c>
      <c r="U9" s="762">
        <f t="shared" si="1"/>
        <v>100</v>
      </c>
      <c r="V9" s="761" t="s">
        <v>17</v>
      </c>
      <c r="W9" s="762">
        <f t="shared" si="2"/>
        <v>100</v>
      </c>
      <c r="X9" s="763"/>
      <c r="Y9" s="3145" t="s">
        <v>2546</v>
      </c>
      <c r="Z9" s="54" t="str">
        <f t="shared" ref="Z9:Z14" si="7">Q9</f>
        <v>用途</v>
      </c>
      <c r="AA9" s="764">
        <f t="shared" si="3"/>
        <v>1</v>
      </c>
      <c r="AB9" s="764">
        <f t="shared" si="4"/>
        <v>1</v>
      </c>
      <c r="AC9" s="764">
        <f t="shared" si="5"/>
        <v>1</v>
      </c>
    </row>
    <row r="10" spans="1:29" s="418" customFormat="1" ht="27.75" thickBot="1">
      <c r="A10" s="632"/>
      <c r="B10" s="633" t="s">
        <v>2547</v>
      </c>
      <c r="C10" s="414" t="s">
        <v>3116</v>
      </c>
      <c r="D10" s="127">
        <v>100</v>
      </c>
      <c r="E10" s="414" t="s">
        <v>3117</v>
      </c>
      <c r="F10" s="127">
        <f>SUMIF(55:55,E10,56:56)-SUMIF(55:55,C10,56:56)+100</f>
        <v>102</v>
      </c>
      <c r="G10" s="414" t="s">
        <v>3117</v>
      </c>
      <c r="H10" s="127">
        <f>SUMIF(55:55,G10,56:56)-SUMIF(55:55,C10,56:56)+100</f>
        <v>102</v>
      </c>
      <c r="I10" s="414" t="s">
        <v>3117</v>
      </c>
      <c r="J10" s="127">
        <f>SUMIF(55:55,I10,56:56)-SUMIF(55:55,C10,56:56)+100</f>
        <v>102</v>
      </c>
      <c r="K10" s="603">
        <v>2</v>
      </c>
      <c r="L10" s="1123"/>
      <c r="M10" s="1124"/>
      <c r="N10" s="1124"/>
      <c r="O10" s="1124"/>
      <c r="P10" s="3285"/>
      <c r="Q10" s="1782" t="str">
        <f t="shared" si="6"/>
        <v>土地使用年限（年）</v>
      </c>
      <c r="R10" s="761" t="s">
        <v>17</v>
      </c>
      <c r="S10" s="762">
        <f t="shared" si="0"/>
        <v>102</v>
      </c>
      <c r="T10" s="761" t="s">
        <v>17</v>
      </c>
      <c r="U10" s="762">
        <f t="shared" si="1"/>
        <v>102</v>
      </c>
      <c r="V10" s="761" t="s">
        <v>17</v>
      </c>
      <c r="W10" s="762">
        <f t="shared" si="2"/>
        <v>102</v>
      </c>
      <c r="X10" s="763"/>
      <c r="Y10" s="3145"/>
      <c r="Z10" s="54" t="str">
        <f t="shared" si="7"/>
        <v>土地使用年限（年）</v>
      </c>
      <c r="AA10" s="764">
        <f t="shared" si="3"/>
        <v>0.98039215686274506</v>
      </c>
      <c r="AB10" s="764">
        <f t="shared" si="4"/>
        <v>0.98039215686274506</v>
      </c>
      <c r="AC10" s="764">
        <f t="shared" si="5"/>
        <v>0.98039215686274506</v>
      </c>
    </row>
    <row r="11" spans="1:29" ht="15" hidden="1">
      <c r="A11" s="634"/>
      <c r="B11" s="635"/>
      <c r="C11" s="423"/>
      <c r="D11" s="127">
        <v>100</v>
      </c>
      <c r="E11" s="423"/>
      <c r="F11" s="127">
        <f>SUMIF(57:57,E11,58:58)-SUMIF(57:57,C11,58:58)+100</f>
        <v>100</v>
      </c>
      <c r="G11" s="423"/>
      <c r="H11" s="127">
        <f>SUMIF(57:57,G11,58:58)-SUMIF(57:57,C11,58:58)+100</f>
        <v>100</v>
      </c>
      <c r="I11" s="423"/>
      <c r="J11" s="127">
        <f>SUMIF(57:57,I11,58:58)-SUMIF(57:57,C11,58:58)+100</f>
        <v>100</v>
      </c>
      <c r="K11" s="604"/>
      <c r="L11" s="1126"/>
      <c r="M11" s="1119"/>
      <c r="N11" s="1119"/>
      <c r="O11" s="1119"/>
      <c r="P11" s="3285"/>
      <c r="Q11" s="1782">
        <f t="shared" si="6"/>
        <v>0</v>
      </c>
      <c r="R11" s="761" t="s">
        <v>17</v>
      </c>
      <c r="S11" s="762">
        <f t="shared" si="0"/>
        <v>100</v>
      </c>
      <c r="T11" s="761" t="s">
        <v>17</v>
      </c>
      <c r="U11" s="762">
        <f t="shared" si="1"/>
        <v>100</v>
      </c>
      <c r="V11" s="761" t="s">
        <v>17</v>
      </c>
      <c r="W11" s="762">
        <f t="shared" si="2"/>
        <v>100</v>
      </c>
      <c r="X11" s="763"/>
      <c r="Y11" s="3145"/>
      <c r="Z11" s="54">
        <f t="shared" si="7"/>
        <v>0</v>
      </c>
      <c r="AA11" s="764">
        <f t="shared" si="3"/>
        <v>1</v>
      </c>
      <c r="AB11" s="764">
        <f t="shared" si="4"/>
        <v>1</v>
      </c>
      <c r="AC11" s="764">
        <f t="shared" si="5"/>
        <v>1</v>
      </c>
    </row>
    <row r="12" spans="1:29" s="110" customFormat="1" ht="15" hidden="1">
      <c r="A12" s="636"/>
      <c r="B12" s="635"/>
      <c r="C12" s="423"/>
      <c r="D12" s="424">
        <v>100</v>
      </c>
      <c r="E12" s="423"/>
      <c r="F12" s="127">
        <f>SUMIF(59:59,E12,60:60)-SUMIF(59:59,C12,60:60)+100</f>
        <v>100</v>
      </c>
      <c r="G12" s="423"/>
      <c r="H12" s="127">
        <f>SUMIF(59:59,G12,60:60)-SUMIF(59:59,C12,60:60)+100</f>
        <v>100</v>
      </c>
      <c r="I12" s="423"/>
      <c r="J12" s="127">
        <f>SUMIF(59:59,I12,60:60)-SUMIF(59:59,C12,60:60)+100</f>
        <v>100</v>
      </c>
      <c r="K12" s="604"/>
      <c r="L12" s="1120"/>
      <c r="M12" s="1121"/>
      <c r="N12" s="1121"/>
      <c r="O12" s="1121"/>
      <c r="P12" s="3285"/>
      <c r="Q12" s="1782">
        <f t="shared" si="6"/>
        <v>0</v>
      </c>
      <c r="R12" s="761" t="s">
        <v>17</v>
      </c>
      <c r="S12" s="762">
        <f t="shared" si="0"/>
        <v>100</v>
      </c>
      <c r="T12" s="761" t="s">
        <v>17</v>
      </c>
      <c r="U12" s="762">
        <f t="shared" si="1"/>
        <v>100</v>
      </c>
      <c r="V12" s="761" t="s">
        <v>17</v>
      </c>
      <c r="W12" s="762">
        <f t="shared" si="2"/>
        <v>100</v>
      </c>
      <c r="X12" s="763"/>
      <c r="Y12" s="3145"/>
      <c r="Z12" s="54">
        <f t="shared" si="7"/>
        <v>0</v>
      </c>
      <c r="AA12" s="764">
        <f>D12/F12</f>
        <v>1</v>
      </c>
      <c r="AB12" s="764">
        <f>D12/H12</f>
        <v>1</v>
      </c>
      <c r="AC12" s="764">
        <f>D12/J12</f>
        <v>1</v>
      </c>
    </row>
    <row r="13" spans="1:29" ht="15.75" hidden="1" thickBot="1">
      <c r="A13" s="637"/>
      <c r="B13" s="635"/>
      <c r="C13" s="425"/>
      <c r="D13" s="426">
        <v>100</v>
      </c>
      <c r="E13" s="423"/>
      <c r="F13" s="127">
        <f>SUMIF(61:61,E13,62:62)-SUMIF(61:61,C13,62:62)+100</f>
        <v>100</v>
      </c>
      <c r="G13" s="423"/>
      <c r="H13" s="426">
        <f>SUMIF(61:61,G13,62:62)-SUMIF(61:61,C13,62:62)+100</f>
        <v>100</v>
      </c>
      <c r="I13" s="423"/>
      <c r="J13" s="426">
        <f>SUMIF(61:61,I13,62:62)-SUMIF(61:61,C13,62:62)+100</f>
        <v>100</v>
      </c>
      <c r="K13" s="604"/>
      <c r="L13" s="1128"/>
      <c r="M13" s="1119"/>
      <c r="N13" s="1119"/>
      <c r="O13" s="1119"/>
      <c r="P13" s="3285"/>
      <c r="Q13" s="1782">
        <f t="shared" si="6"/>
        <v>0</v>
      </c>
      <c r="R13" s="761" t="s">
        <v>17</v>
      </c>
      <c r="S13" s="762">
        <f t="shared" si="0"/>
        <v>100</v>
      </c>
      <c r="T13" s="761" t="s">
        <v>17</v>
      </c>
      <c r="U13" s="762">
        <f t="shared" si="1"/>
        <v>100</v>
      </c>
      <c r="V13" s="761" t="s">
        <v>17</v>
      </c>
      <c r="W13" s="762">
        <f t="shared" si="2"/>
        <v>100</v>
      </c>
      <c r="X13" s="763"/>
      <c r="Y13" s="3145"/>
      <c r="Z13" s="54">
        <f t="shared" si="7"/>
        <v>0</v>
      </c>
      <c r="AA13" s="764">
        <f t="shared" si="3"/>
        <v>1</v>
      </c>
      <c r="AB13" s="764">
        <f t="shared" si="4"/>
        <v>1</v>
      </c>
      <c r="AC13" s="764">
        <f t="shared" si="5"/>
        <v>1</v>
      </c>
    </row>
    <row r="14" spans="1:29" ht="15">
      <c r="A14" s="392" t="s">
        <v>2549</v>
      </c>
      <c r="B14" s="620" t="s">
        <v>2699</v>
      </c>
      <c r="C14" s="2681">
        <f>IF(B1="工业",估价对象房地状况!G4,估价对象房地状况!C6)</f>
        <v>0</v>
      </c>
      <c r="D14" s="432">
        <v>100</v>
      </c>
      <c r="E14" s="433"/>
      <c r="F14" s="434">
        <f>SUMIF(63:63,E15,64:64)-SUMIF(63:63,C15,64:64)+100</f>
        <v>100</v>
      </c>
      <c r="G14" s="435"/>
      <c r="H14" s="432">
        <f>SUMIF(63:63,G15,64:64)-SUMIF(63:63,C15,64:64)+100</f>
        <v>100</v>
      </c>
      <c r="I14" s="433"/>
      <c r="J14" s="432">
        <f>SUMIF(63:63,I15,64:64)-SUMIF(63:63,C15,64:64)+100</f>
        <v>97</v>
      </c>
      <c r="K14" s="605">
        <f>平层公寓!K17</f>
        <v>3</v>
      </c>
      <c r="L14" s="1128"/>
      <c r="M14" s="1119"/>
      <c r="N14" s="1119"/>
      <c r="O14" s="1119"/>
      <c r="P14" s="3300" t="s">
        <v>2550</v>
      </c>
      <c r="Q14" s="1797" t="str">
        <f t="shared" si="6"/>
        <v>交通便捷度</v>
      </c>
      <c r="R14" s="765" t="s">
        <v>17</v>
      </c>
      <c r="S14" s="766">
        <f t="shared" si="0"/>
        <v>100</v>
      </c>
      <c r="T14" s="765" t="s">
        <v>17</v>
      </c>
      <c r="U14" s="766">
        <f t="shared" si="1"/>
        <v>100</v>
      </c>
      <c r="V14" s="765" t="s">
        <v>17</v>
      </c>
      <c r="W14" s="766">
        <f t="shared" si="2"/>
        <v>97</v>
      </c>
      <c r="X14" s="1800"/>
      <c r="Y14" s="3300" t="s">
        <v>2550</v>
      </c>
      <c r="Z14" s="1801" t="str">
        <f t="shared" si="7"/>
        <v>交通便捷度</v>
      </c>
      <c r="AA14" s="1798">
        <f t="shared" si="3"/>
        <v>1</v>
      </c>
      <c r="AB14" s="1798">
        <f t="shared" si="4"/>
        <v>1</v>
      </c>
      <c r="AC14" s="1798">
        <f t="shared" si="5"/>
        <v>1.0309278350515463</v>
      </c>
    </row>
    <row r="15" spans="1:29" ht="15">
      <c r="A15" s="395"/>
      <c r="B15" s="638"/>
      <c r="C15" s="438" t="s">
        <v>3075</v>
      </c>
      <c r="D15" s="439"/>
      <c r="E15" s="438" t="s">
        <v>3075</v>
      </c>
      <c r="F15" s="440"/>
      <c r="G15" s="438" t="s">
        <v>3075</v>
      </c>
      <c r="H15" s="441"/>
      <c r="I15" s="438" t="s">
        <v>3076</v>
      </c>
      <c r="J15" s="439"/>
      <c r="K15" s="606"/>
      <c r="L15" s="1128"/>
      <c r="M15" s="1119"/>
      <c r="N15" s="1119"/>
      <c r="O15" s="1119"/>
      <c r="P15" s="3301"/>
      <c r="Q15" s="1797"/>
      <c r="R15" s="765"/>
      <c r="S15" s="766"/>
      <c r="T15" s="765"/>
      <c r="U15" s="766"/>
      <c r="V15" s="765"/>
      <c r="W15" s="766"/>
      <c r="X15" s="1800"/>
      <c r="Y15" s="3301"/>
      <c r="Z15" s="1801"/>
      <c r="AA15" s="1798">
        <v>1</v>
      </c>
      <c r="AB15" s="1798">
        <v>1</v>
      </c>
      <c r="AC15" s="1798">
        <v>1</v>
      </c>
    </row>
    <row r="16" spans="1:29" ht="15">
      <c r="A16" s="395"/>
      <c r="B16" s="622" t="s">
        <v>2678</v>
      </c>
      <c r="C16" s="2597">
        <f>IF(B1="工业",估价对象房地状况!G5,估价对象房地状况!C7)</f>
        <v>0</v>
      </c>
      <c r="D16" s="446">
        <v>100</v>
      </c>
      <c r="E16" s="448"/>
      <c r="F16" s="449">
        <f>SUMIF(65:65,E17,66:66)-SUMIF(65:65,C17,66:66)+100</f>
        <v>100</v>
      </c>
      <c r="G16" s="450"/>
      <c r="H16" s="446">
        <f>SUMIF(65:65,G17,66:66)-SUMIF(65:65,C17,66:66)+100</f>
        <v>100</v>
      </c>
      <c r="I16" s="448"/>
      <c r="J16" s="446">
        <f>SUMIF(65:65,I17,66:66)-SUMIF(65:65,C17,66:66)+100</f>
        <v>97</v>
      </c>
      <c r="K16" s="605">
        <f>平层公寓!K19</f>
        <v>3</v>
      </c>
      <c r="L16" s="1128"/>
      <c r="M16" s="1119"/>
      <c r="N16" s="1119"/>
      <c r="O16" s="1119"/>
      <c r="P16" s="3301"/>
      <c r="Q16" s="1797" t="str">
        <f>B16</f>
        <v>公共配套设施</v>
      </c>
      <c r="R16" s="765" t="s">
        <v>17</v>
      </c>
      <c r="S16" s="766">
        <f>F16</f>
        <v>100</v>
      </c>
      <c r="T16" s="765" t="s">
        <v>17</v>
      </c>
      <c r="U16" s="766">
        <f>H16</f>
        <v>100</v>
      </c>
      <c r="V16" s="765" t="s">
        <v>17</v>
      </c>
      <c r="W16" s="766">
        <f>J16</f>
        <v>97</v>
      </c>
      <c r="X16" s="1800"/>
      <c r="Y16" s="3301"/>
      <c r="Z16" s="1801" t="str">
        <f>Q16</f>
        <v>公共配套设施</v>
      </c>
      <c r="AA16" s="1798">
        <f t="shared" si="3"/>
        <v>1</v>
      </c>
      <c r="AB16" s="1798">
        <f t="shared" si="4"/>
        <v>1</v>
      </c>
      <c r="AC16" s="1798">
        <f t="shared" si="5"/>
        <v>1.0309278350515463</v>
      </c>
    </row>
    <row r="17" spans="1:29" ht="15">
      <c r="A17" s="395"/>
      <c r="B17" s="623"/>
      <c r="C17" s="2598" t="s">
        <v>3075</v>
      </c>
      <c r="D17" s="439"/>
      <c r="E17" s="2598" t="s">
        <v>3075</v>
      </c>
      <c r="F17" s="440"/>
      <c r="G17" s="2598" t="s">
        <v>3075</v>
      </c>
      <c r="H17" s="439"/>
      <c r="I17" s="438" t="s">
        <v>3076</v>
      </c>
      <c r="J17" s="439"/>
      <c r="K17" s="606"/>
      <c r="L17" s="1128"/>
      <c r="M17" s="1119"/>
      <c r="N17" s="1119"/>
      <c r="O17" s="1119"/>
      <c r="P17" s="3301"/>
      <c r="Q17" s="1797"/>
      <c r="R17" s="765"/>
      <c r="S17" s="766"/>
      <c r="T17" s="765"/>
      <c r="U17" s="766"/>
      <c r="V17" s="765"/>
      <c r="W17" s="766"/>
      <c r="X17" s="1800"/>
      <c r="Y17" s="3301"/>
      <c r="Z17" s="1801"/>
      <c r="AA17" s="1798">
        <v>1</v>
      </c>
      <c r="AB17" s="1798">
        <v>1</v>
      </c>
      <c r="AC17" s="1798">
        <v>1</v>
      </c>
    </row>
    <row r="18" spans="1:29" ht="15">
      <c r="A18" s="395"/>
      <c r="B18" s="624" t="s">
        <v>2679</v>
      </c>
      <c r="C18" s="2597">
        <f>IF(B1="工业",估价对象房地状况!G6,估价对象房地状况!C8)</f>
        <v>0</v>
      </c>
      <c r="D18" s="441">
        <v>100</v>
      </c>
      <c r="E18" s="443"/>
      <c r="F18" s="449">
        <f>SUMIF(67:67,E19,68:68)-SUMIF(67:67,C19,68:68)+100</f>
        <v>100</v>
      </c>
      <c r="G18" s="445"/>
      <c r="H18" s="446">
        <f>SUMIF(67:67,G19,68:68)-SUMIF(67:67,C19,68:68)+100</f>
        <v>100</v>
      </c>
      <c r="I18" s="443"/>
      <c r="J18" s="446">
        <f>SUMIF(67:67,I19,68:68)-SUMIF(67:67,C19,68:68)+100</f>
        <v>100</v>
      </c>
      <c r="K18" s="605">
        <f>平层公寓!K21</f>
        <v>5</v>
      </c>
      <c r="L18" s="1128"/>
      <c r="M18" s="1119"/>
      <c r="N18" s="1119"/>
      <c r="O18" s="1119"/>
      <c r="P18" s="3301"/>
      <c r="Q18" s="1797" t="str">
        <f>B18</f>
        <v>基础设施水平</v>
      </c>
      <c r="R18" s="765" t="s">
        <v>17</v>
      </c>
      <c r="S18" s="766">
        <f>F18</f>
        <v>100</v>
      </c>
      <c r="T18" s="765" t="s">
        <v>17</v>
      </c>
      <c r="U18" s="766">
        <f>H18</f>
        <v>100</v>
      </c>
      <c r="V18" s="765" t="s">
        <v>17</v>
      </c>
      <c r="W18" s="766">
        <f>J18</f>
        <v>100</v>
      </c>
      <c r="X18" s="1800"/>
      <c r="Y18" s="3301"/>
      <c r="Z18" s="1801" t="str">
        <f>Q18</f>
        <v>基础设施水平</v>
      </c>
      <c r="AA18" s="1798">
        <f t="shared" ref="AA18" si="8">D18/F18</f>
        <v>1</v>
      </c>
      <c r="AB18" s="1798">
        <f t="shared" ref="AB18" si="9">D18/H18</f>
        <v>1</v>
      </c>
      <c r="AC18" s="1798">
        <f t="shared" ref="AC18" si="10">D18/J18</f>
        <v>1</v>
      </c>
    </row>
    <row r="19" spans="1:29" ht="15">
      <c r="A19" s="395"/>
      <c r="B19" s="624"/>
      <c r="C19" s="2598" t="s">
        <v>3077</v>
      </c>
      <c r="D19" s="441"/>
      <c r="E19" s="2598" t="s">
        <v>3077</v>
      </c>
      <c r="F19" s="444"/>
      <c r="G19" s="2598" t="s">
        <v>3077</v>
      </c>
      <c r="H19" s="439"/>
      <c r="I19" s="2598" t="s">
        <v>3077</v>
      </c>
      <c r="J19" s="439"/>
      <c r="K19" s="1371"/>
      <c r="L19" s="1128"/>
      <c r="M19" s="1119"/>
      <c r="N19" s="1119"/>
      <c r="O19" s="1119"/>
      <c r="P19" s="3301"/>
      <c r="Q19" s="1797"/>
      <c r="R19" s="765"/>
      <c r="S19" s="766"/>
      <c r="T19" s="765"/>
      <c r="U19" s="766"/>
      <c r="V19" s="765"/>
      <c r="W19" s="766"/>
      <c r="X19" s="1800"/>
      <c r="Y19" s="3301"/>
      <c r="Z19" s="1801"/>
      <c r="AA19" s="1798">
        <v>1</v>
      </c>
      <c r="AB19" s="1798">
        <v>1</v>
      </c>
      <c r="AC19" s="1798">
        <v>1</v>
      </c>
    </row>
    <row r="20" spans="1:29" ht="15">
      <c r="A20" s="395"/>
      <c r="B20" s="622" t="s">
        <v>2700</v>
      </c>
      <c r="C20" s="2597">
        <f>IF(B1="工业",估价对象房地状况!G7,估价对象房地状况!C9)</f>
        <v>0</v>
      </c>
      <c r="D20" s="446">
        <v>100</v>
      </c>
      <c r="E20" s="448"/>
      <c r="F20" s="449">
        <f>SUMIF(69:69,E21,70:70)-SUMIF(69:69,C21,70:70)+100</f>
        <v>100</v>
      </c>
      <c r="G20" s="450"/>
      <c r="H20" s="441">
        <f>SUMIF(69:69,G21,70:70)-SUMIF(69:69,C21,70:70)+100</f>
        <v>100</v>
      </c>
      <c r="I20" s="443"/>
      <c r="J20" s="441">
        <f>SUMIF(69:69,I21,70:70)-SUMIF(69:69,C21,70:70)+100</f>
        <v>97</v>
      </c>
      <c r="K20" s="605">
        <v>3</v>
      </c>
      <c r="L20" s="1128"/>
      <c r="M20" s="1119"/>
      <c r="N20" s="1119"/>
      <c r="O20" s="1119"/>
      <c r="P20" s="3301"/>
      <c r="Q20" s="1797" t="str">
        <f>B20</f>
        <v>自然及人文环境</v>
      </c>
      <c r="R20" s="765" t="s">
        <v>17</v>
      </c>
      <c r="S20" s="766">
        <f>F20</f>
        <v>100</v>
      </c>
      <c r="T20" s="765" t="s">
        <v>17</v>
      </c>
      <c r="U20" s="766">
        <f>H20</f>
        <v>100</v>
      </c>
      <c r="V20" s="765" t="s">
        <v>17</v>
      </c>
      <c r="W20" s="766">
        <f>J20</f>
        <v>97</v>
      </c>
      <c r="X20" s="1800"/>
      <c r="Y20" s="3301"/>
      <c r="Z20" s="1801" t="str">
        <f>Q20</f>
        <v>自然及人文环境</v>
      </c>
      <c r="AA20" s="1798">
        <f t="shared" si="3"/>
        <v>1</v>
      </c>
      <c r="AB20" s="1798">
        <f t="shared" si="4"/>
        <v>1</v>
      </c>
      <c r="AC20" s="1798">
        <f t="shared" si="5"/>
        <v>1.0309278350515463</v>
      </c>
    </row>
    <row r="21" spans="1:29" ht="15">
      <c r="A21" s="395"/>
      <c r="B21" s="623"/>
      <c r="C21" s="438" t="s">
        <v>3075</v>
      </c>
      <c r="D21" s="439"/>
      <c r="E21" s="438" t="s">
        <v>3075</v>
      </c>
      <c r="F21" s="440"/>
      <c r="G21" s="438" t="s">
        <v>3075</v>
      </c>
      <c r="H21" s="439"/>
      <c r="I21" s="438" t="s">
        <v>3076</v>
      </c>
      <c r="J21" s="439"/>
      <c r="K21" s="606"/>
      <c r="L21" s="1128"/>
      <c r="M21" s="1119"/>
      <c r="N21" s="1119"/>
      <c r="O21" s="1119"/>
      <c r="P21" s="3301"/>
      <c r="Q21" s="1797"/>
      <c r="R21" s="765"/>
      <c r="S21" s="766"/>
      <c r="T21" s="765"/>
      <c r="U21" s="766"/>
      <c r="V21" s="765"/>
      <c r="W21" s="766"/>
      <c r="X21" s="1800"/>
      <c r="Y21" s="3301"/>
      <c r="Z21" s="1801"/>
      <c r="AA21" s="1798">
        <v>1</v>
      </c>
      <c r="AB21" s="1798">
        <v>1</v>
      </c>
      <c r="AC21" s="1798">
        <v>1</v>
      </c>
    </row>
    <row r="22" spans="1:29" ht="15.75" thickBot="1">
      <c r="A22" s="395"/>
      <c r="B22" s="622" t="s">
        <v>2701</v>
      </c>
      <c r="C22" s="607" t="s">
        <v>3118</v>
      </c>
      <c r="D22" s="441">
        <v>100</v>
      </c>
      <c r="E22" s="607" t="s">
        <v>3118</v>
      </c>
      <c r="F22" s="452">
        <f>SUMIF(71:71,E22,72:72)-SUMIF(71:71,C22,72:72)+100</f>
        <v>100</v>
      </c>
      <c r="G22" s="607" t="s">
        <v>3118</v>
      </c>
      <c r="H22" s="426">
        <f>SUMIF(71:71,G22,72:72)-SUMIF(71:71,C22,72:72)+100</f>
        <v>100</v>
      </c>
      <c r="I22" s="607" t="s">
        <v>3118</v>
      </c>
      <c r="J22" s="426">
        <f>SUMIF(71:71,I22,72:72)-SUMIF(71:71,C22,72:72)+100</f>
        <v>100</v>
      </c>
      <c r="K22" s="603">
        <v>3</v>
      </c>
      <c r="L22" s="1128"/>
      <c r="M22" s="1119"/>
      <c r="N22" s="1119"/>
      <c r="O22" s="1119"/>
      <c r="P22" s="3301"/>
      <c r="Q22" s="1797" t="str">
        <f>B22</f>
        <v>楼层</v>
      </c>
      <c r="R22" s="765" t="s">
        <v>17</v>
      </c>
      <c r="S22" s="766">
        <f>F22</f>
        <v>100</v>
      </c>
      <c r="T22" s="765" t="s">
        <v>17</v>
      </c>
      <c r="U22" s="766">
        <f>H22</f>
        <v>100</v>
      </c>
      <c r="V22" s="765" t="s">
        <v>17</v>
      </c>
      <c r="W22" s="766">
        <f>J22</f>
        <v>100</v>
      </c>
      <c r="X22" s="1800"/>
      <c r="Y22" s="3301"/>
      <c r="Z22" s="1801" t="str">
        <f>Q22</f>
        <v>楼层</v>
      </c>
      <c r="AA22" s="1798">
        <f t="shared" si="3"/>
        <v>1</v>
      </c>
      <c r="AB22" s="1798">
        <f t="shared" si="4"/>
        <v>1</v>
      </c>
      <c r="AC22" s="1798">
        <f t="shared" si="5"/>
        <v>1</v>
      </c>
    </row>
    <row r="23" spans="1:29" ht="15" hidden="1">
      <c r="A23" s="395"/>
      <c r="B23" s="639"/>
      <c r="C23" s="423"/>
      <c r="D23" s="426">
        <v>100</v>
      </c>
      <c r="E23" s="423"/>
      <c r="F23" s="452">
        <f>SUMIF(73:73,E23,74:74)-SUMIF(73:73,C23,74:74)+100</f>
        <v>100</v>
      </c>
      <c r="G23" s="423"/>
      <c r="H23" s="426">
        <f>SUMIF(73:73,G23,74:74)-SUMIF(73:73,C23,74:74)+100</f>
        <v>100</v>
      </c>
      <c r="I23" s="423"/>
      <c r="J23" s="426">
        <f>SUMIF(73:73,I23,74:74)-SUMIF(73:73,C23,74:74)+100</f>
        <v>100</v>
      </c>
      <c r="K23" s="604"/>
      <c r="L23" s="1128"/>
      <c r="M23" s="1119"/>
      <c r="N23" s="1119"/>
      <c r="O23" s="1119"/>
      <c r="P23" s="3301"/>
      <c r="Q23" s="1797">
        <f>B23</f>
        <v>0</v>
      </c>
      <c r="R23" s="765" t="s">
        <v>17</v>
      </c>
      <c r="S23" s="766">
        <f>F23</f>
        <v>100</v>
      </c>
      <c r="T23" s="765" t="s">
        <v>17</v>
      </c>
      <c r="U23" s="766">
        <f>H23</f>
        <v>100</v>
      </c>
      <c r="V23" s="765" t="s">
        <v>17</v>
      </c>
      <c r="W23" s="766">
        <f>J23</f>
        <v>100</v>
      </c>
      <c r="X23" s="1800"/>
      <c r="Y23" s="3301"/>
      <c r="Z23" s="1801">
        <f>Q23</f>
        <v>0</v>
      </c>
      <c r="AA23" s="1798">
        <f t="shared" si="3"/>
        <v>1</v>
      </c>
      <c r="AB23" s="1798">
        <f t="shared" si="4"/>
        <v>1</v>
      </c>
      <c r="AC23" s="1798">
        <f t="shared" si="5"/>
        <v>1</v>
      </c>
    </row>
    <row r="24" spans="1:29" ht="15" hidden="1">
      <c r="A24" s="395"/>
      <c r="B24" s="639"/>
      <c r="C24" s="423"/>
      <c r="D24" s="426">
        <v>100</v>
      </c>
      <c r="E24" s="423"/>
      <c r="F24" s="452">
        <f>SUMIF(75:75,E24,76:76)-SUMIF(75:75,C24,76:76)+100</f>
        <v>100</v>
      </c>
      <c r="G24" s="423"/>
      <c r="H24" s="426">
        <f>SUMIF(75:75,G24,76:76)-SUMIF(75:75,C24,76:76)+100</f>
        <v>100</v>
      </c>
      <c r="I24" s="423"/>
      <c r="J24" s="426">
        <f>SUMIF(75:75,I24,76:76)-SUMIF(75:75,C24,76:76)+100</f>
        <v>100</v>
      </c>
      <c r="K24" s="604"/>
      <c r="L24" s="1128"/>
      <c r="M24" s="1119"/>
      <c r="N24" s="1119"/>
      <c r="O24" s="1119"/>
      <c r="P24" s="3301"/>
      <c r="Q24" s="1797">
        <f t="shared" ref="Q24:Q36" si="11">B24</f>
        <v>0</v>
      </c>
      <c r="R24" s="765" t="s">
        <v>17</v>
      </c>
      <c r="S24" s="766">
        <f>F24</f>
        <v>100</v>
      </c>
      <c r="T24" s="765" t="s">
        <v>17</v>
      </c>
      <c r="U24" s="766">
        <f>H24</f>
        <v>100</v>
      </c>
      <c r="V24" s="765" t="s">
        <v>17</v>
      </c>
      <c r="W24" s="766">
        <f>J24</f>
        <v>100</v>
      </c>
      <c r="X24" s="1800"/>
      <c r="Y24" s="3301"/>
      <c r="Z24" s="1801">
        <f>Q24</f>
        <v>0</v>
      </c>
      <c r="AA24" s="1798">
        <f t="shared" si="3"/>
        <v>1</v>
      </c>
      <c r="AB24" s="1798">
        <f t="shared" si="4"/>
        <v>1</v>
      </c>
      <c r="AC24" s="1798">
        <f t="shared" si="5"/>
        <v>1</v>
      </c>
    </row>
    <row r="25" spans="1:29" s="110" customFormat="1" ht="15.75" hidden="1" thickBot="1">
      <c r="A25" s="640"/>
      <c r="B25" s="626"/>
      <c r="C25" s="428"/>
      <c r="D25" s="641">
        <v>100</v>
      </c>
      <c r="E25" s="619"/>
      <c r="F25" s="642">
        <f>SUMIF(77:77,E25,78:78)-SUMIF(77:77,C25,78:78)+100</f>
        <v>100</v>
      </c>
      <c r="G25" s="619"/>
      <c r="H25" s="641">
        <f>SUMIF(77:77,G25,78:78)-SUMIF(77:77,C25,78:78)+100</f>
        <v>100</v>
      </c>
      <c r="I25" s="619"/>
      <c r="J25" s="641">
        <f>SUMIF(77:77,I25,78:78)-SUMIF(77:77,C25,78:78)+100</f>
        <v>100</v>
      </c>
      <c r="K25" s="604"/>
      <c r="L25" s="1120"/>
      <c r="M25" s="1121"/>
      <c r="N25" s="1121"/>
      <c r="O25" s="1121"/>
      <c r="P25" s="3301"/>
      <c r="Q25" s="1782">
        <f t="shared" si="11"/>
        <v>0</v>
      </c>
      <c r="R25" s="761" t="s">
        <v>17</v>
      </c>
      <c r="S25" s="762">
        <f>F25</f>
        <v>100</v>
      </c>
      <c r="T25" s="761" t="s">
        <v>17</v>
      </c>
      <c r="U25" s="762">
        <f>H25</f>
        <v>100</v>
      </c>
      <c r="V25" s="761" t="s">
        <v>17</v>
      </c>
      <c r="W25" s="762">
        <f>J25</f>
        <v>100</v>
      </c>
      <c r="X25" s="763"/>
      <c r="Y25" s="3301"/>
      <c r="Z25" s="54">
        <f>Q25</f>
        <v>0</v>
      </c>
      <c r="AA25" s="1798">
        <f>D25/F25</f>
        <v>1</v>
      </c>
      <c r="AB25" s="1798">
        <f>D25/H25</f>
        <v>1</v>
      </c>
      <c r="AC25" s="1798">
        <f>D25/J25</f>
        <v>1</v>
      </c>
    </row>
    <row r="26" spans="1:29" ht="15">
      <c r="A26" s="643" t="s">
        <v>2553</v>
      </c>
      <c r="B26" s="69" t="s">
        <v>2702</v>
      </c>
      <c r="C26" s="2682" t="str">
        <f>B1</f>
        <v>车库</v>
      </c>
      <c r="D26" s="439">
        <v>100</v>
      </c>
      <c r="E26" s="438" t="s">
        <v>3041</v>
      </c>
      <c r="F26" s="440">
        <f>SUMIF(79:79,E26,80:80)-SUMIF(79:79,C26,80:80)+100</f>
        <v>100</v>
      </c>
      <c r="G26" s="438" t="s">
        <v>3041</v>
      </c>
      <c r="H26" s="439">
        <f>SUMIF(79:79,G26,80:80)-SUMIF(79:79,C26,80:80)+100</f>
        <v>100</v>
      </c>
      <c r="I26" s="438" t="s">
        <v>3041</v>
      </c>
      <c r="J26" s="439">
        <f>SUMIF(79:79,I26,80:80)-SUMIF(79:79,C26,80:80)+100</f>
        <v>100</v>
      </c>
      <c r="K26" s="603">
        <v>3</v>
      </c>
      <c r="L26" s="1128"/>
      <c r="M26" s="1119"/>
      <c r="N26" s="1119"/>
      <c r="O26" s="1119"/>
      <c r="P26" s="3302" t="s">
        <v>2555</v>
      </c>
      <c r="Q26" s="1797" t="str">
        <f t="shared" si="11"/>
        <v>配套类型</v>
      </c>
      <c r="R26" s="765" t="s">
        <v>17</v>
      </c>
      <c r="S26" s="766">
        <f t="shared" ref="S26:S36" si="12">F26</f>
        <v>100</v>
      </c>
      <c r="T26" s="765" t="s">
        <v>17</v>
      </c>
      <c r="U26" s="766">
        <f t="shared" ref="U26:U36" si="13">H26</f>
        <v>100</v>
      </c>
      <c r="V26" s="765" t="s">
        <v>17</v>
      </c>
      <c r="W26" s="766">
        <f t="shared" ref="W26:W36" si="14">J26</f>
        <v>100</v>
      </c>
      <c r="X26" s="1800"/>
      <c r="Y26" s="3303" t="s">
        <v>2555</v>
      </c>
      <c r="Z26" s="1801" t="str">
        <f t="shared" ref="Z26:Z36" si="15">Q26</f>
        <v>配套类型</v>
      </c>
      <c r="AA26" s="1798">
        <f t="shared" si="3"/>
        <v>1</v>
      </c>
      <c r="AB26" s="1798">
        <f t="shared" si="4"/>
        <v>1</v>
      </c>
      <c r="AC26" s="1798">
        <f t="shared" si="5"/>
        <v>1</v>
      </c>
    </row>
    <row r="27" spans="1:29" s="462" customFormat="1" ht="15" hidden="1">
      <c r="A27" s="644"/>
      <c r="B27" s="645" t="s">
        <v>2703</v>
      </c>
      <c r="C27" s="646"/>
      <c r="D27" s="127">
        <v>100</v>
      </c>
      <c r="E27" s="646"/>
      <c r="F27" s="452">
        <f>SUMIF(81:81,E27,82:82)-SUMIF(81:81,C27,82:82)+100</f>
        <v>100</v>
      </c>
      <c r="G27" s="646"/>
      <c r="H27" s="426">
        <f>SUMIF(81:81,G27,82:82)-SUMIF(81:81,C27,82:82)+100</f>
        <v>100</v>
      </c>
      <c r="I27" s="646"/>
      <c r="J27" s="426">
        <f>SUMIF(81:81,I27,82:82)-SUMIF(81:81,C27,82:82)+100</f>
        <v>100</v>
      </c>
      <c r="K27" s="604"/>
      <c r="L27" s="1126"/>
      <c r="M27" s="1129"/>
      <c r="N27" s="1129"/>
      <c r="O27" s="1129"/>
      <c r="P27" s="3303"/>
      <c r="Q27" s="767" t="str">
        <f t="shared" si="11"/>
        <v>项目停车位配比</v>
      </c>
      <c r="R27" s="768" t="s">
        <v>17</v>
      </c>
      <c r="S27" s="769">
        <f t="shared" si="12"/>
        <v>100</v>
      </c>
      <c r="T27" s="768" t="s">
        <v>17</v>
      </c>
      <c r="U27" s="769">
        <f t="shared" si="13"/>
        <v>100</v>
      </c>
      <c r="V27" s="768" t="s">
        <v>17</v>
      </c>
      <c r="W27" s="769">
        <f t="shared" si="14"/>
        <v>100</v>
      </c>
      <c r="X27" s="770"/>
      <c r="Y27" s="3303"/>
      <c r="Z27" s="771" t="str">
        <f t="shared" si="15"/>
        <v>项目停车位配比</v>
      </c>
      <c r="AA27" s="1798">
        <f t="shared" si="3"/>
        <v>1</v>
      </c>
      <c r="AB27" s="1798">
        <f t="shared" si="4"/>
        <v>1</v>
      </c>
      <c r="AC27" s="1798">
        <f t="shared" si="5"/>
        <v>1</v>
      </c>
    </row>
    <row r="28" spans="1:29" ht="15">
      <c r="A28" s="647"/>
      <c r="B28" s="645" t="s">
        <v>2704</v>
      </c>
      <c r="C28" s="451" t="s">
        <v>3108</v>
      </c>
      <c r="D28" s="426">
        <v>100</v>
      </c>
      <c r="E28" s="451" t="s">
        <v>3108</v>
      </c>
      <c r="F28" s="452">
        <f>SUMIF(83:83,E28,84:84)-SUMIF(83:83,C28,84:84)+100</f>
        <v>100</v>
      </c>
      <c r="G28" s="451" t="s">
        <v>3108</v>
      </c>
      <c r="H28" s="426">
        <f>SUMIF(83:83,G28,84:84)-SUMIF(83:83,C28,84:84)+100</f>
        <v>100</v>
      </c>
      <c r="I28" s="451" t="s">
        <v>3108</v>
      </c>
      <c r="J28" s="426">
        <f>SUMIF(83:83,I28,84:84)-SUMIF(83:83,C28,84:84)+100</f>
        <v>100</v>
      </c>
      <c r="K28" s="603">
        <f>平层公寓!K36</f>
        <v>2</v>
      </c>
      <c r="L28" s="1128"/>
      <c r="M28" s="1119"/>
      <c r="N28" s="1119"/>
      <c r="O28" s="1119"/>
      <c r="P28" s="3303"/>
      <c r="Q28" s="1797" t="str">
        <f t="shared" si="11"/>
        <v>公共部分装修</v>
      </c>
      <c r="R28" s="765" t="s">
        <v>17</v>
      </c>
      <c r="S28" s="766">
        <f t="shared" si="12"/>
        <v>100</v>
      </c>
      <c r="T28" s="765" t="s">
        <v>17</v>
      </c>
      <c r="U28" s="766">
        <f t="shared" si="13"/>
        <v>100</v>
      </c>
      <c r="V28" s="765" t="s">
        <v>17</v>
      </c>
      <c r="W28" s="766">
        <f t="shared" si="14"/>
        <v>100</v>
      </c>
      <c r="X28" s="1800"/>
      <c r="Y28" s="3303"/>
      <c r="Z28" s="1801" t="str">
        <f t="shared" si="15"/>
        <v>公共部分装修</v>
      </c>
      <c r="AA28" s="1798">
        <f t="shared" si="3"/>
        <v>1</v>
      </c>
      <c r="AB28" s="1798">
        <f t="shared" si="4"/>
        <v>1</v>
      </c>
      <c r="AC28" s="1798">
        <f t="shared" si="5"/>
        <v>1</v>
      </c>
    </row>
    <row r="29" spans="1:29" ht="15">
      <c r="A29" s="647"/>
      <c r="B29" s="645" t="s">
        <v>2705</v>
      </c>
      <c r="C29" s="465">
        <v>1</v>
      </c>
      <c r="D29" s="426">
        <v>100</v>
      </c>
      <c r="E29" s="465">
        <f>ROUND(1-(2018-2014)/60,2)</f>
        <v>0.93</v>
      </c>
      <c r="F29" s="452">
        <f>LOOKUP(E29,86:86,87:87)-LOOKUP(C29,86:86,87:87)+100</f>
        <v>100</v>
      </c>
      <c r="G29" s="465">
        <f>ROUND(1-(2018-2012)/60,2)</f>
        <v>0.9</v>
      </c>
      <c r="H29" s="452">
        <f>LOOKUP(G29,86:86,87:87)-LOOKUP(C29,86:86,87:87)+100</f>
        <v>100</v>
      </c>
      <c r="I29" s="465">
        <f>ROUND(1-(2018-2010)/60,2)</f>
        <v>0.87</v>
      </c>
      <c r="J29" s="426">
        <f>LOOKUP(I29,86:86,87:87)-LOOKUP(C29,86:86,87:87)+100</f>
        <v>99</v>
      </c>
      <c r="K29" s="603">
        <v>1</v>
      </c>
      <c r="L29" s="1128"/>
      <c r="M29" s="1119"/>
      <c r="N29" s="1119"/>
      <c r="O29" s="1119"/>
      <c r="P29" s="3303"/>
      <c r="Q29" s="1797" t="str">
        <f t="shared" si="11"/>
        <v>成新率</v>
      </c>
      <c r="R29" s="765" t="s">
        <v>17</v>
      </c>
      <c r="S29" s="766">
        <f t="shared" si="12"/>
        <v>100</v>
      </c>
      <c r="T29" s="765" t="s">
        <v>17</v>
      </c>
      <c r="U29" s="766">
        <f t="shared" si="13"/>
        <v>100</v>
      </c>
      <c r="V29" s="765" t="s">
        <v>17</v>
      </c>
      <c r="W29" s="766">
        <f t="shared" si="14"/>
        <v>99</v>
      </c>
      <c r="X29" s="1800"/>
      <c r="Y29" s="3303"/>
      <c r="Z29" s="1801" t="str">
        <f t="shared" si="15"/>
        <v>成新率</v>
      </c>
      <c r="AA29" s="1798">
        <f t="shared" si="3"/>
        <v>1</v>
      </c>
      <c r="AB29" s="1798">
        <f t="shared" si="4"/>
        <v>1</v>
      </c>
      <c r="AC29" s="1798">
        <f t="shared" si="5"/>
        <v>1.0101010101010102</v>
      </c>
    </row>
    <row r="30" spans="1:29" ht="15">
      <c r="A30" s="647"/>
      <c r="B30" s="645" t="s">
        <v>2706</v>
      </c>
      <c r="C30" s="648" t="s">
        <v>3109</v>
      </c>
      <c r="D30" s="426">
        <v>100</v>
      </c>
      <c r="E30" s="648" t="s">
        <v>3109</v>
      </c>
      <c r="F30" s="452">
        <f>SUMIF(88:88,E30,89:89)-SUMIF(88:88,C30,89:89)+100</f>
        <v>100</v>
      </c>
      <c r="G30" s="648" t="s">
        <v>3109</v>
      </c>
      <c r="H30" s="426">
        <f>SUMIF(88:88,E30,89:89)-SUMIF(88:88,C30,89:89)+100</f>
        <v>100</v>
      </c>
      <c r="I30" s="648" t="s">
        <v>3109</v>
      </c>
      <c r="J30" s="426">
        <f>SUMIF(88:88,E30,89:89)-SUMIF(88:88,C30,89:89)+100</f>
        <v>100</v>
      </c>
      <c r="K30" s="603">
        <v>2</v>
      </c>
      <c r="L30" s="1128"/>
      <c r="M30" s="1119"/>
      <c r="N30" s="1119"/>
      <c r="O30" s="1119"/>
      <c r="P30" s="3303"/>
      <c r="Q30" s="1797" t="str">
        <f t="shared" si="11"/>
        <v>物业等级</v>
      </c>
      <c r="R30" s="765" t="s">
        <v>17</v>
      </c>
      <c r="S30" s="766">
        <f t="shared" si="12"/>
        <v>100</v>
      </c>
      <c r="T30" s="765" t="s">
        <v>17</v>
      </c>
      <c r="U30" s="766">
        <f t="shared" si="13"/>
        <v>100</v>
      </c>
      <c r="V30" s="765" t="s">
        <v>17</v>
      </c>
      <c r="W30" s="766">
        <f t="shared" si="14"/>
        <v>100</v>
      </c>
      <c r="X30" s="1800"/>
      <c r="Y30" s="3303"/>
      <c r="Z30" s="1801" t="str">
        <f t="shared" si="15"/>
        <v>物业等级</v>
      </c>
      <c r="AA30" s="1798">
        <f t="shared" si="3"/>
        <v>1</v>
      </c>
      <c r="AB30" s="1798">
        <f t="shared" si="4"/>
        <v>1</v>
      </c>
      <c r="AC30" s="1798">
        <f t="shared" si="5"/>
        <v>1</v>
      </c>
    </row>
    <row r="31" spans="1:29" s="110" customFormat="1" ht="15">
      <c r="A31" s="649"/>
      <c r="B31" s="645" t="s">
        <v>2707</v>
      </c>
      <c r="C31" s="460">
        <v>35</v>
      </c>
      <c r="D31" s="127">
        <v>100</v>
      </c>
      <c r="E31" s="460">
        <v>44</v>
      </c>
      <c r="F31" s="452">
        <f>LOOKUP(E31,91:91,92:92)-LOOKUP(C31,91:91,92:92)+100</f>
        <v>102</v>
      </c>
      <c r="G31" s="460">
        <v>29</v>
      </c>
      <c r="H31" s="426">
        <f>LOOKUP(G31,91:91,92:92)-LOOKUP(C31,91:91,92:92)+100</f>
        <v>98</v>
      </c>
      <c r="I31" s="460">
        <v>29</v>
      </c>
      <c r="J31" s="426">
        <f>LOOKUP(I31,91:91,92:92)-LOOKUP(C31,91:91,92:92)+100</f>
        <v>98</v>
      </c>
      <c r="K31" s="603">
        <v>1</v>
      </c>
      <c r="L31" s="1120"/>
      <c r="M31" s="1121"/>
      <c r="N31" s="1121"/>
      <c r="O31" s="1121"/>
      <c r="P31" s="3303"/>
      <c r="Q31" s="1782" t="str">
        <f t="shared" si="11"/>
        <v>停车位面积</v>
      </c>
      <c r="R31" s="761" t="s">
        <v>17</v>
      </c>
      <c r="S31" s="762">
        <f t="shared" si="12"/>
        <v>102</v>
      </c>
      <c r="T31" s="761" t="s">
        <v>17</v>
      </c>
      <c r="U31" s="762">
        <f t="shared" si="13"/>
        <v>98</v>
      </c>
      <c r="V31" s="761" t="s">
        <v>17</v>
      </c>
      <c r="W31" s="762">
        <f t="shared" si="14"/>
        <v>98</v>
      </c>
      <c r="X31" s="763"/>
      <c r="Y31" s="3303"/>
      <c r="Z31" s="54" t="str">
        <f t="shared" si="15"/>
        <v>停车位面积</v>
      </c>
      <c r="AA31" s="764">
        <f t="shared" si="3"/>
        <v>0.98039215686274506</v>
      </c>
      <c r="AB31" s="764">
        <f t="shared" si="4"/>
        <v>1.0204081632653061</v>
      </c>
      <c r="AC31" s="764">
        <f t="shared" si="5"/>
        <v>1.0204081632653061</v>
      </c>
    </row>
    <row r="32" spans="1:29" ht="15.75" thickBot="1">
      <c r="A32" s="647"/>
      <c r="B32" s="645" t="s">
        <v>2708</v>
      </c>
      <c r="C32" s="451" t="s">
        <v>3133</v>
      </c>
      <c r="D32" s="426">
        <v>100</v>
      </c>
      <c r="E32" s="451" t="s">
        <v>3133</v>
      </c>
      <c r="F32" s="452">
        <f>SUMIF(93:93,E32,94:94)-SUMIF(93:93,C32,94:94)+100</f>
        <v>100</v>
      </c>
      <c r="G32" s="451" t="s">
        <v>3133</v>
      </c>
      <c r="H32" s="426">
        <f>SUMIF(93:93,G32,94:94)-SUMIF(93:93,C32,94:94)+100</f>
        <v>100</v>
      </c>
      <c r="I32" s="451" t="s">
        <v>3133</v>
      </c>
      <c r="J32" s="426">
        <f>SUMIF(93:93,I32,94:94)-SUMIF(93:93,C32,94:94)+100</f>
        <v>100</v>
      </c>
      <c r="K32" s="603">
        <v>1</v>
      </c>
      <c r="L32" s="1128"/>
      <c r="M32" s="1119"/>
      <c r="N32" s="1119"/>
      <c r="O32" s="1119"/>
      <c r="P32" s="3303" t="s">
        <v>2555</v>
      </c>
      <c r="Q32" s="1797" t="str">
        <f t="shared" si="11"/>
        <v>车位类型</v>
      </c>
      <c r="R32" s="765" t="s">
        <v>17</v>
      </c>
      <c r="S32" s="766">
        <f t="shared" si="12"/>
        <v>100</v>
      </c>
      <c r="T32" s="765" t="s">
        <v>17</v>
      </c>
      <c r="U32" s="766">
        <f t="shared" si="13"/>
        <v>100</v>
      </c>
      <c r="V32" s="765" t="s">
        <v>17</v>
      </c>
      <c r="W32" s="766">
        <f t="shared" si="14"/>
        <v>100</v>
      </c>
      <c r="X32" s="1800"/>
      <c r="Y32" s="3303" t="s">
        <v>2555</v>
      </c>
      <c r="Z32" s="1801" t="str">
        <f t="shared" si="15"/>
        <v>车位类型</v>
      </c>
      <c r="AA32" s="1798">
        <f t="shared" si="3"/>
        <v>1</v>
      </c>
      <c r="AB32" s="1798">
        <f t="shared" si="4"/>
        <v>1</v>
      </c>
      <c r="AC32" s="1798">
        <f t="shared" si="5"/>
        <v>1</v>
      </c>
    </row>
    <row r="33" spans="1:29" ht="15.75" hidden="1" thickBot="1">
      <c r="A33" s="647"/>
      <c r="B33" s="645" t="s">
        <v>2709</v>
      </c>
      <c r="C33" s="451"/>
      <c r="D33" s="426">
        <v>100</v>
      </c>
      <c r="E33" s="451"/>
      <c r="F33" s="452">
        <f>SUMIF(95:95,E33,96:96)-SUMIF(95:95,C33,96:96)+100</f>
        <v>100</v>
      </c>
      <c r="G33" s="451"/>
      <c r="H33" s="426">
        <f>SUMIF(95:95,G33,96:96)-SUMIF(95:95,C33,96:96)+100</f>
        <v>100</v>
      </c>
      <c r="I33" s="451"/>
      <c r="J33" s="426">
        <f>SUMIF(95:95,I33,96:96)-SUMIF(95:95,C33,96:96)+100</f>
        <v>100</v>
      </c>
      <c r="K33" s="603"/>
      <c r="L33" s="1128"/>
      <c r="M33" s="1119"/>
      <c r="N33" s="1119"/>
      <c r="O33" s="1119"/>
      <c r="P33" s="3303"/>
      <c r="Q33" s="1797" t="str">
        <f t="shared" si="11"/>
        <v>是否直接入户</v>
      </c>
      <c r="R33" s="765" t="s">
        <v>17</v>
      </c>
      <c r="S33" s="766">
        <f t="shared" si="12"/>
        <v>100</v>
      </c>
      <c r="T33" s="765" t="s">
        <v>17</v>
      </c>
      <c r="U33" s="766">
        <f t="shared" si="13"/>
        <v>100</v>
      </c>
      <c r="V33" s="765" t="s">
        <v>17</v>
      </c>
      <c r="W33" s="766">
        <f t="shared" si="14"/>
        <v>100</v>
      </c>
      <c r="X33" s="1800"/>
      <c r="Y33" s="3303"/>
      <c r="Z33" s="1801" t="str">
        <f t="shared" si="15"/>
        <v>是否直接入户</v>
      </c>
      <c r="AA33" s="1798">
        <f t="shared" si="3"/>
        <v>1</v>
      </c>
      <c r="AB33" s="1798">
        <f t="shared" si="4"/>
        <v>1</v>
      </c>
      <c r="AC33" s="1798">
        <f t="shared" si="5"/>
        <v>1</v>
      </c>
    </row>
    <row r="34" spans="1:29" ht="15" hidden="1">
      <c r="A34" s="647"/>
      <c r="B34" s="639"/>
      <c r="C34" s="423"/>
      <c r="D34" s="426">
        <v>100</v>
      </c>
      <c r="E34" s="423"/>
      <c r="F34" s="452">
        <f>SUMIF(97:97,E34,98:98)-SUMIF(97:97,C34,98:98)+100</f>
        <v>100</v>
      </c>
      <c r="G34" s="423"/>
      <c r="H34" s="426">
        <f>SUMIF(97:97,G34,98:98)-SUMIF(97:97,C34,98:98)+100</f>
        <v>100</v>
      </c>
      <c r="I34" s="423"/>
      <c r="J34" s="426">
        <f>SUMIF(97:97,I34,98:98)-SUMIF(97:97,C34,98:98)+100</f>
        <v>100</v>
      </c>
      <c r="K34" s="604"/>
      <c r="L34" s="1128"/>
      <c r="M34" s="1119"/>
      <c r="N34" s="1119"/>
      <c r="O34" s="1119"/>
      <c r="P34" s="3303"/>
      <c r="Q34" s="1797">
        <f t="shared" si="11"/>
        <v>0</v>
      </c>
      <c r="R34" s="765" t="s">
        <v>17</v>
      </c>
      <c r="S34" s="766">
        <f t="shared" si="12"/>
        <v>100</v>
      </c>
      <c r="T34" s="765" t="s">
        <v>17</v>
      </c>
      <c r="U34" s="766">
        <f t="shared" si="13"/>
        <v>100</v>
      </c>
      <c r="V34" s="765" t="s">
        <v>17</v>
      </c>
      <c r="W34" s="766">
        <f t="shared" si="14"/>
        <v>100</v>
      </c>
      <c r="X34" s="1800"/>
      <c r="Y34" s="3303"/>
      <c r="Z34" s="1801">
        <f t="shared" si="15"/>
        <v>0</v>
      </c>
      <c r="AA34" s="1798">
        <f t="shared" si="3"/>
        <v>1</v>
      </c>
      <c r="AB34" s="1798">
        <f t="shared" si="4"/>
        <v>1</v>
      </c>
      <c r="AC34" s="1798">
        <f t="shared" si="5"/>
        <v>1</v>
      </c>
    </row>
    <row r="35" spans="1:29" s="462" customFormat="1" ht="15" hidden="1">
      <c r="A35" s="644"/>
      <c r="B35" s="639"/>
      <c r="C35" s="423"/>
      <c r="D35" s="426">
        <v>100</v>
      </c>
      <c r="E35" s="423"/>
      <c r="F35" s="452">
        <f>SUMIF(99:99,E35,100:100)-SUMIF(99:99,C35,100:100)+100</f>
        <v>100</v>
      </c>
      <c r="G35" s="423"/>
      <c r="H35" s="426">
        <f>SUMIF(99:99,G35,100:100)-SUMIF(99:99,C35,100:100)+100</f>
        <v>100</v>
      </c>
      <c r="I35" s="423"/>
      <c r="J35" s="426">
        <f>SUMIF(99:99,I35,100:100)-SUMIF(99:99,C35,100:100)+100</f>
        <v>100</v>
      </c>
      <c r="K35" s="604"/>
      <c r="L35" s="1126"/>
      <c r="M35" s="1129"/>
      <c r="N35" s="1129"/>
      <c r="O35" s="1129"/>
      <c r="P35" s="3303"/>
      <c r="Q35" s="767">
        <f t="shared" si="11"/>
        <v>0</v>
      </c>
      <c r="R35" s="768" t="s">
        <v>17</v>
      </c>
      <c r="S35" s="769">
        <f t="shared" si="12"/>
        <v>100</v>
      </c>
      <c r="T35" s="768" t="s">
        <v>17</v>
      </c>
      <c r="U35" s="769">
        <f t="shared" si="13"/>
        <v>100</v>
      </c>
      <c r="V35" s="768" t="s">
        <v>17</v>
      </c>
      <c r="W35" s="769">
        <f t="shared" si="14"/>
        <v>100</v>
      </c>
      <c r="X35" s="770"/>
      <c r="Y35" s="3303"/>
      <c r="Z35" s="771">
        <f t="shared" si="15"/>
        <v>0</v>
      </c>
      <c r="AA35" s="1798">
        <f t="shared" si="3"/>
        <v>1</v>
      </c>
      <c r="AB35" s="1798">
        <f t="shared" si="4"/>
        <v>1</v>
      </c>
      <c r="AC35" s="1798">
        <f t="shared" si="5"/>
        <v>1</v>
      </c>
    </row>
    <row r="36" spans="1:29" ht="15.75" hidden="1" thickBot="1">
      <c r="A36" s="650"/>
      <c r="B36" s="626"/>
      <c r="C36" s="425"/>
      <c r="D36" s="426">
        <v>100</v>
      </c>
      <c r="E36" s="423"/>
      <c r="F36" s="452">
        <f>SUMIF(101:101,E36,102:102)-SUMIF(101:101,C36,102:102)+100</f>
        <v>100</v>
      </c>
      <c r="G36" s="423"/>
      <c r="H36" s="426">
        <f>SUMIF(101:101,G36,102:102)-SUMIF(101:101,C36,102:102)+100</f>
        <v>100</v>
      </c>
      <c r="I36" s="423"/>
      <c r="J36" s="426">
        <f>SUMIF(101:101,I36,102:102)-SUMIF(101:101,C36,102:102)+100</f>
        <v>100</v>
      </c>
      <c r="K36" s="604"/>
      <c r="L36" s="1128"/>
      <c r="M36" s="1119"/>
      <c r="N36" s="1119"/>
      <c r="O36" s="1119"/>
      <c r="P36" s="3303"/>
      <c r="Q36" s="1797">
        <f t="shared" si="11"/>
        <v>0</v>
      </c>
      <c r="R36" s="765" t="s">
        <v>17</v>
      </c>
      <c r="S36" s="766">
        <f t="shared" si="12"/>
        <v>100</v>
      </c>
      <c r="T36" s="765" t="s">
        <v>17</v>
      </c>
      <c r="U36" s="766">
        <f t="shared" si="13"/>
        <v>100</v>
      </c>
      <c r="V36" s="765" t="s">
        <v>17</v>
      </c>
      <c r="W36" s="766">
        <f t="shared" si="14"/>
        <v>100</v>
      </c>
      <c r="X36" s="1800"/>
      <c r="Y36" s="3303"/>
      <c r="Z36" s="1801">
        <f t="shared" si="15"/>
        <v>0</v>
      </c>
      <c r="AA36" s="1798">
        <f t="shared" si="3"/>
        <v>1</v>
      </c>
      <c r="AB36" s="1798">
        <f t="shared" si="4"/>
        <v>1</v>
      </c>
      <c r="AC36" s="1798">
        <f t="shared" si="5"/>
        <v>1</v>
      </c>
    </row>
    <row r="37" spans="1:29" ht="15">
      <c r="A37" s="470" t="s">
        <v>2710</v>
      </c>
      <c r="B37" s="2683" t="s">
        <v>2711</v>
      </c>
      <c r="C37" s="1395" t="s">
        <v>1</v>
      </c>
      <c r="D37" s="1396"/>
      <c r="E37" s="1397">
        <v>200000</v>
      </c>
      <c r="F37" s="1398"/>
      <c r="G37" s="1399">
        <v>200000</v>
      </c>
      <c r="H37" s="1400"/>
      <c r="I37" s="1397">
        <v>200000</v>
      </c>
      <c r="J37" s="1400"/>
      <c r="K37" s="610"/>
      <c r="L37" s="1131"/>
      <c r="M37" s="1132"/>
      <c r="N37" s="1119"/>
      <c r="O37" s="1132"/>
      <c r="P37" s="3285" t="str">
        <f>A37</f>
        <v>成交单价</v>
      </c>
      <c r="Q37" s="3285"/>
      <c r="R37" s="3313">
        <f>E37</f>
        <v>200000</v>
      </c>
      <c r="S37" s="3313"/>
      <c r="T37" s="3313">
        <f>G37</f>
        <v>200000</v>
      </c>
      <c r="U37" s="3313"/>
      <c r="V37" s="3313">
        <f>I37</f>
        <v>200000</v>
      </c>
      <c r="W37" s="3313"/>
      <c r="X37" s="750"/>
      <c r="Y37" s="772"/>
      <c r="Z37" s="750"/>
      <c r="AA37" s="750"/>
      <c r="AB37" s="750"/>
      <c r="AC37" s="750"/>
    </row>
    <row r="38" spans="1:29" ht="15.75" thickBot="1">
      <c r="A38" s="477" t="s">
        <v>2712</v>
      </c>
      <c r="B38" s="478" t="str">
        <f>B37</f>
        <v>元/车位</v>
      </c>
      <c r="C38" s="1401" t="e">
        <f>R39</f>
        <v>#DIV/0!</v>
      </c>
      <c r="D38" s="1402"/>
      <c r="E38" s="1403" t="e">
        <f>R38</f>
        <v>#DIV/0!</v>
      </c>
      <c r="F38" s="1403"/>
      <c r="G38" s="1401" t="e">
        <f>T38</f>
        <v>#DIV/0!</v>
      </c>
      <c r="H38" s="1402"/>
      <c r="I38" s="1403" t="e">
        <f>V38</f>
        <v>#DIV/0!</v>
      </c>
      <c r="J38" s="1402"/>
      <c r="K38" s="611"/>
      <c r="L38" s="1131"/>
      <c r="M38" s="1132"/>
      <c r="N38" s="1132"/>
      <c r="O38" s="1132"/>
      <c r="P38" s="3285" t="str">
        <f>A38</f>
        <v>比较价值（元/平方米）</v>
      </c>
      <c r="Q38" s="3285"/>
      <c r="R38" s="3313" t="e">
        <f>IF(F1="售价",ROUND(PRODUCT(R37,AA7:AA36),0),ROUND(PRODUCT(R37,AA7:AA36),1))</f>
        <v>#DIV/0!</v>
      </c>
      <c r="S38" s="3313"/>
      <c r="T38" s="3313" t="e">
        <f>IF(F1="售价",ROUND(PRODUCT(T37,AB7:AB36),0),ROUND(PRODUCT(T37,AB7:AB36),1))</f>
        <v>#DIV/0!</v>
      </c>
      <c r="U38" s="3313"/>
      <c r="V38" s="3313" t="e">
        <f>IF(F1="售价",ROUND(PRODUCT(V37,AC7:AC36),0),ROUND(PRODUCT(V37,AC7:AC36),1))</f>
        <v>#DIV/0!</v>
      </c>
      <c r="W38" s="3313"/>
      <c r="X38" s="750"/>
      <c r="Y38" s="750"/>
      <c r="Z38" s="750"/>
      <c r="AA38" s="750"/>
      <c r="AB38" s="750"/>
      <c r="AC38" s="750"/>
    </row>
    <row r="39" spans="1:29" ht="15.75" thickBot="1">
      <c r="A39" s="483" t="s">
        <v>2713</v>
      </c>
      <c r="B39" s="484"/>
      <c r="C39" s="1405" t="e">
        <f>R39</f>
        <v>#DIV/0!</v>
      </c>
      <c r="D39" s="1405"/>
      <c r="E39" s="1405"/>
      <c r="F39" s="1405"/>
      <c r="G39" s="1405"/>
      <c r="H39" s="1405"/>
      <c r="I39" s="1405"/>
      <c r="J39" s="1405"/>
      <c r="K39" s="612"/>
      <c r="L39" s="1131"/>
      <c r="M39" s="1132"/>
      <c r="N39" s="1132"/>
      <c r="O39" s="1132"/>
      <c r="P39" s="3305" t="str">
        <f>A39</f>
        <v>估价对象XX用房的比较价值（楼面单价，元/平方米）</v>
      </c>
      <c r="Q39" s="3306"/>
      <c r="R39" s="3312" t="e">
        <f>IF(F1="售价",ROUND(AVERAGE(R38:V38),0),ROUND(AVERAGE(R38:V38),1))</f>
        <v>#DIV/0!</v>
      </c>
      <c r="S39" s="3312"/>
      <c r="T39" s="3312"/>
      <c r="U39" s="3312"/>
      <c r="V39" s="3312"/>
      <c r="W39" s="3312"/>
      <c r="X39" s="750"/>
      <c r="Y39" s="750"/>
      <c r="Z39" s="750"/>
      <c r="AA39" s="750"/>
      <c r="AB39" s="750"/>
      <c r="AC39" s="750"/>
    </row>
    <row r="40" spans="1:29">
      <c r="A40" s="1132"/>
      <c r="B40" s="1132"/>
      <c r="C40" s="1132"/>
      <c r="D40" s="1132"/>
      <c r="E40" s="1132"/>
      <c r="F40" s="1132"/>
      <c r="G40" s="1135"/>
      <c r="H40" s="1132"/>
      <c r="I40" s="1132"/>
      <c r="J40" s="1132"/>
      <c r="K40" s="1093"/>
      <c r="L40" s="1094"/>
      <c r="M40" s="1132"/>
      <c r="N40" s="1132"/>
      <c r="O40" s="1132"/>
      <c r="P40" s="1408"/>
      <c r="Q40" s="1132"/>
      <c r="R40" s="1132"/>
      <c r="S40" s="1132"/>
      <c r="T40" s="1132"/>
      <c r="U40" s="1132"/>
      <c r="V40" s="1132"/>
      <c r="W40" s="1132"/>
      <c r="X40" s="1132"/>
      <c r="Y40" s="1132"/>
      <c r="Z40" s="1132"/>
      <c r="AA40" s="1132"/>
      <c r="AB40" s="1132"/>
      <c r="AC40" s="1132"/>
    </row>
    <row r="41" spans="1:29">
      <c r="A41" s="1132"/>
      <c r="B41" s="1132"/>
      <c r="C41" s="1132"/>
      <c r="D41" s="1132"/>
      <c r="E41" s="1132"/>
      <c r="F41" s="1132"/>
      <c r="G41" s="1132"/>
      <c r="H41" s="1132"/>
      <c r="I41" s="1132"/>
      <c r="J41" s="1132"/>
      <c r="K41" s="1093"/>
      <c r="L41" s="1094"/>
      <c r="M41" s="1132"/>
      <c r="N41" s="1132"/>
      <c r="O41" s="1132"/>
      <c r="P41" s="1408"/>
      <c r="Q41" s="1132"/>
      <c r="R41" s="1132"/>
      <c r="S41" s="1132"/>
      <c r="T41" s="1132"/>
      <c r="U41" s="1132"/>
      <c r="V41" s="1132"/>
      <c r="W41" s="1132"/>
      <c r="X41" s="1132"/>
      <c r="Y41" s="1132"/>
      <c r="Z41" s="1132"/>
      <c r="AA41" s="1132"/>
      <c r="AB41" s="1132"/>
      <c r="AC41" s="1132"/>
    </row>
    <row r="42" spans="1:29" ht="13.5" customHeight="1">
      <c r="A42" s="1132"/>
      <c r="B42" s="1132"/>
      <c r="C42" s="488" t="s">
        <v>2714</v>
      </c>
      <c r="D42" s="489"/>
      <c r="E42" s="490" t="e">
        <f>IF(E37&lt;E38,E38/E37-1,E37/E38-1)</f>
        <v>#DIV/0!</v>
      </c>
      <c r="F42" s="491" t="e">
        <f>IF(OR(E42&gt;=0.3,E42&lt;=-0.3),"超过30%","")</f>
        <v>#DIV/0!</v>
      </c>
      <c r="G42" s="490" t="e">
        <f>IF(G37&lt;G38,G38/G37-1,G37/G38-1)</f>
        <v>#DIV/0!</v>
      </c>
      <c r="H42" s="491" t="e">
        <f>IF(OR(G42&gt;=0.3,G42&lt;=-0.3),"超过30%","")</f>
        <v>#DIV/0!</v>
      </c>
      <c r="I42" s="490" t="e">
        <f>IF(I37&lt;I38,I38/I37-1,I37/I38-1)</f>
        <v>#DIV/0!</v>
      </c>
      <c r="J42" s="491" t="e">
        <f>IF(OR(I42&gt;=0.3,I42&lt;=-0.3),"超过30%","")</f>
        <v>#DIV/0!</v>
      </c>
      <c r="K42" s="1093"/>
      <c r="L42" s="1094"/>
      <c r="M42" s="1132"/>
      <c r="N42" s="1132"/>
      <c r="O42" s="1132"/>
      <c r="P42" s="1408"/>
      <c r="Q42" s="1132"/>
      <c r="R42" s="1132"/>
      <c r="S42" s="1132"/>
      <c r="T42" s="1132"/>
      <c r="U42" s="1132"/>
      <c r="V42" s="1132"/>
      <c r="W42" s="1132"/>
      <c r="X42" s="1132"/>
      <c r="Y42" s="1132"/>
      <c r="Z42" s="1132"/>
      <c r="AA42" s="1132"/>
      <c r="AB42" s="1132"/>
      <c r="AC42" s="1132"/>
    </row>
    <row r="43" spans="1:29" ht="13.5" customHeight="1">
      <c r="A43" s="1132"/>
      <c r="B43" s="1132"/>
      <c r="C43" s="488" t="s">
        <v>2715</v>
      </c>
      <c r="D43" s="492"/>
      <c r="E43" s="490" t="e">
        <f>IF(E38&lt;G38,G38/E38-1,E38/G38-1)</f>
        <v>#DIV/0!</v>
      </c>
      <c r="F43" s="491" t="e">
        <f>IF(OR(E43&gt;=0.2,E43&lt;=-0.2),"超过20%","")</f>
        <v>#DIV/0!</v>
      </c>
      <c r="G43" s="490" t="e">
        <f>IF(G38&lt;I38,I38/G38-1,G38/I38-1)</f>
        <v>#DIV/0!</v>
      </c>
      <c r="H43" s="491" t="e">
        <f>IF(OR(G43&gt;=0.2,G43&lt;=-0.2),"超过20%","")</f>
        <v>#DIV/0!</v>
      </c>
      <c r="I43" s="490" t="e">
        <f>IF(I38&lt;E38,E38/I38-1,I38/E38-1)</f>
        <v>#DIV/0!</v>
      </c>
      <c r="J43" s="491" t="e">
        <f>IF(OR(I43&gt;=0.2,I43&lt;=-0.2),"超过20%","")</f>
        <v>#DIV/0!</v>
      </c>
      <c r="K43" s="1093"/>
      <c r="L43" s="1094"/>
      <c r="M43" s="1132"/>
      <c r="N43" s="1132"/>
      <c r="O43" s="1132"/>
      <c r="P43" s="1408"/>
      <c r="Q43" s="1132"/>
      <c r="R43" s="1132"/>
      <c r="S43" s="1132"/>
      <c r="T43" s="1132"/>
      <c r="U43" s="1132"/>
      <c r="V43" s="1132"/>
      <c r="W43" s="1132"/>
      <c r="X43" s="1132"/>
      <c r="Y43" s="1132"/>
      <c r="Z43" s="1132"/>
      <c r="AA43" s="1132"/>
      <c r="AB43" s="1132"/>
      <c r="AC43" s="1132"/>
    </row>
    <row r="44" spans="1:29" s="493" customFormat="1" ht="13.5" customHeight="1">
      <c r="A44" s="1133"/>
      <c r="B44" s="1133"/>
      <c r="C44" s="488" t="s">
        <v>2716</v>
      </c>
      <c r="D44" s="492"/>
      <c r="E44" s="490">
        <f>IF(E37&lt;G37,G37/E37-1,E37/G37-1)</f>
        <v>0</v>
      </c>
      <c r="F44" s="491" t="str">
        <f>IF(OR(E44&gt;=0.3,E44&lt;=-0.3),"超过30%","")</f>
        <v/>
      </c>
      <c r="G44" s="490">
        <f>IF(G37&lt;I37,I37/G37-1,G37/I37-1)</f>
        <v>0</v>
      </c>
      <c r="H44" s="491" t="str">
        <f>IF(OR(G44&gt;=0.3,G44&lt;=-0.3),"超过30%","")</f>
        <v/>
      </c>
      <c r="I44" s="490">
        <f>IF(I37&lt;E37,E37/I37-1,I37/E37-1)</f>
        <v>0</v>
      </c>
      <c r="J44" s="491" t="str">
        <f>IF(OR(I44&gt;=0.3,I44&lt;=-0.3),"超过30%","")</f>
        <v/>
      </c>
      <c r="K44" s="1136"/>
      <c r="L44" s="1137"/>
      <c r="M44" s="1133"/>
      <c r="N44" s="1133"/>
      <c r="O44" s="1133"/>
      <c r="P44" s="1409"/>
      <c r="Q44" s="1133"/>
      <c r="R44" s="1133"/>
      <c r="S44" s="1133"/>
      <c r="T44" s="1133"/>
      <c r="U44" s="1133"/>
      <c r="V44" s="1133"/>
      <c r="W44" s="1133"/>
      <c r="X44" s="1133"/>
      <c r="Y44" s="1133"/>
      <c r="Z44" s="1133"/>
      <c r="AA44" s="1133"/>
      <c r="AB44" s="1133"/>
      <c r="AC44" s="1133"/>
    </row>
    <row r="45" spans="1:29" s="493" customFormat="1">
      <c r="A45" s="1133"/>
      <c r="B45" s="1134"/>
      <c r="C45" s="1138"/>
      <c r="D45" s="1133"/>
      <c r="E45" s="1133"/>
      <c r="F45" s="1133"/>
      <c r="G45" s="1133"/>
      <c r="H45" s="1133"/>
      <c r="I45" s="1133"/>
      <c r="J45" s="1133"/>
      <c r="K45" s="1136"/>
      <c r="L45" s="1137"/>
      <c r="M45" s="1133"/>
      <c r="N45" s="1133"/>
      <c r="O45" s="1133"/>
      <c r="P45" s="1409"/>
      <c r="Q45" s="1133"/>
      <c r="R45" s="1133"/>
      <c r="S45" s="1133"/>
      <c r="T45" s="1133"/>
      <c r="U45" s="1133"/>
      <c r="V45" s="1133"/>
      <c r="W45" s="1133"/>
      <c r="X45" s="1133"/>
      <c r="Y45" s="1133"/>
      <c r="Z45" s="1133"/>
      <c r="AA45" s="1133"/>
      <c r="AB45" s="1133"/>
      <c r="AC45" s="1133"/>
    </row>
    <row r="46" spans="1:29">
      <c r="A46" s="1132"/>
      <c r="B46" s="1134"/>
      <c r="C46" s="1138"/>
      <c r="D46" s="1132"/>
      <c r="E46" s="1132"/>
      <c r="F46" s="1132"/>
      <c r="G46" s="1132"/>
      <c r="H46" s="1132"/>
      <c r="I46" s="1132"/>
      <c r="J46" s="1132"/>
      <c r="K46" s="1093"/>
      <c r="L46" s="1094"/>
      <c r="M46" s="1132"/>
      <c r="N46" s="1132"/>
      <c r="O46" s="1132"/>
      <c r="P46" s="1408"/>
      <c r="Q46" s="1132"/>
      <c r="R46" s="1132"/>
      <c r="S46" s="1132"/>
      <c r="T46" s="1132"/>
      <c r="U46" s="1132"/>
      <c r="V46" s="1132"/>
      <c r="W46" s="1132"/>
      <c r="X46" s="1132"/>
      <c r="Y46" s="1132"/>
      <c r="Z46" s="1132"/>
      <c r="AA46" s="1132"/>
      <c r="AB46" s="1132"/>
      <c r="AC46" s="1132"/>
    </row>
    <row r="47" spans="1:29" ht="21.75" thickBot="1">
      <c r="A47" s="1412" t="s">
        <v>2717</v>
      </c>
      <c r="B47" s="1132"/>
      <c r="C47" s="1147"/>
      <c r="D47" s="1147"/>
      <c r="E47" s="1147"/>
      <c r="F47" s="1413"/>
      <c r="G47" s="1413"/>
      <c r="H47" s="1147"/>
      <c r="I47" s="1147"/>
      <c r="J47" s="1147"/>
      <c r="K47" s="1148"/>
      <c r="L47" s="1149"/>
      <c r="M47" s="1147"/>
      <c r="N47" s="1147"/>
      <c r="O47" s="1147"/>
      <c r="P47" s="1410"/>
      <c r="Q47" s="1411"/>
      <c r="R47" s="1132"/>
      <c r="S47" s="1132"/>
      <c r="T47" s="1132"/>
      <c r="U47" s="1132"/>
      <c r="V47" s="1132"/>
      <c r="W47" s="1132"/>
      <c r="X47" s="1132"/>
      <c r="Y47" s="1132"/>
      <c r="Z47" s="1132"/>
      <c r="AA47" s="1132"/>
      <c r="AB47" s="1132"/>
      <c r="AC47" s="1132"/>
    </row>
    <row r="48" spans="1:29" s="499" customFormat="1" ht="15">
      <c r="A48" s="496" t="s">
        <v>2718</v>
      </c>
      <c r="B48" s="497"/>
      <c r="C48" s="1561" t="str">
        <f>YEAR(C7)&amp;"-"&amp;MONTH(C7)</f>
        <v>2019-2</v>
      </c>
      <c r="D48" s="1562">
        <f>EDATE(C48,-1)</f>
        <v>43466</v>
      </c>
      <c r="E48" s="1562">
        <f t="shared" ref="E48:O48" si="16">EDATE(D48,-1)</f>
        <v>43435</v>
      </c>
      <c r="F48" s="1562">
        <f t="shared" si="16"/>
        <v>43405</v>
      </c>
      <c r="G48" s="1562">
        <f t="shared" si="16"/>
        <v>43374</v>
      </c>
      <c r="H48" s="1562">
        <f t="shared" si="16"/>
        <v>43344</v>
      </c>
      <c r="I48" s="1562">
        <f t="shared" si="16"/>
        <v>43313</v>
      </c>
      <c r="J48" s="1562">
        <f t="shared" si="16"/>
        <v>43282</v>
      </c>
      <c r="K48" s="1562">
        <f t="shared" si="16"/>
        <v>43252</v>
      </c>
      <c r="L48" s="1562">
        <f t="shared" si="16"/>
        <v>43221</v>
      </c>
      <c r="M48" s="1562">
        <f t="shared" si="16"/>
        <v>43191</v>
      </c>
      <c r="N48" s="1562">
        <f t="shared" si="16"/>
        <v>43160</v>
      </c>
      <c r="O48" s="1562">
        <f t="shared" si="16"/>
        <v>43132</v>
      </c>
      <c r="P48" s="1426"/>
      <c r="Q48" s="1427"/>
      <c r="R48" s="1427"/>
      <c r="S48" s="1427"/>
      <c r="T48" s="1427"/>
      <c r="U48" s="1427"/>
      <c r="V48" s="1427"/>
      <c r="W48" s="1427"/>
      <c r="X48" s="1427"/>
      <c r="Y48" s="1427"/>
      <c r="Z48" s="1427"/>
      <c r="AA48" s="1427"/>
      <c r="AB48" s="1427"/>
      <c r="AC48" s="1427"/>
    </row>
    <row r="49" spans="1:29" s="110" customFormat="1" ht="15">
      <c r="A49" s="500"/>
      <c r="B49" s="501"/>
      <c r="C49" s="1554">
        <v>100</v>
      </c>
      <c r="D49" s="503"/>
      <c r="E49" s="503"/>
      <c r="F49" s="503"/>
      <c r="G49" s="503"/>
      <c r="H49" s="503"/>
      <c r="I49" s="503"/>
      <c r="J49" s="503"/>
      <c r="K49" s="503"/>
      <c r="L49" s="503"/>
      <c r="M49" s="504"/>
      <c r="N49" s="503"/>
      <c r="O49" s="504"/>
      <c r="P49" s="1416"/>
      <c r="Q49" s="1415"/>
      <c r="R49" s="1415"/>
      <c r="S49" s="1415"/>
      <c r="T49" s="1415"/>
      <c r="U49" s="1415"/>
      <c r="V49" s="1415"/>
      <c r="W49" s="1415"/>
      <c r="X49" s="1415"/>
      <c r="Y49" s="1415"/>
      <c r="Z49" s="1415"/>
      <c r="AA49" s="1415"/>
      <c r="AB49" s="1415"/>
      <c r="AC49" s="1415"/>
    </row>
    <row r="50" spans="1:29" s="110" customFormat="1" ht="15.75" thickBot="1">
      <c r="A50" s="506" t="s">
        <v>2575</v>
      </c>
      <c r="B50" s="507"/>
      <c r="C50" s="508"/>
      <c r="D50" s="509"/>
      <c r="E50" s="509"/>
      <c r="F50" s="509"/>
      <c r="G50" s="509"/>
      <c r="H50" s="509"/>
      <c r="I50" s="509"/>
      <c r="J50" s="509"/>
      <c r="K50" s="509"/>
      <c r="L50" s="509"/>
      <c r="M50" s="510"/>
      <c r="N50" s="509"/>
      <c r="O50" s="510"/>
      <c r="P50" s="1416"/>
      <c r="Q50" s="1411"/>
      <c r="R50" s="1415"/>
      <c r="S50" s="1415"/>
      <c r="T50" s="1415"/>
      <c r="U50" s="1415"/>
      <c r="V50" s="1415"/>
      <c r="W50" s="1415"/>
      <c r="X50" s="1415"/>
      <c r="Y50" s="1415"/>
      <c r="Z50" s="1415"/>
      <c r="AA50" s="1415"/>
      <c r="AB50" s="1415"/>
      <c r="AC50" s="1415"/>
    </row>
    <row r="51" spans="1:29" s="110" customFormat="1" ht="15">
      <c r="A51" s="512" t="s">
        <v>2540</v>
      </c>
      <c r="B51" s="501"/>
      <c r="C51" s="513" t="s">
        <v>2642</v>
      </c>
      <c r="D51" s="514"/>
      <c r="E51" s="514"/>
      <c r="F51" s="514"/>
      <c r="G51" s="514"/>
      <c r="H51" s="514"/>
      <c r="I51" s="514"/>
      <c r="J51" s="514"/>
      <c r="K51" s="514"/>
      <c r="L51" s="515"/>
      <c r="M51" s="516"/>
      <c r="N51" s="1139"/>
      <c r="O51" s="1139"/>
      <c r="P51" s="1414"/>
      <c r="Q51" s="1411"/>
      <c r="R51" s="1415"/>
      <c r="S51" s="1415"/>
      <c r="T51" s="1415"/>
      <c r="U51" s="1415"/>
      <c r="V51" s="1415"/>
      <c r="W51" s="1415"/>
      <c r="X51" s="1415"/>
      <c r="Y51" s="1415"/>
      <c r="Z51" s="1415"/>
      <c r="AA51" s="1415"/>
      <c r="AB51" s="1415"/>
      <c r="AC51" s="1415"/>
    </row>
    <row r="52" spans="1:29" s="110" customFormat="1" ht="15.75" thickBot="1">
      <c r="A52" s="512"/>
      <c r="B52" s="501"/>
      <c r="C52" s="630">
        <v>100</v>
      </c>
      <c r="D52" s="503"/>
      <c r="E52" s="503"/>
      <c r="F52" s="503"/>
      <c r="G52" s="503"/>
      <c r="H52" s="503"/>
      <c r="I52" s="503"/>
      <c r="J52" s="503"/>
      <c r="K52" s="503"/>
      <c r="L52" s="503"/>
      <c r="M52" s="505"/>
      <c r="N52" s="1139"/>
      <c r="O52" s="1139"/>
      <c r="P52" s="1416"/>
      <c r="Q52" s="1411"/>
      <c r="R52" s="1415"/>
      <c r="S52" s="1415"/>
      <c r="T52" s="1415"/>
      <c r="U52" s="1415"/>
      <c r="V52" s="1415"/>
      <c r="W52" s="1415"/>
      <c r="X52" s="1415"/>
      <c r="Y52" s="1415"/>
      <c r="Z52" s="1415"/>
      <c r="AA52" s="1415"/>
      <c r="AB52" s="1415"/>
      <c r="AC52" s="1415"/>
    </row>
    <row r="53" spans="1:29">
      <c r="A53" s="518" t="s">
        <v>2578</v>
      </c>
      <c r="B53" s="519" t="s">
        <v>2544</v>
      </c>
      <c r="C53" s="520" t="str">
        <f>C9</f>
        <v>车库</v>
      </c>
      <c r="D53" s="521"/>
      <c r="E53" s="521"/>
      <c r="F53" s="521"/>
      <c r="G53" s="521"/>
      <c r="H53" s="521"/>
      <c r="I53" s="521"/>
      <c r="J53" s="521"/>
      <c r="K53" s="522"/>
      <c r="L53" s="523"/>
      <c r="M53" s="524"/>
      <c r="N53" s="1140"/>
      <c r="O53" s="1140"/>
      <c r="P53" s="1417"/>
      <c r="Q53" s="1411"/>
      <c r="R53" s="1132"/>
      <c r="S53" s="1132"/>
      <c r="T53" s="1132"/>
      <c r="U53" s="1132"/>
      <c r="V53" s="1132"/>
      <c r="W53" s="1132"/>
      <c r="X53" s="1132"/>
      <c r="Y53" s="1132"/>
      <c r="Z53" s="1132"/>
      <c r="AA53" s="1132"/>
      <c r="AB53" s="1132"/>
      <c r="AC53" s="1132"/>
    </row>
    <row r="54" spans="1:29" ht="15.75" thickBot="1">
      <c r="A54" s="525"/>
      <c r="B54" s="526"/>
      <c r="C54" s="527">
        <v>100</v>
      </c>
      <c r="D54" s="527"/>
      <c r="E54" s="527"/>
      <c r="F54" s="527"/>
      <c r="G54" s="527"/>
      <c r="H54" s="527"/>
      <c r="I54" s="527"/>
      <c r="J54" s="527"/>
      <c r="K54" s="527"/>
      <c r="L54" s="527"/>
      <c r="M54" s="528"/>
      <c r="N54" s="1141"/>
      <c r="O54" s="1141"/>
      <c r="P54" s="1417"/>
      <c r="Q54" s="1411"/>
      <c r="R54" s="1132"/>
      <c r="S54" s="1132"/>
      <c r="T54" s="1132"/>
      <c r="U54" s="1132"/>
      <c r="V54" s="1132"/>
      <c r="W54" s="1132"/>
      <c r="X54" s="1132"/>
      <c r="Y54" s="1132"/>
      <c r="Z54" s="1132"/>
      <c r="AA54" s="1132"/>
      <c r="AB54" s="1132"/>
      <c r="AC54" s="1132"/>
    </row>
    <row r="55" spans="1:29" ht="27.75" thickTop="1">
      <c r="A55" s="525"/>
      <c r="B55" s="529" t="s">
        <v>2547</v>
      </c>
      <c r="C55" s="530" t="s">
        <v>2579</v>
      </c>
      <c r="D55" s="530" t="s">
        <v>2580</v>
      </c>
      <c r="E55" s="530" t="s">
        <v>2581</v>
      </c>
      <c r="F55" s="530" t="s">
        <v>2582</v>
      </c>
      <c r="G55" s="530" t="s">
        <v>2583</v>
      </c>
      <c r="H55" s="530" t="s">
        <v>2584</v>
      </c>
      <c r="I55" s="530" t="s">
        <v>2585</v>
      </c>
      <c r="J55" s="530"/>
      <c r="K55" s="531"/>
      <c r="L55" s="532"/>
      <c r="M55" s="533"/>
      <c r="N55" s="1140"/>
      <c r="O55" s="1140"/>
      <c r="P55" s="1417"/>
      <c r="Q55" s="1411"/>
      <c r="R55" s="1132"/>
      <c r="S55" s="1132"/>
      <c r="T55" s="1132"/>
      <c r="U55" s="1132"/>
      <c r="V55" s="1132"/>
      <c r="W55" s="1132"/>
      <c r="X55" s="1132"/>
      <c r="Y55" s="1132"/>
      <c r="Z55" s="1132"/>
      <c r="AA55" s="1132"/>
      <c r="AB55" s="1132"/>
      <c r="AC55" s="1132"/>
    </row>
    <row r="56" spans="1:29" ht="15.75" thickBot="1">
      <c r="A56" s="525"/>
      <c r="B56" s="534"/>
      <c r="C56" s="535" t="s">
        <v>24</v>
      </c>
      <c r="D56" s="535" t="s">
        <v>25</v>
      </c>
      <c r="E56" s="535">
        <v>100</v>
      </c>
      <c r="F56" s="535">
        <f>E56-$K10</f>
        <v>98</v>
      </c>
      <c r="G56" s="535">
        <f>F56-$K10</f>
        <v>96</v>
      </c>
      <c r="H56" s="535">
        <f>G56-$K10</f>
        <v>94</v>
      </c>
      <c r="I56" s="535">
        <f>H56-$K10</f>
        <v>92</v>
      </c>
      <c r="J56" s="535"/>
      <c r="K56" s="535"/>
      <c r="L56" s="535"/>
      <c r="M56" s="536"/>
      <c r="N56" s="1141"/>
      <c r="O56" s="1141"/>
      <c r="P56" s="1417"/>
      <c r="Q56" s="1411"/>
      <c r="R56" s="1132"/>
      <c r="S56" s="1132"/>
      <c r="T56" s="1132"/>
      <c r="U56" s="1132"/>
      <c r="V56" s="1132"/>
      <c r="W56" s="1132"/>
      <c r="X56" s="1132"/>
      <c r="Y56" s="1132"/>
      <c r="Z56" s="1132"/>
      <c r="AA56" s="1132"/>
      <c r="AB56" s="1132"/>
      <c r="AC56" s="1132"/>
    </row>
    <row r="57" spans="1:29" ht="15.75" thickTop="1">
      <c r="A57" s="525"/>
      <c r="B57" s="651">
        <f>B11</f>
        <v>0</v>
      </c>
      <c r="C57" s="540"/>
      <c r="D57" s="540"/>
      <c r="E57" s="540"/>
      <c r="F57" s="540"/>
      <c r="G57" s="540"/>
      <c r="H57" s="540"/>
      <c r="I57" s="540"/>
      <c r="J57" s="540"/>
      <c r="K57" s="541"/>
      <c r="L57" s="542"/>
      <c r="M57" s="543"/>
      <c r="N57" s="1140"/>
      <c r="O57" s="1140"/>
      <c r="P57" s="1417"/>
      <c r="Q57" s="1411"/>
      <c r="R57" s="1132"/>
      <c r="S57" s="1132"/>
      <c r="T57" s="1132"/>
      <c r="U57" s="1132"/>
      <c r="V57" s="1132"/>
      <c r="W57" s="1132"/>
      <c r="X57" s="1132"/>
      <c r="Y57" s="1132"/>
      <c r="Z57" s="1132"/>
      <c r="AA57" s="1132"/>
      <c r="AB57" s="1132"/>
      <c r="AC57" s="1132"/>
    </row>
    <row r="58" spans="1:29" ht="15.75" thickBot="1">
      <c r="A58" s="525"/>
      <c r="B58" s="526"/>
      <c r="C58" s="551"/>
      <c r="D58" s="527"/>
      <c r="E58" s="527"/>
      <c r="F58" s="527"/>
      <c r="G58" s="527"/>
      <c r="H58" s="527"/>
      <c r="I58" s="527"/>
      <c r="J58" s="527"/>
      <c r="K58" s="527"/>
      <c r="L58" s="527"/>
      <c r="M58" s="528"/>
      <c r="N58" s="1141"/>
      <c r="O58" s="1141"/>
      <c r="P58" s="1417"/>
      <c r="Q58" s="1411"/>
      <c r="R58" s="1132"/>
      <c r="S58" s="1132"/>
      <c r="T58" s="1132"/>
      <c r="U58" s="1132"/>
      <c r="V58" s="1132"/>
      <c r="W58" s="1132"/>
      <c r="X58" s="1132"/>
      <c r="Y58" s="1132"/>
      <c r="Z58" s="1132"/>
      <c r="AA58" s="1132"/>
      <c r="AB58" s="1132"/>
      <c r="AC58" s="1132"/>
    </row>
    <row r="59" spans="1:29" s="462" customFormat="1" ht="15.75" thickTop="1">
      <c r="A59" s="544"/>
      <c r="B59" s="529">
        <f>B12</f>
        <v>0</v>
      </c>
      <c r="C59" s="540"/>
      <c r="D59" s="540"/>
      <c r="E59" s="540"/>
      <c r="F59" s="540"/>
      <c r="G59" s="545"/>
      <c r="H59" s="546"/>
      <c r="I59" s="546"/>
      <c r="J59" s="546"/>
      <c r="K59" s="546"/>
      <c r="L59" s="547"/>
      <c r="M59" s="548"/>
      <c r="N59" s="1142"/>
      <c r="O59" s="1142"/>
      <c r="P59" s="1418"/>
      <c r="Q59" s="1419"/>
      <c r="R59" s="1420"/>
      <c r="S59" s="1420"/>
      <c r="T59" s="1420"/>
      <c r="U59" s="1420"/>
      <c r="V59" s="1420"/>
      <c r="W59" s="1420"/>
      <c r="X59" s="1420"/>
      <c r="Y59" s="1420"/>
      <c r="Z59" s="1420"/>
      <c r="AA59" s="1420"/>
      <c r="AB59" s="1420"/>
      <c r="AC59" s="1420"/>
    </row>
    <row r="60" spans="1:29" s="462" customFormat="1" ht="15.75" thickBot="1">
      <c r="A60" s="544"/>
      <c r="B60" s="534"/>
      <c r="C60" s="551"/>
      <c r="D60" s="527"/>
      <c r="E60" s="527"/>
      <c r="F60" s="527"/>
      <c r="G60" s="527"/>
      <c r="H60" s="527"/>
      <c r="I60" s="527"/>
      <c r="J60" s="527"/>
      <c r="K60" s="527"/>
      <c r="L60" s="527"/>
      <c r="M60" s="528"/>
      <c r="N60" s="1141"/>
      <c r="O60" s="1141"/>
      <c r="P60" s="1418"/>
      <c r="Q60" s="1419"/>
      <c r="R60" s="1420"/>
      <c r="S60" s="1420"/>
      <c r="T60" s="1420"/>
      <c r="U60" s="1420"/>
      <c r="V60" s="1420"/>
      <c r="W60" s="1420"/>
      <c r="X60" s="1420"/>
      <c r="Y60" s="1420"/>
      <c r="Z60" s="1420"/>
      <c r="AA60" s="1420"/>
      <c r="AB60" s="1420"/>
      <c r="AC60" s="1420"/>
    </row>
    <row r="61" spans="1:29" s="462" customFormat="1" ht="15.75" thickTop="1">
      <c r="A61" s="544"/>
      <c r="B61" s="529">
        <f>B13</f>
        <v>0</v>
      </c>
      <c r="C61" s="545"/>
      <c r="D61" s="545"/>
      <c r="E61" s="545"/>
      <c r="F61" s="545"/>
      <c r="G61" s="545"/>
      <c r="H61" s="546"/>
      <c r="I61" s="546"/>
      <c r="J61" s="546"/>
      <c r="K61" s="546"/>
      <c r="L61" s="547"/>
      <c r="M61" s="548"/>
      <c r="N61" s="1142"/>
      <c r="O61" s="1142"/>
      <c r="P61" s="1421"/>
      <c r="Q61" s="1422"/>
      <c r="R61" s="1420"/>
      <c r="S61" s="1420"/>
      <c r="T61" s="1420"/>
      <c r="U61" s="1420"/>
      <c r="V61" s="1420"/>
      <c r="W61" s="1420"/>
      <c r="X61" s="1420"/>
      <c r="Y61" s="1420"/>
      <c r="Z61" s="1420"/>
      <c r="AA61" s="1420"/>
      <c r="AB61" s="1420"/>
      <c r="AC61" s="1420"/>
    </row>
    <row r="62" spans="1:29" s="462" customFormat="1" ht="15.75" thickBot="1">
      <c r="A62" s="544"/>
      <c r="B62" s="534"/>
      <c r="C62" s="551"/>
      <c r="D62" s="551"/>
      <c r="E62" s="551"/>
      <c r="F62" s="551"/>
      <c r="G62" s="551"/>
      <c r="H62" s="553"/>
      <c r="I62" s="553"/>
      <c r="J62" s="553"/>
      <c r="K62" s="553"/>
      <c r="L62" s="553"/>
      <c r="M62" s="554"/>
      <c r="N62" s="1142"/>
      <c r="O62" s="1142"/>
      <c r="P62" s="1418"/>
      <c r="Q62" s="1419"/>
      <c r="R62" s="1420"/>
      <c r="S62" s="1420"/>
      <c r="T62" s="1420"/>
      <c r="U62" s="1420"/>
      <c r="V62" s="1420"/>
      <c r="W62" s="1420"/>
      <c r="X62" s="1420"/>
      <c r="Y62" s="1420"/>
      <c r="Z62" s="1420"/>
      <c r="AA62" s="1420"/>
      <c r="AB62" s="1420"/>
      <c r="AC62" s="1420"/>
    </row>
    <row r="63" spans="1:29" ht="15" thickTop="1">
      <c r="A63" s="518" t="s">
        <v>2549</v>
      </c>
      <c r="B63" s="519" t="s">
        <v>2592</v>
      </c>
      <c r="C63" s="564" t="s">
        <v>2587</v>
      </c>
      <c r="D63" s="564" t="s">
        <v>2588</v>
      </c>
      <c r="E63" s="564" t="s">
        <v>2589</v>
      </c>
      <c r="F63" s="564" t="s">
        <v>2590</v>
      </c>
      <c r="G63" s="564" t="s">
        <v>2591</v>
      </c>
      <c r="H63" s="520"/>
      <c r="I63" s="520"/>
      <c r="J63" s="520"/>
      <c r="K63" s="565"/>
      <c r="L63" s="566"/>
      <c r="M63" s="567"/>
      <c r="N63" s="1140"/>
      <c r="O63" s="1140"/>
      <c r="P63" s="1423"/>
      <c r="Q63" s="1411"/>
      <c r="R63" s="1132"/>
      <c r="S63" s="1132"/>
      <c r="T63" s="1132"/>
      <c r="U63" s="1132"/>
      <c r="V63" s="1132"/>
      <c r="W63" s="1132"/>
      <c r="X63" s="1132"/>
      <c r="Y63" s="1132"/>
      <c r="Z63" s="1132"/>
      <c r="AA63" s="1132"/>
      <c r="AB63" s="1132"/>
      <c r="AC63" s="1132"/>
    </row>
    <row r="64" spans="1:29" ht="15.75" thickBot="1">
      <c r="A64" s="525"/>
      <c r="B64" s="534"/>
      <c r="C64" s="535">
        <v>100</v>
      </c>
      <c r="D64" s="535">
        <f>C64-$K14</f>
        <v>97</v>
      </c>
      <c r="E64" s="535">
        <f>D64-$K14</f>
        <v>94</v>
      </c>
      <c r="F64" s="535">
        <f>E64-$K14</f>
        <v>91</v>
      </c>
      <c r="G64" s="535">
        <f>F64-$K14</f>
        <v>88</v>
      </c>
      <c r="H64" s="535"/>
      <c r="I64" s="535"/>
      <c r="J64" s="535"/>
      <c r="K64" s="535"/>
      <c r="L64" s="535"/>
      <c r="M64" s="536"/>
      <c r="N64" s="1141"/>
      <c r="O64" s="1141"/>
      <c r="P64" s="1417"/>
      <c r="Q64" s="1411"/>
      <c r="R64" s="1132"/>
      <c r="S64" s="1132"/>
      <c r="T64" s="1132"/>
      <c r="U64" s="1132"/>
      <c r="V64" s="1132"/>
      <c r="W64" s="1132"/>
      <c r="X64" s="1132"/>
      <c r="Y64" s="1132"/>
      <c r="Z64" s="1132"/>
      <c r="AA64" s="1132"/>
      <c r="AB64" s="1132"/>
      <c r="AC64" s="1132"/>
    </row>
    <row r="65" spans="1:29" ht="15.75" thickTop="1">
      <c r="A65" s="525"/>
      <c r="B65" s="529" t="s">
        <v>2593</v>
      </c>
      <c r="C65" s="569" t="s">
        <v>2587</v>
      </c>
      <c r="D65" s="569" t="s">
        <v>2588</v>
      </c>
      <c r="E65" s="569" t="s">
        <v>2589</v>
      </c>
      <c r="F65" s="569" t="s">
        <v>2590</v>
      </c>
      <c r="G65" s="569" t="s">
        <v>2591</v>
      </c>
      <c r="H65" s="530"/>
      <c r="I65" s="530"/>
      <c r="J65" s="530"/>
      <c r="K65" s="531"/>
      <c r="L65" s="532"/>
      <c r="M65" s="533"/>
      <c r="N65" s="1140"/>
      <c r="O65" s="1140"/>
      <c r="P65" s="1417"/>
      <c r="Q65" s="1411"/>
      <c r="R65" s="1132"/>
      <c r="S65" s="1132"/>
      <c r="T65" s="1132"/>
      <c r="U65" s="1132"/>
      <c r="V65" s="1132"/>
      <c r="W65" s="1132"/>
      <c r="X65" s="1132"/>
      <c r="Y65" s="1132"/>
      <c r="Z65" s="1132"/>
      <c r="AA65" s="1132"/>
      <c r="AB65" s="1132"/>
      <c r="AC65" s="1132"/>
    </row>
    <row r="66" spans="1:29" ht="15.75" thickBot="1">
      <c r="A66" s="525"/>
      <c r="B66" s="534"/>
      <c r="C66" s="535">
        <v>100</v>
      </c>
      <c r="D66" s="535">
        <f>C66-$K16</f>
        <v>97</v>
      </c>
      <c r="E66" s="535">
        <f>D66-$K16</f>
        <v>94</v>
      </c>
      <c r="F66" s="535">
        <f>E66-$K16</f>
        <v>91</v>
      </c>
      <c r="G66" s="535">
        <f>F66-$K16</f>
        <v>88</v>
      </c>
      <c r="H66" s="535"/>
      <c r="I66" s="535"/>
      <c r="J66" s="535"/>
      <c r="K66" s="535"/>
      <c r="L66" s="535"/>
      <c r="M66" s="536"/>
      <c r="N66" s="1141"/>
      <c r="O66" s="1141"/>
      <c r="P66" s="1417"/>
      <c r="Q66" s="1411"/>
      <c r="R66" s="1132"/>
      <c r="S66" s="1132"/>
      <c r="T66" s="1132"/>
      <c r="U66" s="1132"/>
      <c r="V66" s="1132"/>
      <c r="W66" s="1132"/>
      <c r="X66" s="1132"/>
      <c r="Y66" s="1132"/>
      <c r="Z66" s="1132"/>
      <c r="AA66" s="1132"/>
      <c r="AB66" s="1132"/>
      <c r="AC66" s="1132"/>
    </row>
    <row r="67" spans="1:29" ht="15.75" thickTop="1">
      <c r="A67" s="525"/>
      <c r="B67" s="537" t="s">
        <v>2679</v>
      </c>
      <c r="C67" s="651" t="s">
        <v>2665</v>
      </c>
      <c r="D67" s="651" t="s">
        <v>2666</v>
      </c>
      <c r="E67" s="651" t="s">
        <v>2667</v>
      </c>
      <c r="F67" s="651" t="s">
        <v>2668</v>
      </c>
      <c r="G67" s="651" t="s">
        <v>2669</v>
      </c>
      <c r="H67" s="530"/>
      <c r="I67" s="530"/>
      <c r="J67" s="530"/>
      <c r="K67" s="530"/>
      <c r="L67" s="530"/>
      <c r="M67" s="1370"/>
      <c r="N67" s="1141"/>
      <c r="O67" s="1141"/>
      <c r="P67" s="1417"/>
      <c r="Q67" s="1411"/>
      <c r="R67" s="1132"/>
      <c r="S67" s="1132"/>
      <c r="T67" s="1132"/>
      <c r="U67" s="1132"/>
      <c r="V67" s="1132"/>
      <c r="W67" s="1132"/>
      <c r="X67" s="1132"/>
      <c r="Y67" s="1132"/>
      <c r="Z67" s="1132"/>
      <c r="AA67" s="1132"/>
      <c r="AB67" s="1132"/>
      <c r="AC67" s="1132"/>
    </row>
    <row r="68" spans="1:29" ht="15.75" thickBot="1">
      <c r="A68" s="525"/>
      <c r="B68" s="537"/>
      <c r="C68" s="535">
        <v>100</v>
      </c>
      <c r="D68" s="535">
        <f>C68-$K18</f>
        <v>95</v>
      </c>
      <c r="E68" s="535">
        <f>D68-$K18</f>
        <v>90</v>
      </c>
      <c r="F68" s="535">
        <f>E68-$K18</f>
        <v>85</v>
      </c>
      <c r="G68" s="535">
        <f>F68-$K18</f>
        <v>80</v>
      </c>
      <c r="H68" s="651"/>
      <c r="I68" s="651"/>
      <c r="J68" s="651"/>
      <c r="K68" s="651"/>
      <c r="L68" s="651"/>
      <c r="M68" s="441"/>
      <c r="N68" s="1141"/>
      <c r="O68" s="1141"/>
      <c r="P68" s="1417"/>
      <c r="Q68" s="1411"/>
      <c r="R68" s="1132"/>
      <c r="S68" s="1132"/>
      <c r="T68" s="1132"/>
      <c r="U68" s="1132"/>
      <c r="V68" s="1132"/>
      <c r="W68" s="1132"/>
      <c r="X68" s="1132"/>
      <c r="Y68" s="1132"/>
      <c r="Z68" s="1132"/>
      <c r="AA68" s="1132"/>
      <c r="AB68" s="1132"/>
      <c r="AC68" s="1132"/>
    </row>
    <row r="69" spans="1:29" ht="15.75" thickTop="1">
      <c r="A69" s="525"/>
      <c r="B69" s="529" t="s">
        <v>2599</v>
      </c>
      <c r="C69" s="569" t="s">
        <v>2587</v>
      </c>
      <c r="D69" s="569" t="s">
        <v>2588</v>
      </c>
      <c r="E69" s="569" t="s">
        <v>2589</v>
      </c>
      <c r="F69" s="569" t="s">
        <v>2590</v>
      </c>
      <c r="G69" s="569" t="s">
        <v>2591</v>
      </c>
      <c r="H69" s="530"/>
      <c r="I69" s="530"/>
      <c r="J69" s="530"/>
      <c r="K69" s="531"/>
      <c r="L69" s="532"/>
      <c r="M69" s="533"/>
      <c r="N69" s="1140"/>
      <c r="O69" s="1140"/>
      <c r="P69" s="1417"/>
      <c r="Q69" s="1411"/>
      <c r="R69" s="1132"/>
      <c r="S69" s="1132"/>
      <c r="T69" s="1132"/>
      <c r="U69" s="1132"/>
      <c r="V69" s="1132"/>
      <c r="W69" s="1132"/>
      <c r="X69" s="1132"/>
      <c r="Y69" s="1132"/>
      <c r="Z69" s="1132"/>
      <c r="AA69" s="1132"/>
      <c r="AB69" s="1132"/>
      <c r="AC69" s="1132"/>
    </row>
    <row r="70" spans="1:29" ht="15.75" thickBot="1">
      <c r="A70" s="525"/>
      <c r="B70" s="534"/>
      <c r="C70" s="535">
        <v>100</v>
      </c>
      <c r="D70" s="535">
        <f>C70-$K20</f>
        <v>97</v>
      </c>
      <c r="E70" s="535">
        <f>D70-$K20</f>
        <v>94</v>
      </c>
      <c r="F70" s="535">
        <f>E70-$K20</f>
        <v>91</v>
      </c>
      <c r="G70" s="535">
        <f>F70-$K20</f>
        <v>88</v>
      </c>
      <c r="H70" s="535"/>
      <c r="I70" s="535"/>
      <c r="J70" s="535"/>
      <c r="K70" s="535"/>
      <c r="L70" s="535"/>
      <c r="M70" s="536"/>
      <c r="N70" s="1141"/>
      <c r="O70" s="1141"/>
      <c r="P70" s="1417"/>
      <c r="Q70" s="1411"/>
      <c r="R70" s="1132"/>
      <c r="S70" s="1132"/>
      <c r="T70" s="1132"/>
      <c r="U70" s="1132"/>
      <c r="V70" s="1132"/>
      <c r="W70" s="1132"/>
      <c r="X70" s="1132"/>
      <c r="Y70" s="1132"/>
      <c r="Z70" s="1132"/>
      <c r="AA70" s="1132"/>
      <c r="AB70" s="1132"/>
      <c r="AC70" s="1132"/>
    </row>
    <row r="71" spans="1:29" ht="15.75" thickTop="1">
      <c r="A71" s="525"/>
      <c r="B71" s="529" t="s">
        <v>2719</v>
      </c>
      <c r="C71" s="2944" t="s">
        <v>3119</v>
      </c>
      <c r="D71" s="545"/>
      <c r="E71" s="545"/>
      <c r="F71" s="545"/>
      <c r="G71" s="545"/>
      <c r="H71" s="574"/>
      <c r="I71" s="574"/>
      <c r="J71" s="574"/>
      <c r="K71" s="575"/>
      <c r="L71" s="576"/>
      <c r="M71" s="577"/>
      <c r="N71" s="1140"/>
      <c r="O71" s="1140"/>
      <c r="P71" s="1417"/>
      <c r="Q71" s="1411"/>
      <c r="R71" s="1132"/>
      <c r="S71" s="1132"/>
      <c r="T71" s="1132"/>
      <c r="U71" s="1132"/>
      <c r="V71" s="1132"/>
      <c r="W71" s="1132"/>
      <c r="X71" s="1132"/>
      <c r="Y71" s="1132"/>
      <c r="Z71" s="1132"/>
      <c r="AA71" s="1132"/>
      <c r="AB71" s="1132"/>
      <c r="AC71" s="1132"/>
    </row>
    <row r="72" spans="1:29" ht="15.75" thickBot="1">
      <c r="A72" s="525"/>
      <c r="B72" s="534"/>
      <c r="C72" s="535">
        <v>100</v>
      </c>
      <c r="D72" s="535">
        <f>C72-$K22</f>
        <v>97</v>
      </c>
      <c r="E72" s="535">
        <f>D72-$K22</f>
        <v>94</v>
      </c>
      <c r="F72" s="535">
        <f>E72-$K22</f>
        <v>91</v>
      </c>
      <c r="G72" s="535">
        <f>F72-$K22</f>
        <v>88</v>
      </c>
      <c r="H72" s="535"/>
      <c r="I72" s="535"/>
      <c r="J72" s="535"/>
      <c r="K72" s="535"/>
      <c r="L72" s="535"/>
      <c r="M72" s="536"/>
      <c r="N72" s="1141"/>
      <c r="O72" s="1141"/>
      <c r="P72" s="1417"/>
      <c r="Q72" s="1411"/>
      <c r="R72" s="1132"/>
      <c r="S72" s="1132"/>
      <c r="T72" s="1132"/>
      <c r="U72" s="1132"/>
      <c r="V72" s="1132"/>
      <c r="W72" s="1132"/>
      <c r="X72" s="1132"/>
      <c r="Y72" s="1132"/>
      <c r="Z72" s="1132"/>
      <c r="AA72" s="1132"/>
      <c r="AB72" s="1132"/>
      <c r="AC72" s="1132"/>
    </row>
    <row r="73" spans="1:29" s="110" customFormat="1" ht="15.75" thickTop="1">
      <c r="A73" s="570"/>
      <c r="B73" s="529">
        <f>B23</f>
        <v>0</v>
      </c>
      <c r="C73" s="540"/>
      <c r="D73" s="540"/>
      <c r="E73" s="540"/>
      <c r="F73" s="540"/>
      <c r="G73" s="545"/>
      <c r="H73" s="545"/>
      <c r="I73" s="545"/>
      <c r="J73" s="545"/>
      <c r="K73" s="545"/>
      <c r="L73" s="571"/>
      <c r="M73" s="572"/>
      <c r="N73" s="1139"/>
      <c r="O73" s="1139"/>
      <c r="P73" s="1417"/>
      <c r="Q73" s="1411"/>
      <c r="R73" s="1415"/>
      <c r="S73" s="1415"/>
      <c r="T73" s="1415"/>
      <c r="U73" s="1415"/>
      <c r="V73" s="1415"/>
      <c r="W73" s="1415"/>
      <c r="X73" s="1415"/>
      <c r="Y73" s="1415"/>
      <c r="Z73" s="1415"/>
      <c r="AA73" s="1415"/>
      <c r="AB73" s="1415"/>
      <c r="AC73" s="1415"/>
    </row>
    <row r="74" spans="1:29" s="110" customFormat="1" ht="15.75" thickBot="1">
      <c r="A74" s="570"/>
      <c r="B74" s="534"/>
      <c r="C74" s="551"/>
      <c r="D74" s="527"/>
      <c r="E74" s="527"/>
      <c r="F74" s="527"/>
      <c r="G74" s="527"/>
      <c r="H74" s="527"/>
      <c r="I74" s="527"/>
      <c r="J74" s="527"/>
      <c r="K74" s="527"/>
      <c r="L74" s="527"/>
      <c r="M74" s="528"/>
      <c r="N74" s="1141"/>
      <c r="O74" s="1141"/>
      <c r="P74" s="1417"/>
      <c r="Q74" s="1411"/>
      <c r="R74" s="1415"/>
      <c r="S74" s="1415"/>
      <c r="T74" s="1415"/>
      <c r="U74" s="1415"/>
      <c r="V74" s="1415"/>
      <c r="W74" s="1415"/>
      <c r="X74" s="1415"/>
      <c r="Y74" s="1415"/>
      <c r="Z74" s="1415"/>
      <c r="AA74" s="1415"/>
      <c r="AB74" s="1415"/>
      <c r="AC74" s="1415"/>
    </row>
    <row r="75" spans="1:29" s="110" customFormat="1" ht="15.75" thickTop="1">
      <c r="A75" s="570"/>
      <c r="B75" s="529">
        <f>B24</f>
        <v>0</v>
      </c>
      <c r="C75" s="540"/>
      <c r="D75" s="540"/>
      <c r="E75" s="540"/>
      <c r="F75" s="540"/>
      <c r="G75" s="545"/>
      <c r="H75" s="545"/>
      <c r="I75" s="545"/>
      <c r="J75" s="545"/>
      <c r="K75" s="545"/>
      <c r="L75" s="545"/>
      <c r="M75" s="572"/>
      <c r="N75" s="1139"/>
      <c r="O75" s="1139"/>
      <c r="P75" s="1417"/>
      <c r="Q75" s="1411"/>
      <c r="R75" s="1415"/>
      <c r="S75" s="1415"/>
      <c r="T75" s="1415"/>
      <c r="U75" s="1415"/>
      <c r="V75" s="1415"/>
      <c r="W75" s="1415"/>
      <c r="X75" s="1415"/>
      <c r="Y75" s="1415"/>
      <c r="Z75" s="1415"/>
      <c r="AA75" s="1415"/>
      <c r="AB75" s="1415"/>
      <c r="AC75" s="1415"/>
    </row>
    <row r="76" spans="1:29" s="110" customFormat="1" ht="15.75" thickBot="1">
      <c r="A76" s="570"/>
      <c r="B76" s="534"/>
      <c r="C76" s="551"/>
      <c r="D76" s="527"/>
      <c r="E76" s="527"/>
      <c r="F76" s="527"/>
      <c r="G76" s="527"/>
      <c r="H76" s="527"/>
      <c r="I76" s="527"/>
      <c r="J76" s="527"/>
      <c r="K76" s="527"/>
      <c r="L76" s="527"/>
      <c r="M76" s="528"/>
      <c r="N76" s="1141"/>
      <c r="O76" s="1141"/>
      <c r="P76" s="1417"/>
      <c r="Q76" s="1411"/>
      <c r="R76" s="1415"/>
      <c r="S76" s="1415"/>
      <c r="T76" s="1415"/>
      <c r="U76" s="1415"/>
      <c r="V76" s="1415"/>
      <c r="W76" s="1415"/>
      <c r="X76" s="1415"/>
      <c r="Y76" s="1415"/>
      <c r="Z76" s="1415"/>
      <c r="AA76" s="1415"/>
      <c r="AB76" s="1415"/>
      <c r="AC76" s="1415"/>
    </row>
    <row r="77" spans="1:29" s="462" customFormat="1" ht="15.75" thickTop="1">
      <c r="A77" s="544"/>
      <c r="B77" s="529">
        <f>B25</f>
        <v>0</v>
      </c>
      <c r="C77" s="545"/>
      <c r="D77" s="545"/>
      <c r="E77" s="545"/>
      <c r="F77" s="545"/>
      <c r="G77" s="545"/>
      <c r="H77" s="546"/>
      <c r="I77" s="546"/>
      <c r="J77" s="546"/>
      <c r="K77" s="546"/>
      <c r="L77" s="547"/>
      <c r="M77" s="548"/>
      <c r="N77" s="1142"/>
      <c r="O77" s="1142"/>
      <c r="P77" s="1418"/>
      <c r="Q77" s="1419"/>
      <c r="R77" s="1420"/>
      <c r="S77" s="1420"/>
      <c r="T77" s="1420"/>
      <c r="U77" s="1420"/>
      <c r="V77" s="1420"/>
      <c r="W77" s="1420"/>
      <c r="X77" s="1420"/>
      <c r="Y77" s="1420"/>
      <c r="Z77" s="1420"/>
      <c r="AA77" s="1420"/>
      <c r="AB77" s="1420"/>
      <c r="AC77" s="1420"/>
    </row>
    <row r="78" spans="1:29" s="462" customFormat="1" ht="15.75" thickBot="1">
      <c r="A78" s="544"/>
      <c r="B78" s="534"/>
      <c r="C78" s="551"/>
      <c r="D78" s="551"/>
      <c r="E78" s="551"/>
      <c r="F78" s="551"/>
      <c r="G78" s="527"/>
      <c r="H78" s="527"/>
      <c r="I78" s="527"/>
      <c r="J78" s="527"/>
      <c r="K78" s="527"/>
      <c r="L78" s="527"/>
      <c r="M78" s="528"/>
      <c r="N78" s="1142"/>
      <c r="O78" s="1142"/>
      <c r="P78" s="1418"/>
      <c r="Q78" s="1419"/>
      <c r="R78" s="1420"/>
      <c r="S78" s="1420"/>
      <c r="T78" s="1420"/>
      <c r="U78" s="1420"/>
      <c r="V78" s="1420"/>
      <c r="W78" s="1420"/>
      <c r="X78" s="1420"/>
      <c r="Y78" s="1420"/>
      <c r="Z78" s="1420"/>
      <c r="AA78" s="1420"/>
      <c r="AB78" s="1420"/>
      <c r="AC78" s="1420"/>
    </row>
    <row r="79" spans="1:29" ht="27.75" thickTop="1">
      <c r="A79" s="518" t="s">
        <v>2553</v>
      </c>
      <c r="B79" s="519" t="s">
        <v>2720</v>
      </c>
      <c r="C79" s="520" t="str">
        <f>C26</f>
        <v>车库</v>
      </c>
      <c r="D79" s="2942" t="s">
        <v>3134</v>
      </c>
      <c r="E79" s="521"/>
      <c r="F79" s="521"/>
      <c r="G79" s="521"/>
      <c r="H79" s="521"/>
      <c r="I79" s="521"/>
      <c r="J79" s="521"/>
      <c r="K79" s="522"/>
      <c r="L79" s="523"/>
      <c r="M79" s="524"/>
      <c r="N79" s="1140"/>
      <c r="O79" s="1140"/>
      <c r="P79" s="1417"/>
      <c r="Q79" s="1411"/>
      <c r="R79" s="1132"/>
      <c r="S79" s="1132"/>
      <c r="T79" s="1132"/>
      <c r="U79" s="1132"/>
      <c r="V79" s="1132"/>
      <c r="W79" s="1132"/>
      <c r="X79" s="1132"/>
      <c r="Y79" s="1132"/>
      <c r="Z79" s="1132"/>
      <c r="AA79" s="1132"/>
      <c r="AB79" s="1132"/>
      <c r="AC79" s="1132"/>
    </row>
    <row r="80" spans="1:29" ht="15.75" thickBot="1">
      <c r="A80" s="525"/>
      <c r="B80" s="534"/>
      <c r="C80" s="535">
        <v>100</v>
      </c>
      <c r="D80" s="535">
        <f t="shared" ref="D80:M80" si="17">C80-$K26</f>
        <v>97</v>
      </c>
      <c r="E80" s="535">
        <f t="shared" si="17"/>
        <v>94</v>
      </c>
      <c r="F80" s="535">
        <f t="shared" si="17"/>
        <v>91</v>
      </c>
      <c r="G80" s="535">
        <f t="shared" si="17"/>
        <v>88</v>
      </c>
      <c r="H80" s="535">
        <f t="shared" si="17"/>
        <v>85</v>
      </c>
      <c r="I80" s="535">
        <f t="shared" si="17"/>
        <v>82</v>
      </c>
      <c r="J80" s="535">
        <f t="shared" si="17"/>
        <v>79</v>
      </c>
      <c r="K80" s="535">
        <f t="shared" si="17"/>
        <v>76</v>
      </c>
      <c r="L80" s="535">
        <f t="shared" si="17"/>
        <v>73</v>
      </c>
      <c r="M80" s="536">
        <f t="shared" si="17"/>
        <v>70</v>
      </c>
      <c r="N80" s="1141"/>
      <c r="O80" s="1141"/>
      <c r="P80" s="1417"/>
      <c r="Q80" s="1411"/>
      <c r="R80" s="1132"/>
      <c r="S80" s="1132"/>
      <c r="T80" s="1132"/>
      <c r="U80" s="1132"/>
      <c r="V80" s="1132"/>
      <c r="W80" s="1132"/>
      <c r="X80" s="1132"/>
      <c r="Y80" s="1132"/>
      <c r="Z80" s="1132"/>
      <c r="AA80" s="1132"/>
      <c r="AB80" s="1132"/>
      <c r="AC80" s="1132"/>
    </row>
    <row r="81" spans="1:29" ht="15.75" thickTop="1">
      <c r="A81" s="525"/>
      <c r="B81" s="529" t="s">
        <v>2721</v>
      </c>
      <c r="C81" s="652" t="s">
        <v>3120</v>
      </c>
      <c r="D81" s="646" t="s">
        <v>3121</v>
      </c>
      <c r="E81" s="646" t="s">
        <v>3122</v>
      </c>
      <c r="F81" s="652" t="s">
        <v>3123</v>
      </c>
      <c r="G81" s="652"/>
      <c r="H81" s="652"/>
      <c r="I81" s="652"/>
      <c r="J81" s="652"/>
      <c r="K81" s="653"/>
      <c r="L81" s="654"/>
      <c r="M81" s="655"/>
      <c r="N81" s="1139"/>
      <c r="O81" s="1139"/>
      <c r="P81" s="1417"/>
      <c r="Q81" s="1411"/>
      <c r="R81" s="1132"/>
      <c r="S81" s="1132"/>
      <c r="T81" s="1132"/>
      <c r="U81" s="1132"/>
      <c r="V81" s="1132"/>
      <c r="W81" s="1132"/>
      <c r="X81" s="1132"/>
      <c r="Y81" s="1132"/>
      <c r="Z81" s="1132"/>
      <c r="AA81" s="1132"/>
      <c r="AB81" s="1132"/>
      <c r="AC81" s="1132"/>
    </row>
    <row r="82" spans="1:29" s="462" customFormat="1" ht="15.75" thickBot="1">
      <c r="A82" s="544"/>
      <c r="B82" s="534"/>
      <c r="C82" s="551">
        <v>100</v>
      </c>
      <c r="D82" s="527">
        <v>99</v>
      </c>
      <c r="E82" s="527">
        <v>98</v>
      </c>
      <c r="F82" s="527">
        <v>101</v>
      </c>
      <c r="G82" s="527"/>
      <c r="H82" s="527"/>
      <c r="I82" s="527"/>
      <c r="J82" s="527"/>
      <c r="K82" s="527"/>
      <c r="L82" s="527"/>
      <c r="M82" s="528"/>
      <c r="N82" s="1141"/>
      <c r="O82" s="1141"/>
      <c r="P82" s="1418"/>
      <c r="Q82" s="1419"/>
      <c r="R82" s="1420"/>
      <c r="S82" s="1420"/>
      <c r="T82" s="1420"/>
      <c r="U82" s="1420"/>
      <c r="V82" s="1420"/>
      <c r="W82" s="1420"/>
      <c r="X82" s="1420"/>
      <c r="Y82" s="1420"/>
      <c r="Z82" s="1420"/>
      <c r="AA82" s="1420"/>
      <c r="AB82" s="1420"/>
      <c r="AC82" s="1420"/>
    </row>
    <row r="83" spans="1:29" ht="15" thickTop="1">
      <c r="A83" s="590"/>
      <c r="B83" s="529" t="s">
        <v>2606</v>
      </c>
      <c r="C83" s="2932" t="s">
        <v>3124</v>
      </c>
      <c r="D83" s="545" t="s">
        <v>3125</v>
      </c>
      <c r="E83" s="545" t="s">
        <v>3126</v>
      </c>
      <c r="F83" s="574"/>
      <c r="G83" s="574"/>
      <c r="H83" s="574"/>
      <c r="I83" s="574"/>
      <c r="J83" s="574"/>
      <c r="K83" s="575"/>
      <c r="L83" s="576"/>
      <c r="M83" s="577"/>
      <c r="N83" s="1140"/>
      <c r="O83" s="1140"/>
      <c r="P83" s="1417"/>
      <c r="Q83" s="1411"/>
      <c r="R83" s="1132"/>
      <c r="S83" s="1132"/>
      <c r="T83" s="1132"/>
      <c r="U83" s="1132"/>
      <c r="V83" s="1132"/>
      <c r="W83" s="1132"/>
      <c r="X83" s="1132"/>
      <c r="Y83" s="1132"/>
      <c r="Z83" s="1132"/>
      <c r="AA83" s="1132"/>
      <c r="AB83" s="1132"/>
      <c r="AC83" s="1132"/>
    </row>
    <row r="84" spans="1:29" ht="15.75" thickBot="1">
      <c r="A84" s="525"/>
      <c r="B84" s="534"/>
      <c r="C84" s="535">
        <v>100</v>
      </c>
      <c r="D84" s="535">
        <f t="shared" ref="D84:M84" si="18">C84-$K28</f>
        <v>98</v>
      </c>
      <c r="E84" s="535">
        <f t="shared" si="18"/>
        <v>96</v>
      </c>
      <c r="F84" s="535">
        <f t="shared" si="18"/>
        <v>94</v>
      </c>
      <c r="G84" s="535">
        <f t="shared" si="18"/>
        <v>92</v>
      </c>
      <c r="H84" s="535">
        <f t="shared" si="18"/>
        <v>90</v>
      </c>
      <c r="I84" s="535">
        <f t="shared" si="18"/>
        <v>88</v>
      </c>
      <c r="J84" s="535">
        <f t="shared" si="18"/>
        <v>86</v>
      </c>
      <c r="K84" s="535">
        <f t="shared" si="18"/>
        <v>84</v>
      </c>
      <c r="L84" s="535">
        <f t="shared" si="18"/>
        <v>82</v>
      </c>
      <c r="M84" s="536">
        <f t="shared" si="18"/>
        <v>80</v>
      </c>
      <c r="N84" s="1141"/>
      <c r="O84" s="1141"/>
      <c r="P84" s="1417"/>
      <c r="Q84" s="1411"/>
      <c r="R84" s="1132"/>
      <c r="S84" s="1132"/>
      <c r="T84" s="1132"/>
      <c r="U84" s="1132"/>
      <c r="V84" s="1132"/>
      <c r="W84" s="1132"/>
      <c r="X84" s="1132"/>
      <c r="Y84" s="1132"/>
      <c r="Z84" s="1132"/>
      <c r="AA84" s="1132"/>
      <c r="AB84" s="1132"/>
      <c r="AC84" s="1132"/>
    </row>
    <row r="85" spans="1:29" ht="15" thickTop="1">
      <c r="A85" s="590"/>
      <c r="B85" s="529" t="s">
        <v>2722</v>
      </c>
      <c r="C85" s="569" t="str">
        <f>C86&amp;"(含)"&amp;"-"&amp;D86</f>
        <v>0.5(含)-0.6</v>
      </c>
      <c r="D85" s="569" t="str">
        <f>D86&amp;"(含)"&amp;"-"&amp;E86</f>
        <v>0.6(含)-0.7</v>
      </c>
      <c r="E85" s="569" t="str">
        <f>E86&amp;"(含)"&amp;"-"&amp;F86</f>
        <v>0.7(含)-0.8</v>
      </c>
      <c r="F85" s="569" t="str">
        <f>F86&amp;"(含)"&amp;"-"&amp;G86</f>
        <v>0.8(含)-0.9</v>
      </c>
      <c r="G85" s="569" t="str">
        <f>G86&amp;"(含)"&amp;"-"&amp;ROUND(H86,0)&amp;"(含)"</f>
        <v>0.9(含)-1(含)</v>
      </c>
      <c r="H85" s="569"/>
      <c r="I85" s="574"/>
      <c r="J85" s="574"/>
      <c r="K85" s="575"/>
      <c r="L85" s="576"/>
      <c r="M85" s="577"/>
      <c r="N85" s="1140"/>
      <c r="O85" s="1140"/>
      <c r="P85" s="1417"/>
      <c r="Q85" s="1411"/>
      <c r="R85" s="1132"/>
      <c r="S85" s="1132"/>
      <c r="T85" s="1132"/>
      <c r="U85" s="1132"/>
      <c r="V85" s="1132"/>
      <c r="W85" s="1132"/>
      <c r="X85" s="1132"/>
      <c r="Y85" s="1132"/>
      <c r="Z85" s="1132"/>
      <c r="AA85" s="1132"/>
      <c r="AB85" s="1132"/>
      <c r="AC85" s="1132"/>
    </row>
    <row r="86" spans="1:29">
      <c r="A86" s="590"/>
      <c r="B86" s="537"/>
      <c r="C86" s="594">
        <v>0.5</v>
      </c>
      <c r="D86" s="594">
        <v>0.6</v>
      </c>
      <c r="E86" s="594">
        <v>0.7</v>
      </c>
      <c r="F86" s="594">
        <v>0.8</v>
      </c>
      <c r="G86" s="594">
        <v>0.9</v>
      </c>
      <c r="H86" s="594">
        <v>1.0001</v>
      </c>
      <c r="I86" s="614"/>
      <c r="J86" s="614"/>
      <c r="K86" s="615"/>
      <c r="L86" s="616"/>
      <c r="M86" s="617"/>
      <c r="N86" s="1140"/>
      <c r="O86" s="1140"/>
      <c r="P86" s="1417"/>
      <c r="Q86" s="1411"/>
      <c r="R86" s="1132"/>
      <c r="S86" s="1132"/>
      <c r="T86" s="1132"/>
      <c r="U86" s="1132"/>
      <c r="V86" s="1132"/>
      <c r="W86" s="1132"/>
      <c r="X86" s="1132"/>
      <c r="Y86" s="1132"/>
      <c r="Z86" s="1132"/>
      <c r="AA86" s="1132"/>
      <c r="AB86" s="1132"/>
      <c r="AC86" s="1132"/>
    </row>
    <row r="87" spans="1:29" ht="15.75" thickBot="1">
      <c r="A87" s="525"/>
      <c r="B87" s="534"/>
      <c r="C87" s="573">
        <v>100</v>
      </c>
      <c r="D87" s="535">
        <f>C87+$K$29</f>
        <v>101</v>
      </c>
      <c r="E87" s="535">
        <f t="shared" ref="E87:M87" si="19">D87+$K$29</f>
        <v>102</v>
      </c>
      <c r="F87" s="535">
        <f t="shared" si="19"/>
        <v>103</v>
      </c>
      <c r="G87" s="535">
        <f t="shared" si="19"/>
        <v>104</v>
      </c>
      <c r="H87" s="535">
        <f t="shared" si="19"/>
        <v>105</v>
      </c>
      <c r="I87" s="535">
        <f t="shared" si="19"/>
        <v>106</v>
      </c>
      <c r="J87" s="535">
        <f t="shared" si="19"/>
        <v>107</v>
      </c>
      <c r="K87" s="535">
        <f t="shared" si="19"/>
        <v>108</v>
      </c>
      <c r="L87" s="535">
        <f t="shared" si="19"/>
        <v>109</v>
      </c>
      <c r="M87" s="535">
        <f t="shared" si="19"/>
        <v>110</v>
      </c>
      <c r="N87" s="1141"/>
      <c r="O87" s="1141"/>
      <c r="P87" s="1417"/>
      <c r="Q87" s="1411"/>
      <c r="R87" s="1132"/>
      <c r="S87" s="1132"/>
      <c r="T87" s="1132"/>
      <c r="U87" s="1132"/>
      <c r="V87" s="1132"/>
      <c r="W87" s="1132"/>
      <c r="X87" s="1132"/>
      <c r="Y87" s="1132"/>
      <c r="Z87" s="1132"/>
      <c r="AA87" s="1132"/>
      <c r="AB87" s="1132"/>
      <c r="AC87" s="1132"/>
    </row>
    <row r="88" spans="1:29" ht="15" thickTop="1">
      <c r="A88" s="590"/>
      <c r="B88" s="537" t="s">
        <v>2723</v>
      </c>
      <c r="C88" s="2931" t="s">
        <v>3127</v>
      </c>
      <c r="D88" s="2931" t="s">
        <v>3128</v>
      </c>
      <c r="E88" s="521"/>
      <c r="F88" s="521"/>
      <c r="G88" s="521"/>
      <c r="H88" s="521"/>
      <c r="I88" s="521"/>
      <c r="J88" s="521"/>
      <c r="K88" s="522"/>
      <c r="L88" s="523"/>
      <c r="M88" s="524"/>
      <c r="N88" s="1140"/>
      <c r="O88" s="1140"/>
      <c r="P88" s="1417"/>
      <c r="Q88" s="1411"/>
      <c r="R88" s="1132"/>
      <c r="S88" s="1132"/>
      <c r="T88" s="1132"/>
      <c r="U88" s="1132"/>
      <c r="V88" s="1132"/>
      <c r="W88" s="1132"/>
      <c r="X88" s="1132"/>
      <c r="Y88" s="1132"/>
      <c r="Z88" s="1132"/>
      <c r="AA88" s="1132"/>
      <c r="AB88" s="1132"/>
      <c r="AC88" s="1132"/>
    </row>
    <row r="89" spans="1:29" ht="15.75" thickBot="1">
      <c r="A89" s="525"/>
      <c r="B89" s="534"/>
      <c r="C89" s="573">
        <v>100</v>
      </c>
      <c r="D89" s="535">
        <f t="shared" ref="D89:M89" si="20">C89+$K30</f>
        <v>102</v>
      </c>
      <c r="E89" s="535">
        <f t="shared" si="20"/>
        <v>104</v>
      </c>
      <c r="F89" s="535">
        <f t="shared" si="20"/>
        <v>106</v>
      </c>
      <c r="G89" s="535">
        <f t="shared" si="20"/>
        <v>108</v>
      </c>
      <c r="H89" s="535">
        <f t="shared" si="20"/>
        <v>110</v>
      </c>
      <c r="I89" s="535">
        <f t="shared" si="20"/>
        <v>112</v>
      </c>
      <c r="J89" s="535">
        <f t="shared" si="20"/>
        <v>114</v>
      </c>
      <c r="K89" s="535">
        <f t="shared" si="20"/>
        <v>116</v>
      </c>
      <c r="L89" s="535">
        <f t="shared" si="20"/>
        <v>118</v>
      </c>
      <c r="M89" s="535">
        <f t="shared" si="20"/>
        <v>120</v>
      </c>
      <c r="N89" s="1141"/>
      <c r="O89" s="1141"/>
      <c r="P89" s="1417"/>
      <c r="Q89" s="1411"/>
      <c r="R89" s="1132"/>
      <c r="S89" s="1132"/>
      <c r="T89" s="1132"/>
      <c r="U89" s="1132"/>
      <c r="V89" s="1132"/>
      <c r="W89" s="1132"/>
      <c r="X89" s="1132"/>
      <c r="Y89" s="1132"/>
      <c r="Z89" s="1132"/>
      <c r="AA89" s="1132"/>
      <c r="AB89" s="1132"/>
      <c r="AC89" s="1132"/>
    </row>
    <row r="90" spans="1:29" s="462" customFormat="1" ht="15" thickTop="1">
      <c r="A90" s="584"/>
      <c r="B90" s="529" t="s">
        <v>2724</v>
      </c>
      <c r="C90" s="569" t="str">
        <f>C91&amp;"(含)"&amp;"-"&amp;D91</f>
        <v>20(含)-30</v>
      </c>
      <c r="D90" s="569" t="str">
        <f t="shared" ref="D90:L90" si="21">D91&amp;"(含)"&amp;"-"&amp;E91</f>
        <v>30(含)-40</v>
      </c>
      <c r="E90" s="569" t="str">
        <f t="shared" si="21"/>
        <v>40(含)-50</v>
      </c>
      <c r="F90" s="569" t="str">
        <f t="shared" si="21"/>
        <v>50(含)-60</v>
      </c>
      <c r="G90" s="569" t="str">
        <f t="shared" si="21"/>
        <v>60(含)-</v>
      </c>
      <c r="H90" s="569" t="str">
        <f t="shared" si="21"/>
        <v>(含)-</v>
      </c>
      <c r="I90" s="569" t="str">
        <f t="shared" si="21"/>
        <v>(含)-</v>
      </c>
      <c r="J90" s="569" t="str">
        <f t="shared" si="21"/>
        <v>(含)-</v>
      </c>
      <c r="K90" s="569" t="str">
        <f t="shared" si="21"/>
        <v>(含)-</v>
      </c>
      <c r="L90" s="569" t="str">
        <f t="shared" si="21"/>
        <v>(含)-</v>
      </c>
      <c r="M90" s="613" t="str">
        <f>M91&amp;"(含)"&amp;"-"&amp;P91</f>
        <v>(含)-</v>
      </c>
      <c r="N90" s="1142"/>
      <c r="O90" s="1142"/>
      <c r="P90" s="1418"/>
      <c r="Q90" s="1419"/>
      <c r="R90" s="1420"/>
      <c r="S90" s="1420"/>
      <c r="T90" s="1420"/>
      <c r="U90" s="1420"/>
      <c r="V90" s="1420"/>
      <c r="W90" s="1420"/>
      <c r="X90" s="1420"/>
      <c r="Y90" s="1420"/>
      <c r="Z90" s="1420"/>
      <c r="AA90" s="1420"/>
      <c r="AB90" s="1420"/>
      <c r="AC90" s="1420"/>
    </row>
    <row r="91" spans="1:29" s="462" customFormat="1">
      <c r="A91" s="584"/>
      <c r="B91" s="537"/>
      <c r="C91" s="586">
        <v>20</v>
      </c>
      <c r="D91" s="586">
        <v>30</v>
      </c>
      <c r="E91" s="586">
        <v>40</v>
      </c>
      <c r="F91" s="586">
        <v>50</v>
      </c>
      <c r="G91" s="586">
        <v>60</v>
      </c>
      <c r="H91" s="586"/>
      <c r="I91" s="586"/>
      <c r="J91" s="587"/>
      <c r="K91" s="587"/>
      <c r="L91" s="588"/>
      <c r="M91" s="589"/>
      <c r="N91" s="1142"/>
      <c r="O91" s="1142"/>
      <c r="P91" s="1418"/>
      <c r="Q91" s="1419"/>
      <c r="R91" s="1420"/>
      <c r="S91" s="1420"/>
      <c r="T91" s="1420"/>
      <c r="U91" s="1420"/>
      <c r="V91" s="1420"/>
      <c r="W91" s="1420"/>
      <c r="X91" s="1420"/>
      <c r="Y91" s="1420"/>
      <c r="Z91" s="1420"/>
      <c r="AA91" s="1420"/>
      <c r="AB91" s="1420"/>
      <c r="AC91" s="1420"/>
    </row>
    <row r="92" spans="1:29" s="462" customFormat="1" ht="15.75" thickBot="1">
      <c r="A92" s="544"/>
      <c r="B92" s="534"/>
      <c r="C92" s="551">
        <v>100</v>
      </c>
      <c r="D92" s="527">
        <v>102</v>
      </c>
      <c r="E92" s="527">
        <v>104</v>
      </c>
      <c r="F92" s="527">
        <v>106</v>
      </c>
      <c r="G92" s="527">
        <v>108</v>
      </c>
      <c r="H92" s="527">
        <v>110</v>
      </c>
      <c r="I92" s="527"/>
      <c r="J92" s="527"/>
      <c r="K92" s="527"/>
      <c r="L92" s="527"/>
      <c r="M92" s="528"/>
      <c r="N92" s="1142"/>
      <c r="O92" s="1142"/>
      <c r="P92" s="1418"/>
      <c r="Q92" s="1419"/>
      <c r="R92" s="1420"/>
      <c r="S92" s="1420"/>
      <c r="T92" s="1420"/>
      <c r="U92" s="1420"/>
      <c r="V92" s="1420"/>
      <c r="W92" s="1420"/>
      <c r="X92" s="1420"/>
      <c r="Y92" s="1420"/>
      <c r="Z92" s="1420"/>
      <c r="AA92" s="1420"/>
      <c r="AB92" s="1420"/>
      <c r="AC92" s="1420"/>
    </row>
    <row r="93" spans="1:29" ht="15" thickTop="1">
      <c r="A93" s="590"/>
      <c r="B93" s="529" t="s">
        <v>2725</v>
      </c>
      <c r="C93" s="545" t="s">
        <v>3129</v>
      </c>
      <c r="D93" s="545" t="s">
        <v>3130</v>
      </c>
      <c r="E93" s="574"/>
      <c r="F93" s="574"/>
      <c r="G93" s="574"/>
      <c r="H93" s="574"/>
      <c r="I93" s="574"/>
      <c r="J93" s="574"/>
      <c r="K93" s="575"/>
      <c r="L93" s="576"/>
      <c r="M93" s="577"/>
      <c r="N93" s="1140"/>
      <c r="O93" s="1140"/>
      <c r="P93" s="1417"/>
      <c r="Q93" s="1411"/>
      <c r="R93" s="1132"/>
      <c r="S93" s="1132"/>
      <c r="T93" s="1132"/>
      <c r="U93" s="1132"/>
      <c r="V93" s="1132"/>
      <c r="W93" s="1132"/>
      <c r="X93" s="1132"/>
      <c r="Y93" s="1132"/>
      <c r="Z93" s="1132"/>
      <c r="AA93" s="1132"/>
      <c r="AB93" s="1132"/>
      <c r="AC93" s="1132"/>
    </row>
    <row r="94" spans="1:29" ht="15.75" thickBot="1">
      <c r="A94" s="525"/>
      <c r="B94" s="534"/>
      <c r="C94" s="535">
        <v>100</v>
      </c>
      <c r="D94" s="535">
        <f t="shared" ref="D94:M94" si="22">C94-$K32</f>
        <v>99</v>
      </c>
      <c r="E94" s="535">
        <f t="shared" si="22"/>
        <v>98</v>
      </c>
      <c r="F94" s="535">
        <f t="shared" si="22"/>
        <v>97</v>
      </c>
      <c r="G94" s="535">
        <f t="shared" si="22"/>
        <v>96</v>
      </c>
      <c r="H94" s="535">
        <f t="shared" si="22"/>
        <v>95</v>
      </c>
      <c r="I94" s="535">
        <f t="shared" si="22"/>
        <v>94</v>
      </c>
      <c r="J94" s="535">
        <f t="shared" si="22"/>
        <v>93</v>
      </c>
      <c r="K94" s="535">
        <f t="shared" si="22"/>
        <v>92</v>
      </c>
      <c r="L94" s="535">
        <f t="shared" si="22"/>
        <v>91</v>
      </c>
      <c r="M94" s="536">
        <f t="shared" si="22"/>
        <v>90</v>
      </c>
      <c r="N94" s="1141"/>
      <c r="O94" s="1141"/>
      <c r="P94" s="1417"/>
      <c r="Q94" s="1411"/>
      <c r="R94" s="1132"/>
      <c r="S94" s="1132"/>
      <c r="T94" s="1132"/>
      <c r="U94" s="1132"/>
      <c r="V94" s="1132"/>
      <c r="W94" s="1132"/>
      <c r="X94" s="1132"/>
      <c r="Y94" s="1132"/>
      <c r="Z94" s="1132"/>
      <c r="AA94" s="1132"/>
      <c r="AB94" s="1132"/>
      <c r="AC94" s="1132"/>
    </row>
    <row r="95" spans="1:29" ht="15" thickTop="1">
      <c r="A95" s="590"/>
      <c r="B95" s="529" t="s">
        <v>2726</v>
      </c>
      <c r="C95" s="521" t="s">
        <v>3131</v>
      </c>
      <c r="D95" s="521" t="s">
        <v>3132</v>
      </c>
      <c r="E95" s="521"/>
      <c r="F95" s="521"/>
      <c r="G95" s="521"/>
      <c r="H95" s="521"/>
      <c r="I95" s="521"/>
      <c r="J95" s="521"/>
      <c r="K95" s="522"/>
      <c r="L95" s="523"/>
      <c r="M95" s="524"/>
      <c r="N95" s="1140"/>
      <c r="O95" s="1140"/>
      <c r="P95" s="1417"/>
      <c r="Q95" s="1411"/>
      <c r="R95" s="1132"/>
      <c r="S95" s="1132"/>
      <c r="T95" s="1132"/>
      <c r="U95" s="1132"/>
      <c r="V95" s="1132"/>
      <c r="W95" s="1132"/>
      <c r="X95" s="1132"/>
      <c r="Y95" s="1132"/>
      <c r="Z95" s="1132"/>
      <c r="AA95" s="1132"/>
      <c r="AB95" s="1132"/>
      <c r="AC95" s="1132"/>
    </row>
    <row r="96" spans="1:29" ht="15.75" thickBot="1">
      <c r="A96" s="525"/>
      <c r="B96" s="534"/>
      <c r="C96" s="535">
        <v>100</v>
      </c>
      <c r="D96" s="535">
        <f>C96-$K33</f>
        <v>100</v>
      </c>
      <c r="E96" s="535">
        <f>D96-$K33</f>
        <v>100</v>
      </c>
      <c r="F96" s="535">
        <f>E96-$K33</f>
        <v>100</v>
      </c>
      <c r="G96" s="535">
        <f>F96-$K33</f>
        <v>100</v>
      </c>
      <c r="H96" s="535"/>
      <c r="I96" s="535"/>
      <c r="J96" s="535"/>
      <c r="K96" s="535"/>
      <c r="L96" s="535"/>
      <c r="M96" s="536"/>
      <c r="N96" s="1141"/>
      <c r="O96" s="1141"/>
      <c r="P96" s="1417"/>
      <c r="Q96" s="1411"/>
      <c r="R96" s="1132"/>
      <c r="S96" s="1132"/>
      <c r="T96" s="1132"/>
      <c r="U96" s="1132"/>
      <c r="V96" s="1132"/>
      <c r="W96" s="1132"/>
      <c r="X96" s="1132"/>
      <c r="Y96" s="1132"/>
      <c r="Z96" s="1132"/>
      <c r="AA96" s="1132"/>
      <c r="AB96" s="1132"/>
      <c r="AC96" s="1132"/>
    </row>
    <row r="97" spans="1:29" ht="15" thickTop="1">
      <c r="A97" s="590"/>
      <c r="B97" s="627">
        <f>B34</f>
        <v>0</v>
      </c>
      <c r="C97" s="540"/>
      <c r="D97" s="540"/>
      <c r="E97" s="540"/>
      <c r="F97" s="540"/>
      <c r="G97" s="545"/>
      <c r="H97" s="546"/>
      <c r="I97" s="546"/>
      <c r="J97" s="546"/>
      <c r="K97" s="546"/>
      <c r="L97" s="547"/>
      <c r="M97" s="548"/>
      <c r="N97" s="1141"/>
      <c r="O97" s="1141"/>
      <c r="P97" s="1424"/>
      <c r="Q97" s="1425"/>
      <c r="R97" s="1132"/>
      <c r="S97" s="1132"/>
      <c r="T97" s="1132"/>
      <c r="U97" s="1132"/>
      <c r="V97" s="1132"/>
      <c r="W97" s="1132"/>
      <c r="X97" s="1132"/>
      <c r="Y97" s="1132"/>
      <c r="Z97" s="1132"/>
      <c r="AA97" s="1132"/>
      <c r="AB97" s="1132"/>
      <c r="AC97" s="1132"/>
    </row>
    <row r="98" spans="1:29" ht="15.75" thickBot="1">
      <c r="A98" s="525"/>
      <c r="B98" s="534"/>
      <c r="C98" s="551"/>
      <c r="D98" s="527"/>
      <c r="E98" s="527"/>
      <c r="F98" s="527"/>
      <c r="G98" s="551"/>
      <c r="H98" s="553"/>
      <c r="I98" s="553"/>
      <c r="J98" s="553"/>
      <c r="K98" s="553"/>
      <c r="L98" s="553"/>
      <c r="M98" s="554"/>
      <c r="N98" s="1141"/>
      <c r="O98" s="1141"/>
      <c r="P98" s="1417"/>
      <c r="Q98" s="1411"/>
      <c r="R98" s="1132"/>
      <c r="S98" s="1132"/>
      <c r="T98" s="1132"/>
      <c r="U98" s="1132"/>
      <c r="V98" s="1132"/>
      <c r="W98" s="1132"/>
      <c r="X98" s="1132"/>
      <c r="Y98" s="1132"/>
      <c r="Z98" s="1132"/>
      <c r="AA98" s="1132"/>
      <c r="AB98" s="1132"/>
      <c r="AC98" s="1132"/>
    </row>
    <row r="99" spans="1:29" s="462" customFormat="1" ht="15" thickTop="1">
      <c r="A99" s="584"/>
      <c r="B99" s="529">
        <f>B35</f>
        <v>0</v>
      </c>
      <c r="C99" s="540"/>
      <c r="D99" s="540"/>
      <c r="E99" s="540"/>
      <c r="F99" s="540"/>
      <c r="G99" s="545"/>
      <c r="H99" s="546"/>
      <c r="I99" s="546"/>
      <c r="J99" s="546"/>
      <c r="K99" s="546"/>
      <c r="L99" s="547"/>
      <c r="M99" s="548"/>
      <c r="N99" s="1142"/>
      <c r="O99" s="1142"/>
      <c r="P99" s="1418"/>
      <c r="Q99" s="1419"/>
      <c r="R99" s="1420"/>
      <c r="S99" s="1420"/>
      <c r="T99" s="1420"/>
      <c r="U99" s="1420"/>
      <c r="V99" s="1420"/>
      <c r="W99" s="1420"/>
      <c r="X99" s="1420"/>
      <c r="Y99" s="1420"/>
      <c r="Z99" s="1420"/>
      <c r="AA99" s="1420"/>
      <c r="AB99" s="1420"/>
      <c r="AC99" s="1420"/>
    </row>
    <row r="100" spans="1:29" s="462" customFormat="1" ht="15.75" thickBot="1">
      <c r="A100" s="544"/>
      <c r="B100" s="526"/>
      <c r="C100" s="551"/>
      <c r="D100" s="527"/>
      <c r="E100" s="527"/>
      <c r="F100" s="527"/>
      <c r="G100" s="551"/>
      <c r="H100" s="553"/>
      <c r="I100" s="553"/>
      <c r="J100" s="553"/>
      <c r="K100" s="553"/>
      <c r="L100" s="553"/>
      <c r="M100" s="554"/>
      <c r="N100" s="1142"/>
      <c r="O100" s="1142"/>
      <c r="P100" s="1418"/>
      <c r="Q100" s="1419"/>
      <c r="R100" s="1420"/>
      <c r="S100" s="1420"/>
      <c r="T100" s="1420"/>
      <c r="U100" s="1420"/>
      <c r="V100" s="1420"/>
      <c r="W100" s="1420"/>
      <c r="X100" s="1420"/>
      <c r="Y100" s="1420"/>
      <c r="Z100" s="1420"/>
      <c r="AA100" s="1420"/>
      <c r="AB100" s="1420"/>
      <c r="AC100" s="1420"/>
    </row>
    <row r="101" spans="1:29" ht="15" thickTop="1">
      <c r="A101" s="590"/>
      <c r="B101" s="529">
        <f>B36</f>
        <v>0</v>
      </c>
      <c r="C101" s="545"/>
      <c r="D101" s="545"/>
      <c r="E101" s="545"/>
      <c r="F101" s="545"/>
      <c r="G101" s="545"/>
      <c r="H101" s="546"/>
      <c r="I101" s="546"/>
      <c r="J101" s="546"/>
      <c r="K101" s="546"/>
      <c r="L101" s="547"/>
      <c r="M101" s="548"/>
      <c r="N101" s="1140"/>
      <c r="O101" s="1140"/>
      <c r="P101" s="1417"/>
      <c r="Q101" s="1411"/>
      <c r="R101" s="1132"/>
      <c r="S101" s="1132"/>
      <c r="T101" s="1132"/>
      <c r="U101" s="1132"/>
      <c r="V101" s="1132"/>
      <c r="W101" s="1132"/>
      <c r="X101" s="1132"/>
      <c r="Y101" s="1132"/>
      <c r="Z101" s="1132"/>
      <c r="AA101" s="1132"/>
      <c r="AB101" s="1132"/>
      <c r="AC101" s="1132"/>
    </row>
    <row r="102" spans="1:29" ht="15.75" thickBot="1">
      <c r="A102" s="525"/>
      <c r="B102" s="534"/>
      <c r="C102" s="551"/>
      <c r="D102" s="551"/>
      <c r="E102" s="551"/>
      <c r="F102" s="551"/>
      <c r="G102" s="551"/>
      <c r="H102" s="553"/>
      <c r="I102" s="553"/>
      <c r="J102" s="553"/>
      <c r="K102" s="553"/>
      <c r="L102" s="553"/>
      <c r="M102" s="554"/>
      <c r="N102" s="1141"/>
      <c r="O102" s="1141"/>
      <c r="P102" s="1417"/>
      <c r="Q102" s="1411"/>
      <c r="R102" s="1132"/>
      <c r="S102" s="1132"/>
      <c r="T102" s="1132"/>
      <c r="U102" s="1132"/>
      <c r="V102" s="1132"/>
      <c r="W102" s="1132"/>
      <c r="X102" s="1132"/>
      <c r="Y102" s="1132"/>
      <c r="Z102" s="1132"/>
      <c r="AA102" s="1132"/>
      <c r="AB102" s="1132"/>
      <c r="AC102" s="113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394" customWidth="1"/>
    <col min="2" max="2" width="15.75" style="394" customWidth="1"/>
    <col min="3" max="3" width="14.375" style="394" customWidth="1"/>
    <col min="4" max="4" width="12.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394"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29" s="1616" customFormat="1" ht="28.5" customHeight="1" thickBot="1">
      <c r="A1" s="1605" t="s">
        <v>2697</v>
      </c>
      <c r="B1" s="1606"/>
      <c r="C1" s="1607" t="s">
        <v>2520</v>
      </c>
      <c r="D1" s="1608"/>
      <c r="E1" s="1617"/>
      <c r="F1" s="2574"/>
      <c r="G1" s="1618" t="s">
        <v>2633</v>
      </c>
      <c r="H1" s="1617"/>
      <c r="I1" s="1617"/>
      <c r="J1" s="1617"/>
      <c r="K1" s="1619"/>
      <c r="L1" s="1620"/>
      <c r="M1" s="1621"/>
      <c r="N1" s="1621"/>
      <c r="O1" s="1621"/>
      <c r="P1" s="1607"/>
      <c r="Q1" s="1607"/>
      <c r="R1" s="1607"/>
      <c r="S1" s="1607"/>
      <c r="T1" s="1607"/>
      <c r="U1" s="1607"/>
      <c r="V1" s="1607"/>
      <c r="W1" s="1607"/>
      <c r="X1" s="1607"/>
      <c r="Y1" s="1607"/>
      <c r="Z1" s="1607"/>
      <c r="AA1" s="1607"/>
      <c r="AB1" s="1607"/>
      <c r="AC1" s="1615"/>
    </row>
    <row r="2" spans="1:29" s="389" customFormat="1" ht="28.5" customHeight="1" thickTop="1">
      <c r="A2" s="1604" t="s">
        <v>2320</v>
      </c>
      <c r="B2" s="1406" t="e">
        <f ca="1">IF(C2="——",ROUND(C37*D3/10000,0),ROUND(C37*D3/10000,0)-D2)</f>
        <v>#DIV/0!</v>
      </c>
      <c r="C2" s="2576"/>
      <c r="D2" s="1112" t="e">
        <f ca="1">SUMIF(INDIRECT("'"&amp;F2&amp;"'"&amp;"!A:A"),"承租人权益价值",INDIRECT("'"&amp;F2&amp;"'"&amp;"!c:c"))</f>
        <v>#REF!</v>
      </c>
      <c r="E2" s="2577" t="s">
        <v>2321</v>
      </c>
      <c r="F2" s="2578"/>
      <c r="G2" s="1113"/>
      <c r="H2" s="1113"/>
      <c r="I2" s="1113"/>
      <c r="J2" s="1113"/>
      <c r="K2" s="1115"/>
      <c r="L2" s="1116"/>
      <c r="M2" s="1117"/>
      <c r="N2" s="1117"/>
      <c r="O2" s="1117"/>
      <c r="P2" s="759"/>
      <c r="Q2" s="759"/>
      <c r="R2" s="759"/>
      <c r="S2" s="759"/>
      <c r="T2" s="759"/>
      <c r="U2" s="759"/>
      <c r="V2" s="759"/>
      <c r="W2" s="759"/>
      <c r="X2" s="759"/>
      <c r="Y2" s="759"/>
      <c r="Z2" s="759"/>
      <c r="AA2" s="759"/>
      <c r="AB2" s="759"/>
      <c r="AC2" s="760"/>
    </row>
    <row r="3" spans="1:29" s="389" customFormat="1" ht="28.5" customHeight="1" thickBot="1">
      <c r="A3" s="238" t="s">
        <v>2322</v>
      </c>
      <c r="B3" s="600" t="e">
        <f ca="1">IF(C2="——",C37,ROUND(B2*10000/D3,0))</f>
        <v>#DIV/0!</v>
      </c>
      <c r="C3" s="391" t="s">
        <v>2634</v>
      </c>
      <c r="D3" s="390">
        <f>SUMIF('数据-汇总表'!$C19:$C33,D1,'数据-汇总表'!$E19:$E33)</f>
        <v>0</v>
      </c>
      <c r="E3" s="1113"/>
      <c r="F3" s="1114"/>
      <c r="G3" s="1113"/>
      <c r="H3" s="1113"/>
      <c r="I3" s="1113"/>
      <c r="J3" s="1113"/>
      <c r="K3" s="1115"/>
      <c r="L3" s="1116"/>
      <c r="M3" s="1117"/>
      <c r="N3" s="1117"/>
      <c r="O3" s="1117"/>
      <c r="P3" s="759"/>
      <c r="Q3" s="759"/>
      <c r="R3" s="759"/>
      <c r="S3" s="759"/>
      <c r="T3" s="759"/>
      <c r="U3" s="759"/>
      <c r="V3" s="759"/>
      <c r="W3" s="759"/>
      <c r="X3" s="759"/>
      <c r="Y3" s="759"/>
      <c r="Z3" s="759"/>
      <c r="AA3" s="759"/>
      <c r="AB3" s="777"/>
      <c r="AC3" s="773"/>
    </row>
    <row r="4" spans="1:29" ht="15">
      <c r="A4" s="392" t="s">
        <v>2635</v>
      </c>
      <c r="B4" s="393"/>
      <c r="C4" s="3286" t="s">
        <v>2636</v>
      </c>
      <c r="D4" s="3287"/>
      <c r="E4" s="3288" t="s">
        <v>2637</v>
      </c>
      <c r="F4" s="3289"/>
      <c r="G4" s="3286" t="s">
        <v>2638</v>
      </c>
      <c r="H4" s="3287"/>
      <c r="I4" s="3286" t="s">
        <v>2639</v>
      </c>
      <c r="J4" s="3287"/>
      <c r="K4" s="601" t="s">
        <v>2640</v>
      </c>
      <c r="L4" s="1118"/>
      <c r="M4" s="1119"/>
      <c r="N4" s="1119"/>
      <c r="O4" s="1119"/>
      <c r="P4" s="3290" t="s">
        <v>2641</v>
      </c>
      <c r="Q4" s="3291"/>
      <c r="R4" s="3273" t="s">
        <v>2637</v>
      </c>
      <c r="S4" s="3274"/>
      <c r="T4" s="3273" t="s">
        <v>2638</v>
      </c>
      <c r="U4" s="3274"/>
      <c r="V4" s="3298" t="s">
        <v>2639</v>
      </c>
      <c r="W4" s="3298"/>
      <c r="X4" s="1800"/>
      <c r="Y4" s="3273" t="s">
        <v>2641</v>
      </c>
      <c r="Z4" s="3274"/>
      <c r="AA4" s="3268" t="s">
        <v>2637</v>
      </c>
      <c r="AB4" s="3269" t="s">
        <v>2638</v>
      </c>
      <c r="AC4" s="3268" t="s">
        <v>2639</v>
      </c>
    </row>
    <row r="5" spans="1:29" ht="15">
      <c r="A5" s="395"/>
      <c r="B5" s="396"/>
      <c r="C5" s="3311" t="s">
        <v>2532</v>
      </c>
      <c r="D5" s="3280"/>
      <c r="E5" s="3347" t="s">
        <v>2533</v>
      </c>
      <c r="F5" s="3278"/>
      <c r="G5" s="3311" t="s">
        <v>2534</v>
      </c>
      <c r="H5" s="3280"/>
      <c r="I5" s="3311" t="s">
        <v>2535</v>
      </c>
      <c r="J5" s="3280"/>
      <c r="K5" s="601"/>
      <c r="L5" s="1118"/>
      <c r="M5" s="1119"/>
      <c r="N5" s="1119"/>
      <c r="O5" s="1119"/>
      <c r="P5" s="3292"/>
      <c r="Q5" s="3293"/>
      <c r="R5" s="3275"/>
      <c r="S5" s="3276"/>
      <c r="T5" s="3275"/>
      <c r="U5" s="3276"/>
      <c r="V5" s="3298"/>
      <c r="W5" s="3298"/>
      <c r="X5" s="1800"/>
      <c r="Y5" s="3275"/>
      <c r="Z5" s="3276"/>
      <c r="AA5" s="3269"/>
      <c r="AB5" s="3269"/>
      <c r="AC5" s="3269"/>
    </row>
    <row r="6" spans="1:29" ht="15.75" thickBot="1">
      <c r="A6" s="397"/>
      <c r="B6" s="398"/>
      <c r="C6" s="3281" t="s">
        <v>2536</v>
      </c>
      <c r="D6" s="3282"/>
      <c r="E6" s="3283" t="s">
        <v>2536</v>
      </c>
      <c r="F6" s="3284"/>
      <c r="G6" s="3281" t="s">
        <v>2536</v>
      </c>
      <c r="H6" s="3282"/>
      <c r="I6" s="3281" t="s">
        <v>2536</v>
      </c>
      <c r="J6" s="3282"/>
      <c r="K6" s="601" t="s">
        <v>2537</v>
      </c>
      <c r="L6" s="1118"/>
      <c r="M6" s="1119"/>
      <c r="N6" s="1119"/>
      <c r="O6" s="1119"/>
      <c r="P6" s="3294"/>
      <c r="Q6" s="3295"/>
      <c r="R6" s="3275"/>
      <c r="S6" s="3276"/>
      <c r="T6" s="3296"/>
      <c r="U6" s="3297"/>
      <c r="V6" s="3298"/>
      <c r="W6" s="3298"/>
      <c r="X6" s="1800"/>
      <c r="Y6" s="3296"/>
      <c r="Z6" s="3297"/>
      <c r="AA6" s="3270"/>
      <c r="AB6" s="3270"/>
      <c r="AC6" s="3270"/>
    </row>
    <row r="7" spans="1:29" s="110" customFormat="1" ht="15.75" thickBot="1">
      <c r="A7" s="399" t="s">
        <v>2538</v>
      </c>
      <c r="B7" s="400"/>
      <c r="C7" s="401">
        <f>'数据-取费表'!B2</f>
        <v>43515</v>
      </c>
      <c r="D7" s="402">
        <v>100</v>
      </c>
      <c r="E7" s="403"/>
      <c r="F7" s="404">
        <f>SUMIF(46:46,YEAR(E7)&amp;"-"&amp;MONTH(E7),47:47)</f>
        <v>0</v>
      </c>
      <c r="G7" s="2684"/>
      <c r="H7" s="402">
        <f>SUMIF(46:46,YEAR(G7)&amp;"-"&amp;MONTH(G7),47:47)</f>
        <v>0</v>
      </c>
      <c r="I7" s="403"/>
      <c r="J7" s="402">
        <f>SUMIF(46:46,YEAR(I7)&amp;"-"&amp;MONTH(I7),47:47)</f>
        <v>0</v>
      </c>
      <c r="K7" s="602"/>
      <c r="L7" s="1120"/>
      <c r="M7" s="1121"/>
      <c r="N7" s="1121"/>
      <c r="O7" s="1121"/>
      <c r="P7" s="3271" t="s">
        <v>2539</v>
      </c>
      <c r="Q7" s="3299"/>
      <c r="R7" s="761" t="s">
        <v>17</v>
      </c>
      <c r="S7" s="762">
        <f t="shared" ref="S7:S14" si="0">F7</f>
        <v>0</v>
      </c>
      <c r="T7" s="761" t="s">
        <v>17</v>
      </c>
      <c r="U7" s="762">
        <f t="shared" ref="U7:U14" si="1">H7</f>
        <v>0</v>
      </c>
      <c r="V7" s="761" t="s">
        <v>17</v>
      </c>
      <c r="W7" s="762">
        <f t="shared" ref="W7:W14" si="2">J7</f>
        <v>0</v>
      </c>
      <c r="X7" s="763"/>
      <c r="Y7" s="3271" t="s">
        <v>2539</v>
      </c>
      <c r="Z7" s="3272"/>
      <c r="AA7" s="764" t="e">
        <f>D7/F7</f>
        <v>#DIV/0!</v>
      </c>
      <c r="AB7" s="764" t="e">
        <f>D7/H7</f>
        <v>#DIV/0!</v>
      </c>
      <c r="AC7" s="764" t="e">
        <f>D7/J7</f>
        <v>#DIV/0!</v>
      </c>
    </row>
    <row r="8" spans="1:29" s="110" customFormat="1" ht="15.75" thickBot="1">
      <c r="A8" s="399" t="s">
        <v>2540</v>
      </c>
      <c r="B8" s="400"/>
      <c r="C8" s="405" t="s">
        <v>2642</v>
      </c>
      <c r="D8" s="402">
        <v>100</v>
      </c>
      <c r="E8" s="405"/>
      <c r="F8" s="404">
        <f>SUMIF(49:49,E8,50:50)-SUMIF(49:49,C8,50:50)+100</f>
        <v>0</v>
      </c>
      <c r="G8" s="405"/>
      <c r="H8" s="402">
        <f>SUMIF(49:49,G8,50:50)-SUMIF(49:49,C8,50:50)+100</f>
        <v>0</v>
      </c>
      <c r="I8" s="405"/>
      <c r="J8" s="402">
        <f>SUMIF(49:49,I8,50:50)-SUMIF(49:49,C8,50:50)+100</f>
        <v>0</v>
      </c>
      <c r="K8" s="602"/>
      <c r="L8" s="1120"/>
      <c r="M8" s="1121"/>
      <c r="N8" s="1121"/>
      <c r="O8" s="1121"/>
      <c r="P8" s="3271" t="s">
        <v>2542</v>
      </c>
      <c r="Q8" s="3272"/>
      <c r="R8" s="761" t="s">
        <v>17</v>
      </c>
      <c r="S8" s="762">
        <f t="shared" si="0"/>
        <v>0</v>
      </c>
      <c r="T8" s="761" t="s">
        <v>17</v>
      </c>
      <c r="U8" s="762">
        <f t="shared" si="1"/>
        <v>0</v>
      </c>
      <c r="V8" s="761" t="s">
        <v>17</v>
      </c>
      <c r="W8" s="762">
        <f t="shared" si="2"/>
        <v>0</v>
      </c>
      <c r="X8" s="763"/>
      <c r="Y8" s="3271" t="s">
        <v>2542</v>
      </c>
      <c r="Z8" s="3272"/>
      <c r="AA8" s="764" t="e">
        <f t="shared" ref="AA8:AA34" si="3">D8/F8</f>
        <v>#DIV/0!</v>
      </c>
      <c r="AB8" s="764" t="e">
        <f t="shared" ref="AB8:AB34" si="4">D8/H8</f>
        <v>#DIV/0!</v>
      </c>
      <c r="AC8" s="764" t="e">
        <f t="shared" ref="AC8:AC34" si="5">D8/J8</f>
        <v>#DIV/0!</v>
      </c>
    </row>
    <row r="9" spans="1:29" s="110" customFormat="1">
      <c r="A9" s="406" t="s">
        <v>2543</v>
      </c>
      <c r="B9" s="70" t="s">
        <v>2544</v>
      </c>
      <c r="C9" s="407"/>
      <c r="D9" s="126">
        <v>100</v>
      </c>
      <c r="E9" s="410"/>
      <c r="F9" s="409">
        <f>SUMIF(51:51,E9,52:52)-SUMIF(51:51,C9,52:52)+100</f>
        <v>100</v>
      </c>
      <c r="G9" s="410"/>
      <c r="H9" s="126">
        <f>SUMIF(51:51,G9,52:52)-SUMIF(51:51,C9,52:52)+100</f>
        <v>100</v>
      </c>
      <c r="I9" s="410"/>
      <c r="J9" s="126">
        <f>SUMIF(51:51,I9,52:52)-SUMIF(51:51,C9,52:52)+100</f>
        <v>100</v>
      </c>
      <c r="K9" s="602"/>
      <c r="L9" s="1120"/>
      <c r="M9" s="1121"/>
      <c r="N9" s="1121"/>
      <c r="O9" s="1122"/>
      <c r="P9" s="3285" t="s">
        <v>2545</v>
      </c>
      <c r="Q9" s="1782" t="str">
        <f t="shared" ref="Q9:Q14" si="6">B9</f>
        <v>用途</v>
      </c>
      <c r="R9" s="761" t="s">
        <v>17</v>
      </c>
      <c r="S9" s="762">
        <f t="shared" si="0"/>
        <v>100</v>
      </c>
      <c r="T9" s="761" t="s">
        <v>17</v>
      </c>
      <c r="U9" s="762">
        <f t="shared" si="1"/>
        <v>100</v>
      </c>
      <c r="V9" s="761" t="s">
        <v>17</v>
      </c>
      <c r="W9" s="762">
        <f t="shared" si="2"/>
        <v>100</v>
      </c>
      <c r="X9" s="763"/>
      <c r="Y9" s="3145" t="s">
        <v>2546</v>
      </c>
      <c r="Z9" s="54" t="str">
        <f t="shared" ref="Z9:Z14" si="7">Q9</f>
        <v>用途</v>
      </c>
      <c r="AA9" s="764">
        <f t="shared" si="3"/>
        <v>1</v>
      </c>
      <c r="AB9" s="764">
        <f t="shared" si="4"/>
        <v>1</v>
      </c>
      <c r="AC9" s="764">
        <f t="shared" si="5"/>
        <v>1</v>
      </c>
    </row>
    <row r="10" spans="1:29" s="418" customFormat="1" ht="27">
      <c r="A10" s="412"/>
      <c r="B10" s="413" t="s">
        <v>2547</v>
      </c>
      <c r="C10" s="414"/>
      <c r="D10" s="127">
        <v>100</v>
      </c>
      <c r="E10" s="414"/>
      <c r="F10" s="416">
        <f>SUMIF(53:53,E10,54:54)-SUMIF(53:53,C10,54:54)+100</f>
        <v>100</v>
      </c>
      <c r="G10" s="414"/>
      <c r="H10" s="127">
        <f>SUMIF(53:53,G10,54:54)-SUMIF(53:53,C10,54:54)+100</f>
        <v>100</v>
      </c>
      <c r="I10" s="414"/>
      <c r="J10" s="127">
        <f>SUMIF(53:53,I10,54:54)-SUMIF(53:53,C10,54:54)+100</f>
        <v>100</v>
      </c>
      <c r="K10" s="603"/>
      <c r="L10" s="1123"/>
      <c r="M10" s="1124"/>
      <c r="N10" s="1124"/>
      <c r="O10" s="1125"/>
      <c r="P10" s="3285"/>
      <c r="Q10" s="1782" t="str">
        <f t="shared" si="6"/>
        <v>土地使用年限（年）</v>
      </c>
      <c r="R10" s="761" t="s">
        <v>17</v>
      </c>
      <c r="S10" s="762">
        <f t="shared" si="0"/>
        <v>100</v>
      </c>
      <c r="T10" s="761" t="s">
        <v>17</v>
      </c>
      <c r="U10" s="762">
        <f t="shared" si="1"/>
        <v>100</v>
      </c>
      <c r="V10" s="761" t="s">
        <v>17</v>
      </c>
      <c r="W10" s="762">
        <f t="shared" si="2"/>
        <v>100</v>
      </c>
      <c r="X10" s="763"/>
      <c r="Y10" s="3145"/>
      <c r="Z10" s="54" t="str">
        <f t="shared" si="7"/>
        <v>土地使用年限（年）</v>
      </c>
      <c r="AA10" s="764">
        <f t="shared" si="3"/>
        <v>1</v>
      </c>
      <c r="AB10" s="764">
        <f t="shared" si="4"/>
        <v>1</v>
      </c>
      <c r="AC10" s="764">
        <f t="shared" si="5"/>
        <v>1</v>
      </c>
    </row>
    <row r="11" spans="1:29" ht="15">
      <c r="A11" s="419"/>
      <c r="B11" s="2590">
        <v>111</v>
      </c>
      <c r="C11" s="423"/>
      <c r="D11" s="127">
        <v>100</v>
      </c>
      <c r="E11" s="460"/>
      <c r="F11" s="416">
        <f>SUMIF(55:55,E11,56:56)-SUMIF(55:55,C11,56:56)+100</f>
        <v>100</v>
      </c>
      <c r="G11" s="460"/>
      <c r="H11" s="127">
        <f>SUMIF(55:55,G11,56:56)-SUMIF(55:55,C11,56:56)+100</f>
        <v>100</v>
      </c>
      <c r="I11" s="460"/>
      <c r="J11" s="127">
        <f>SUMIF(55:55,I11,56:56)-SUMIF(55:55,C11,56:56)+100</f>
        <v>100</v>
      </c>
      <c r="K11" s="604"/>
      <c r="L11" s="1126"/>
      <c r="M11" s="1119"/>
      <c r="N11" s="1119"/>
      <c r="O11" s="1127"/>
      <c r="P11" s="3285"/>
      <c r="Q11" s="1782">
        <f t="shared" si="6"/>
        <v>111</v>
      </c>
      <c r="R11" s="761" t="s">
        <v>17</v>
      </c>
      <c r="S11" s="762">
        <f t="shared" si="0"/>
        <v>100</v>
      </c>
      <c r="T11" s="761" t="s">
        <v>17</v>
      </c>
      <c r="U11" s="762">
        <f t="shared" si="1"/>
        <v>100</v>
      </c>
      <c r="V11" s="761" t="s">
        <v>17</v>
      </c>
      <c r="W11" s="762">
        <f t="shared" si="2"/>
        <v>100</v>
      </c>
      <c r="X11" s="763"/>
      <c r="Y11" s="3145"/>
      <c r="Z11" s="54">
        <f t="shared" si="7"/>
        <v>111</v>
      </c>
      <c r="AA11" s="764">
        <f t="shared" si="3"/>
        <v>1</v>
      </c>
      <c r="AB11" s="764">
        <f t="shared" si="4"/>
        <v>1</v>
      </c>
      <c r="AC11" s="764">
        <f t="shared" si="5"/>
        <v>1</v>
      </c>
    </row>
    <row r="12" spans="1:29" s="110" customFormat="1" ht="15">
      <c r="A12" s="422"/>
      <c r="B12" s="2590">
        <v>111</v>
      </c>
      <c r="C12" s="423"/>
      <c r="D12" s="424">
        <v>100</v>
      </c>
      <c r="E12" s="460"/>
      <c r="F12" s="416">
        <f>SUMIF(57:57,E12,58:58)-SUMIF(57:57,C12,58:58)+100</f>
        <v>100</v>
      </c>
      <c r="G12" s="460"/>
      <c r="H12" s="127">
        <f>SUMIF(57:57,G12,58:58)-SUMIF(57:57,C12,58:58)+100</f>
        <v>100</v>
      </c>
      <c r="I12" s="460"/>
      <c r="J12" s="127">
        <f>SUMIF(57:57,I12,58:58)-SUMIF(57:57,C12,58:58)+100</f>
        <v>100</v>
      </c>
      <c r="K12" s="604"/>
      <c r="L12" s="1120"/>
      <c r="M12" s="1121"/>
      <c r="N12" s="1121"/>
      <c r="O12" s="1122"/>
      <c r="P12" s="3285"/>
      <c r="Q12" s="1782">
        <f t="shared" si="6"/>
        <v>111</v>
      </c>
      <c r="R12" s="761" t="s">
        <v>17</v>
      </c>
      <c r="S12" s="762">
        <f t="shared" si="0"/>
        <v>100</v>
      </c>
      <c r="T12" s="761" t="s">
        <v>17</v>
      </c>
      <c r="U12" s="762">
        <f t="shared" si="1"/>
        <v>100</v>
      </c>
      <c r="V12" s="761" t="s">
        <v>17</v>
      </c>
      <c r="W12" s="762">
        <f t="shared" si="2"/>
        <v>100</v>
      </c>
      <c r="X12" s="763"/>
      <c r="Y12" s="3145"/>
      <c r="Z12" s="54">
        <f t="shared" si="7"/>
        <v>111</v>
      </c>
      <c r="AA12" s="764">
        <f>D12/F12</f>
        <v>1</v>
      </c>
      <c r="AB12" s="764">
        <f>D12/H12</f>
        <v>1</v>
      </c>
      <c r="AC12" s="764">
        <f>D12/J12</f>
        <v>1</v>
      </c>
    </row>
    <row r="13" spans="1:29" ht="15.75" thickBot="1">
      <c r="A13" s="419"/>
      <c r="B13" s="2590">
        <v>111</v>
      </c>
      <c r="C13" s="425"/>
      <c r="D13" s="426">
        <v>100</v>
      </c>
      <c r="E13" s="460"/>
      <c r="F13" s="416">
        <f>SUMIF(59:59,E13,60:60)-SUMIF(59:59,C13,60:60)+100</f>
        <v>100</v>
      </c>
      <c r="G13" s="2685"/>
      <c r="H13" s="429">
        <f>SUMIF(59:59,G13,60:60)-SUMIF(59:59,C13,60:60)+100</f>
        <v>100</v>
      </c>
      <c r="I13" s="460"/>
      <c r="J13" s="426">
        <f>SUMIF(59:59,I13,60:60)-SUMIF(59:59,C13,60:60)+100</f>
        <v>100</v>
      </c>
      <c r="K13" s="604"/>
      <c r="L13" s="1128"/>
      <c r="M13" s="1119"/>
      <c r="N13" s="1119"/>
      <c r="O13" s="1127"/>
      <c r="P13" s="3285"/>
      <c r="Q13" s="1782">
        <f t="shared" si="6"/>
        <v>111</v>
      </c>
      <c r="R13" s="761" t="s">
        <v>17</v>
      </c>
      <c r="S13" s="762">
        <f t="shared" si="0"/>
        <v>100</v>
      </c>
      <c r="T13" s="761" t="s">
        <v>17</v>
      </c>
      <c r="U13" s="762">
        <f t="shared" si="1"/>
        <v>100</v>
      </c>
      <c r="V13" s="761" t="s">
        <v>17</v>
      </c>
      <c r="W13" s="762">
        <f t="shared" si="2"/>
        <v>100</v>
      </c>
      <c r="X13" s="763"/>
      <c r="Y13" s="3145"/>
      <c r="Z13" s="54">
        <f t="shared" si="7"/>
        <v>111</v>
      </c>
      <c r="AA13" s="764">
        <f t="shared" si="3"/>
        <v>1</v>
      </c>
      <c r="AB13" s="764">
        <f t="shared" si="4"/>
        <v>1</v>
      </c>
      <c r="AC13" s="764">
        <f t="shared" si="5"/>
        <v>1</v>
      </c>
    </row>
    <row r="14" spans="1:29" ht="15">
      <c r="A14" s="431" t="s">
        <v>2549</v>
      </c>
      <c r="B14" s="68" t="s">
        <v>2699</v>
      </c>
      <c r="C14" s="2681">
        <f>IF(B1="工业",估价对象房地状况!G4,估价对象房地状况!C6)</f>
        <v>0</v>
      </c>
      <c r="D14" s="432">
        <v>100</v>
      </c>
      <c r="E14" s="433"/>
      <c r="F14" s="434">
        <f>SUMIF(61:61,E15,62:62)-SUMIF(61:61,C15,62:62)+100</f>
        <v>100</v>
      </c>
      <c r="G14" s="435"/>
      <c r="H14" s="432">
        <f>SUMIF(61:61,G15,62:62)-SUMIF(61:61,C15,62:62)+100</f>
        <v>100</v>
      </c>
      <c r="I14" s="433"/>
      <c r="J14" s="432">
        <f>SUMIF(61:61,I15,62:62)-SUMIF(61:61,C15,62:62)+100</f>
        <v>100</v>
      </c>
      <c r="K14" s="605"/>
      <c r="L14" s="1128"/>
      <c r="M14" s="1119"/>
      <c r="N14" s="1119"/>
      <c r="O14" s="1127"/>
      <c r="P14" s="3300" t="s">
        <v>2550</v>
      </c>
      <c r="Q14" s="1797" t="str">
        <f t="shared" si="6"/>
        <v>交通便捷度</v>
      </c>
      <c r="R14" s="765" t="s">
        <v>17</v>
      </c>
      <c r="S14" s="766">
        <f t="shared" si="0"/>
        <v>100</v>
      </c>
      <c r="T14" s="765" t="s">
        <v>17</v>
      </c>
      <c r="U14" s="766">
        <f t="shared" si="1"/>
        <v>100</v>
      </c>
      <c r="V14" s="765" t="s">
        <v>17</v>
      </c>
      <c r="W14" s="766">
        <f t="shared" si="2"/>
        <v>100</v>
      </c>
      <c r="X14" s="1800"/>
      <c r="Y14" s="3300" t="s">
        <v>2550</v>
      </c>
      <c r="Z14" s="1801" t="str">
        <f t="shared" si="7"/>
        <v>交通便捷度</v>
      </c>
      <c r="AA14" s="1798">
        <f t="shared" si="3"/>
        <v>1</v>
      </c>
      <c r="AB14" s="1798">
        <f t="shared" si="4"/>
        <v>1</v>
      </c>
      <c r="AC14" s="1798">
        <f t="shared" si="5"/>
        <v>1</v>
      </c>
    </row>
    <row r="15" spans="1:29" ht="15">
      <c r="A15" s="419"/>
      <c r="B15" s="437"/>
      <c r="C15" s="438"/>
      <c r="D15" s="439"/>
      <c r="E15" s="438"/>
      <c r="F15" s="440"/>
      <c r="G15" s="438"/>
      <c r="H15" s="441"/>
      <c r="I15" s="438"/>
      <c r="J15" s="439"/>
      <c r="K15" s="606"/>
      <c r="L15" s="1128"/>
      <c r="M15" s="1119"/>
      <c r="N15" s="1119"/>
      <c r="O15" s="1127"/>
      <c r="P15" s="3301"/>
      <c r="Q15" s="1797"/>
      <c r="R15" s="765"/>
      <c r="S15" s="766"/>
      <c r="T15" s="765"/>
      <c r="U15" s="766"/>
      <c r="V15" s="765"/>
      <c r="W15" s="766"/>
      <c r="X15" s="1800"/>
      <c r="Y15" s="3301"/>
      <c r="Z15" s="1801"/>
      <c r="AA15" s="1798">
        <v>1</v>
      </c>
      <c r="AB15" s="1798">
        <v>1</v>
      </c>
      <c r="AC15" s="1798">
        <v>1</v>
      </c>
    </row>
    <row r="16" spans="1:29" ht="15">
      <c r="A16" s="419"/>
      <c r="B16" s="442" t="s">
        <v>2678</v>
      </c>
      <c r="C16" s="2597">
        <f>IF(B1="工业",估价对象房地状况!G5,估价对象房地状况!C7)</f>
        <v>0</v>
      </c>
      <c r="D16" s="446">
        <v>100</v>
      </c>
      <c r="E16" s="448"/>
      <c r="F16" s="449">
        <f>SUMIF(63:63,E17,64:64)-SUMIF(63:63,C17,64:64)+100</f>
        <v>100</v>
      </c>
      <c r="G16" s="450"/>
      <c r="H16" s="446">
        <f>SUMIF(63:63,G17,64:64)-SUMIF(63:63,C17,64:64)+100</f>
        <v>100</v>
      </c>
      <c r="I16" s="448"/>
      <c r="J16" s="446">
        <f>SUMIF(63:63,I17,64:64)-SUMIF(63:63,C17,64:64)+100</f>
        <v>100</v>
      </c>
      <c r="K16" s="605"/>
      <c r="L16" s="1128"/>
      <c r="M16" s="1119"/>
      <c r="N16" s="1119"/>
      <c r="O16" s="1127"/>
      <c r="P16" s="3301"/>
      <c r="Q16" s="1797" t="str">
        <f>B16</f>
        <v>公共配套设施</v>
      </c>
      <c r="R16" s="765" t="s">
        <v>17</v>
      </c>
      <c r="S16" s="766">
        <f>F16</f>
        <v>100</v>
      </c>
      <c r="T16" s="765" t="s">
        <v>17</v>
      </c>
      <c r="U16" s="766">
        <f>H16</f>
        <v>100</v>
      </c>
      <c r="V16" s="765" t="s">
        <v>17</v>
      </c>
      <c r="W16" s="766">
        <f>J16</f>
        <v>100</v>
      </c>
      <c r="X16" s="1800"/>
      <c r="Y16" s="3301"/>
      <c r="Z16" s="1801" t="str">
        <f>Q16</f>
        <v>公共配套设施</v>
      </c>
      <c r="AA16" s="1798">
        <f t="shared" si="3"/>
        <v>1</v>
      </c>
      <c r="AB16" s="1798">
        <f t="shared" si="4"/>
        <v>1</v>
      </c>
      <c r="AC16" s="1798">
        <f t="shared" si="5"/>
        <v>1</v>
      </c>
    </row>
    <row r="17" spans="1:29" ht="15">
      <c r="A17" s="419"/>
      <c r="B17" s="447"/>
      <c r="C17" s="2598"/>
      <c r="D17" s="439"/>
      <c r="E17" s="438"/>
      <c r="F17" s="440"/>
      <c r="G17" s="438"/>
      <c r="H17" s="439"/>
      <c r="I17" s="438"/>
      <c r="J17" s="439"/>
      <c r="K17" s="606"/>
      <c r="L17" s="1128"/>
      <c r="M17" s="1119"/>
      <c r="N17" s="1119"/>
      <c r="O17" s="1127"/>
      <c r="P17" s="3301"/>
      <c r="Q17" s="1797"/>
      <c r="R17" s="765"/>
      <c r="S17" s="766"/>
      <c r="T17" s="765"/>
      <c r="U17" s="766"/>
      <c r="V17" s="765"/>
      <c r="W17" s="766"/>
      <c r="X17" s="1800"/>
      <c r="Y17" s="3301"/>
      <c r="Z17" s="1801"/>
      <c r="AA17" s="1798">
        <v>1</v>
      </c>
      <c r="AB17" s="1798">
        <v>1</v>
      </c>
      <c r="AC17" s="1798">
        <v>1</v>
      </c>
    </row>
    <row r="18" spans="1:29" ht="15">
      <c r="A18" s="419"/>
      <c r="B18" s="1372" t="s">
        <v>2679</v>
      </c>
      <c r="C18" s="2597">
        <f>IF(B1="工业",估价对象房地状况!G6,估价对象房地状况!C8)</f>
        <v>0</v>
      </c>
      <c r="D18" s="446">
        <v>100</v>
      </c>
      <c r="E18" s="443"/>
      <c r="F18" s="449">
        <f>SUMIF(65:65,E19,66:66)-SUMIF(65:65,C19,66:66)+100</f>
        <v>100</v>
      </c>
      <c r="G18" s="445"/>
      <c r="H18" s="446">
        <f>SUMIF(65:65,G19,66:66)-SUMIF(65:65,C19,66:66)+100</f>
        <v>100</v>
      </c>
      <c r="I18" s="448"/>
      <c r="J18" s="446">
        <f>SUMIF(65:65,I19,66:66)-SUMIF(65:65,C19,66:66)+100</f>
        <v>100</v>
      </c>
      <c r="K18" s="605"/>
      <c r="L18" s="1128"/>
      <c r="M18" s="1119"/>
      <c r="N18" s="1119"/>
      <c r="O18" s="1127"/>
      <c r="P18" s="3301"/>
      <c r="Q18" s="1797" t="str">
        <f>B18</f>
        <v>基础设施水平</v>
      </c>
      <c r="R18" s="765" t="s">
        <v>17</v>
      </c>
      <c r="S18" s="766">
        <f>F18</f>
        <v>100</v>
      </c>
      <c r="T18" s="765" t="s">
        <v>17</v>
      </c>
      <c r="U18" s="766">
        <f>H18</f>
        <v>100</v>
      </c>
      <c r="V18" s="765" t="s">
        <v>17</v>
      </c>
      <c r="W18" s="766">
        <f>J18</f>
        <v>100</v>
      </c>
      <c r="X18" s="1800"/>
      <c r="Y18" s="3301"/>
      <c r="Z18" s="1801" t="str">
        <f>Q18</f>
        <v>基础设施水平</v>
      </c>
      <c r="AA18" s="1798">
        <f t="shared" ref="AA18" si="8">D18/F18</f>
        <v>1</v>
      </c>
      <c r="AB18" s="1798">
        <f t="shared" ref="AB18" si="9">D18/H18</f>
        <v>1</v>
      </c>
      <c r="AC18" s="1798">
        <f t="shared" ref="AC18" si="10">D18/J18</f>
        <v>1</v>
      </c>
    </row>
    <row r="19" spans="1:29" ht="15">
      <c r="A19" s="419"/>
      <c r="B19" s="1372"/>
      <c r="C19" s="2598"/>
      <c r="D19" s="441"/>
      <c r="E19" s="2598"/>
      <c r="F19" s="444"/>
      <c r="G19" s="2598"/>
      <c r="H19" s="439"/>
      <c r="I19" s="438"/>
      <c r="J19" s="439"/>
      <c r="K19" s="1371"/>
      <c r="L19" s="1128"/>
      <c r="M19" s="1119"/>
      <c r="N19" s="1119"/>
      <c r="O19" s="1127"/>
      <c r="P19" s="3301"/>
      <c r="Q19" s="1797"/>
      <c r="R19" s="765"/>
      <c r="S19" s="766"/>
      <c r="T19" s="765"/>
      <c r="U19" s="766"/>
      <c r="V19" s="765"/>
      <c r="W19" s="766"/>
      <c r="X19" s="1800"/>
      <c r="Y19" s="3301"/>
      <c r="Z19" s="1801"/>
      <c r="AA19" s="1798">
        <v>1</v>
      </c>
      <c r="AB19" s="1798">
        <v>1</v>
      </c>
      <c r="AC19" s="1798">
        <v>1</v>
      </c>
    </row>
    <row r="20" spans="1:29" ht="15">
      <c r="A20" s="419"/>
      <c r="B20" s="442" t="s">
        <v>2700</v>
      </c>
      <c r="C20" s="2597">
        <f>IF(B1="工业",估价对象房地状况!G7,估价对象房地状况!C9)</f>
        <v>0</v>
      </c>
      <c r="D20" s="446">
        <v>100</v>
      </c>
      <c r="E20" s="448"/>
      <c r="F20" s="449">
        <f>SUMIF(67:67,E21,68:68)-SUMIF(67:67,C21,68:68)+100</f>
        <v>100</v>
      </c>
      <c r="G20" s="450"/>
      <c r="H20" s="441">
        <f>SUMIF(67:67,G21,68:68)-SUMIF(67:67,C21,68:68)+100</f>
        <v>100</v>
      </c>
      <c r="I20" s="443"/>
      <c r="J20" s="441">
        <f>SUMIF(67:67,I21,68:68)-SUMIF(67:67,C21,68:68)+100</f>
        <v>100</v>
      </c>
      <c r="K20" s="605"/>
      <c r="L20" s="1128"/>
      <c r="M20" s="1119"/>
      <c r="N20" s="1119"/>
      <c r="O20" s="1127"/>
      <c r="P20" s="3301"/>
      <c r="Q20" s="1797" t="str">
        <f>B20</f>
        <v>自然及人文环境</v>
      </c>
      <c r="R20" s="765" t="s">
        <v>17</v>
      </c>
      <c r="S20" s="766">
        <f>F20</f>
        <v>100</v>
      </c>
      <c r="T20" s="765" t="s">
        <v>17</v>
      </c>
      <c r="U20" s="766">
        <f>H20</f>
        <v>100</v>
      </c>
      <c r="V20" s="765" t="s">
        <v>17</v>
      </c>
      <c r="W20" s="766">
        <f>J20</f>
        <v>100</v>
      </c>
      <c r="X20" s="1800"/>
      <c r="Y20" s="3301"/>
      <c r="Z20" s="1801" t="str">
        <f>Q20</f>
        <v>自然及人文环境</v>
      </c>
      <c r="AA20" s="1798">
        <f t="shared" si="3"/>
        <v>1</v>
      </c>
      <c r="AB20" s="1798">
        <f t="shared" si="4"/>
        <v>1</v>
      </c>
      <c r="AC20" s="1798">
        <f t="shared" si="5"/>
        <v>1</v>
      </c>
    </row>
    <row r="21" spans="1:29" ht="15">
      <c r="A21" s="419"/>
      <c r="B21" s="447"/>
      <c r="C21" s="438"/>
      <c r="D21" s="439"/>
      <c r="E21" s="438"/>
      <c r="F21" s="440"/>
      <c r="G21" s="438"/>
      <c r="H21" s="439"/>
      <c r="I21" s="438"/>
      <c r="J21" s="439"/>
      <c r="K21" s="606"/>
      <c r="L21" s="1128"/>
      <c r="M21" s="1119"/>
      <c r="N21" s="1119"/>
      <c r="O21" s="1127"/>
      <c r="P21" s="3301"/>
      <c r="Q21" s="1797"/>
      <c r="R21" s="765"/>
      <c r="S21" s="766"/>
      <c r="T21" s="765"/>
      <c r="U21" s="766"/>
      <c r="V21" s="765"/>
      <c r="W21" s="766"/>
      <c r="X21" s="1800"/>
      <c r="Y21" s="3301"/>
      <c r="Z21" s="1801"/>
      <c r="AA21" s="1798">
        <v>1</v>
      </c>
      <c r="AB21" s="1798">
        <v>1</v>
      </c>
      <c r="AC21" s="1798">
        <v>1</v>
      </c>
    </row>
    <row r="22" spans="1:29" ht="15">
      <c r="A22" s="419"/>
      <c r="B22" s="442" t="s">
        <v>2701</v>
      </c>
      <c r="C22" s="607"/>
      <c r="D22" s="441">
        <v>100</v>
      </c>
      <c r="E22" s="607"/>
      <c r="F22" s="452">
        <f>SUMIF(69:69,E22,70:70)-SUMIF(69:69,C22,70:70)+100</f>
        <v>100</v>
      </c>
      <c r="G22" s="607"/>
      <c r="H22" s="426">
        <f>SUMIF(69:69,G22,70:70)-SUMIF(69:69,C22,70:70)+100</f>
        <v>100</v>
      </c>
      <c r="I22" s="607"/>
      <c r="J22" s="426">
        <f>SUMIF(69:69,I22,70:70)-SUMIF(69:69,C22,70:70)+100</f>
        <v>100</v>
      </c>
      <c r="K22" s="603"/>
      <c r="L22" s="1128"/>
      <c r="M22" s="1119"/>
      <c r="N22" s="1119"/>
      <c r="O22" s="1127"/>
      <c r="P22" s="3301"/>
      <c r="Q22" s="1797" t="str">
        <f>B22</f>
        <v>楼层</v>
      </c>
      <c r="R22" s="765" t="s">
        <v>17</v>
      </c>
      <c r="S22" s="766">
        <f>F22</f>
        <v>100</v>
      </c>
      <c r="T22" s="765" t="s">
        <v>17</v>
      </c>
      <c r="U22" s="766">
        <f>H22</f>
        <v>100</v>
      </c>
      <c r="V22" s="765" t="s">
        <v>17</v>
      </c>
      <c r="W22" s="766">
        <f>J22</f>
        <v>100</v>
      </c>
      <c r="X22" s="1800"/>
      <c r="Y22" s="3301"/>
      <c r="Z22" s="1801" t="str">
        <f>Q22</f>
        <v>楼层</v>
      </c>
      <c r="AA22" s="1798">
        <f t="shared" si="3"/>
        <v>1</v>
      </c>
      <c r="AB22" s="1798">
        <f t="shared" si="4"/>
        <v>1</v>
      </c>
      <c r="AC22" s="1798">
        <f t="shared" si="5"/>
        <v>1</v>
      </c>
    </row>
    <row r="23" spans="1:29" ht="15">
      <c r="A23" s="395"/>
      <c r="B23" s="2590">
        <v>111</v>
      </c>
      <c r="C23" s="423"/>
      <c r="D23" s="426">
        <v>100</v>
      </c>
      <c r="E23" s="425"/>
      <c r="F23" s="452">
        <f>SUMIF(71:71,E23,72:72)-SUMIF(71:71,C23,72:72)+100</f>
        <v>100</v>
      </c>
      <c r="G23" s="425"/>
      <c r="H23" s="426">
        <f>SUMIF(71:71,G23,72:72)-SUMIF(71:71,C23,72:72)+100</f>
        <v>100</v>
      </c>
      <c r="I23" s="425"/>
      <c r="J23" s="426">
        <f>SUMIF(71:71,I23,72:72)-SUMIF(71:71,C23,72:72)+100</f>
        <v>100</v>
      </c>
      <c r="K23" s="604"/>
      <c r="L23" s="1128"/>
      <c r="M23" s="1119"/>
      <c r="N23" s="1119"/>
      <c r="O23" s="1127"/>
      <c r="P23" s="3301"/>
      <c r="Q23" s="1797">
        <f>B23</f>
        <v>111</v>
      </c>
      <c r="R23" s="765" t="s">
        <v>17</v>
      </c>
      <c r="S23" s="766">
        <f>F23</f>
        <v>100</v>
      </c>
      <c r="T23" s="765" t="s">
        <v>17</v>
      </c>
      <c r="U23" s="766">
        <f>H23</f>
        <v>100</v>
      </c>
      <c r="V23" s="765" t="s">
        <v>17</v>
      </c>
      <c r="W23" s="766">
        <f>J23</f>
        <v>100</v>
      </c>
      <c r="X23" s="1800"/>
      <c r="Y23" s="3301"/>
      <c r="Z23" s="1801">
        <f>Q23</f>
        <v>111</v>
      </c>
      <c r="AA23" s="1798">
        <f t="shared" si="3"/>
        <v>1</v>
      </c>
      <c r="AB23" s="1798">
        <f t="shared" si="4"/>
        <v>1</v>
      </c>
      <c r="AC23" s="1798">
        <f t="shared" si="5"/>
        <v>1</v>
      </c>
    </row>
    <row r="24" spans="1:29" ht="15">
      <c r="A24" s="419"/>
      <c r="B24" s="2590">
        <v>111</v>
      </c>
      <c r="C24" s="423"/>
      <c r="D24" s="426">
        <v>100</v>
      </c>
      <c r="E24" s="425"/>
      <c r="F24" s="452">
        <f>SUMIF(73:73,E24,74:74)-SUMIF(73:73,C24,74:74)+100</f>
        <v>100</v>
      </c>
      <c r="G24" s="425"/>
      <c r="H24" s="426">
        <f>SUMIF(73:73,G24,74:74)-SUMIF(73:73,C24,74:74)+100</f>
        <v>100</v>
      </c>
      <c r="I24" s="425"/>
      <c r="J24" s="426">
        <f>SUMIF(73:73,I24,74:74)-SUMIF(73:73,C24,74:74)+100</f>
        <v>100</v>
      </c>
      <c r="K24" s="604"/>
      <c r="L24" s="1128"/>
      <c r="M24" s="1119"/>
      <c r="N24" s="1119"/>
      <c r="O24" s="1127"/>
      <c r="P24" s="3301"/>
      <c r="Q24" s="1797">
        <f t="shared" ref="Q24:Q34" si="11">B24</f>
        <v>111</v>
      </c>
      <c r="R24" s="765" t="s">
        <v>17</v>
      </c>
      <c r="S24" s="766">
        <f>F24</f>
        <v>100</v>
      </c>
      <c r="T24" s="765" t="s">
        <v>17</v>
      </c>
      <c r="U24" s="766">
        <f>H24</f>
        <v>100</v>
      </c>
      <c r="V24" s="765" t="s">
        <v>17</v>
      </c>
      <c r="W24" s="766">
        <f>J24</f>
        <v>100</v>
      </c>
      <c r="X24" s="1800"/>
      <c r="Y24" s="3301"/>
      <c r="Z24" s="1801">
        <f>Q24</f>
        <v>111</v>
      </c>
      <c r="AA24" s="1798">
        <f t="shared" si="3"/>
        <v>1</v>
      </c>
      <c r="AB24" s="1798">
        <f t="shared" si="4"/>
        <v>1</v>
      </c>
      <c r="AC24" s="1798">
        <f t="shared" si="5"/>
        <v>1</v>
      </c>
    </row>
    <row r="25" spans="1:29" s="110" customFormat="1" ht="15.75" thickBot="1">
      <c r="A25" s="422"/>
      <c r="B25" s="2590">
        <v>111</v>
      </c>
      <c r="C25" s="2686"/>
      <c r="D25" s="656">
        <v>100</v>
      </c>
      <c r="E25" s="2686"/>
      <c r="F25" s="657">
        <f>SUMIF(75:75,E25,76:76)-SUMIF(75:75,C25,76:76)+100</f>
        <v>100</v>
      </c>
      <c r="G25" s="2686"/>
      <c r="H25" s="656">
        <f>SUMIF(75:75,G25,76:76)-SUMIF(75:75,C25,76:76)+100</f>
        <v>100</v>
      </c>
      <c r="I25" s="2686"/>
      <c r="J25" s="656">
        <f>SUMIF(75:75,I25,76:76)-SUMIF(75:75,C25,76:76)+100</f>
        <v>100</v>
      </c>
      <c r="K25" s="604"/>
      <c r="L25" s="1120"/>
      <c r="M25" s="1121"/>
      <c r="N25" s="1121"/>
      <c r="O25" s="1122"/>
      <c r="P25" s="3301"/>
      <c r="Q25" s="1782">
        <f t="shared" si="11"/>
        <v>111</v>
      </c>
      <c r="R25" s="761" t="s">
        <v>17</v>
      </c>
      <c r="S25" s="762">
        <f>F25</f>
        <v>100</v>
      </c>
      <c r="T25" s="761" t="s">
        <v>17</v>
      </c>
      <c r="U25" s="762">
        <f>H25</f>
        <v>100</v>
      </c>
      <c r="V25" s="761" t="s">
        <v>17</v>
      </c>
      <c r="W25" s="762">
        <f>J25</f>
        <v>100</v>
      </c>
      <c r="X25" s="763"/>
      <c r="Y25" s="3301"/>
      <c r="Z25" s="54">
        <f>Q25</f>
        <v>111</v>
      </c>
      <c r="AA25" s="1798">
        <f>D25/F25</f>
        <v>1</v>
      </c>
      <c r="AB25" s="1798">
        <f>D25/H25</f>
        <v>1</v>
      </c>
      <c r="AC25" s="1798">
        <f>D25/J25</f>
        <v>1</v>
      </c>
    </row>
    <row r="26" spans="1:29" ht="15">
      <c r="A26" s="457" t="s">
        <v>2553</v>
      </c>
      <c r="B26" s="70" t="s">
        <v>2704</v>
      </c>
      <c r="C26" s="2667"/>
      <c r="D26" s="458">
        <v>100</v>
      </c>
      <c r="E26" s="2667"/>
      <c r="F26" s="658">
        <f>SUMIF(77:77,E26,78:78)-SUMIF(77:77,C26,78:78)+100</f>
        <v>100</v>
      </c>
      <c r="G26" s="2667"/>
      <c r="H26" s="458">
        <f>SUMIF(77:77,G26,78:78)-SUMIF(77:77,C26,78:78)+100</f>
        <v>100</v>
      </c>
      <c r="I26" s="2667"/>
      <c r="J26" s="458">
        <f>SUMIF(77:77,I26,78:78)-SUMIF(77:77,C26,78:78)+100</f>
        <v>100</v>
      </c>
      <c r="K26" s="603"/>
      <c r="L26" s="1128"/>
      <c r="M26" s="1119"/>
      <c r="N26" s="1119"/>
      <c r="O26" s="1127"/>
      <c r="P26" s="3302" t="s">
        <v>2555</v>
      </c>
      <c r="Q26" s="1797" t="str">
        <f t="shared" si="11"/>
        <v>公共部分装修</v>
      </c>
      <c r="R26" s="765" t="s">
        <v>17</v>
      </c>
      <c r="S26" s="766">
        <f t="shared" ref="S26:S34" si="12">F26</f>
        <v>100</v>
      </c>
      <c r="T26" s="765" t="s">
        <v>17</v>
      </c>
      <c r="U26" s="766">
        <f t="shared" ref="U26:U34" si="13">H26</f>
        <v>100</v>
      </c>
      <c r="V26" s="765" t="s">
        <v>17</v>
      </c>
      <c r="W26" s="766">
        <f t="shared" ref="W26:W34" si="14">J26</f>
        <v>100</v>
      </c>
      <c r="X26" s="1800"/>
      <c r="Y26" s="3303" t="s">
        <v>2555</v>
      </c>
      <c r="Z26" s="1801" t="str">
        <f t="shared" ref="Z26:Z34" si="15">Q26</f>
        <v>公共部分装修</v>
      </c>
      <c r="AA26" s="1798">
        <f t="shared" si="3"/>
        <v>1</v>
      </c>
      <c r="AB26" s="1798">
        <f t="shared" si="4"/>
        <v>1</v>
      </c>
      <c r="AC26" s="1798">
        <f t="shared" si="5"/>
        <v>1</v>
      </c>
    </row>
    <row r="27" spans="1:29" s="462" customFormat="1" ht="15">
      <c r="A27" s="459"/>
      <c r="B27" s="413" t="s">
        <v>2705</v>
      </c>
      <c r="C27" s="465"/>
      <c r="D27" s="127">
        <v>100</v>
      </c>
      <c r="E27" s="466"/>
      <c r="F27" s="452" t="e">
        <f>LOOKUP(E27,80:80,81:81)-LOOKUP(C27,80:80,81:81)+100</f>
        <v>#N/A</v>
      </c>
      <c r="G27" s="467"/>
      <c r="H27" s="426" t="e">
        <f>LOOKUP(G27,80:80,81:81)-LOOKUP(C27,80:80,81:81)+100</f>
        <v>#N/A</v>
      </c>
      <c r="I27" s="467"/>
      <c r="J27" s="426" t="e">
        <f>LOOKUP(I27,80:80,81:81)-LOOKUP(C27,80:80,81:81)+100</f>
        <v>#N/A</v>
      </c>
      <c r="K27" s="603"/>
      <c r="L27" s="1126"/>
      <c r="M27" s="1129"/>
      <c r="N27" s="1129"/>
      <c r="O27" s="1130"/>
      <c r="P27" s="3303"/>
      <c r="Q27" s="767" t="str">
        <f t="shared" si="11"/>
        <v>成新率</v>
      </c>
      <c r="R27" s="768" t="s">
        <v>17</v>
      </c>
      <c r="S27" s="769" t="e">
        <f t="shared" si="12"/>
        <v>#N/A</v>
      </c>
      <c r="T27" s="768" t="s">
        <v>17</v>
      </c>
      <c r="U27" s="769" t="e">
        <f t="shared" si="13"/>
        <v>#N/A</v>
      </c>
      <c r="V27" s="768" t="s">
        <v>17</v>
      </c>
      <c r="W27" s="769" t="e">
        <f t="shared" si="14"/>
        <v>#N/A</v>
      </c>
      <c r="X27" s="770"/>
      <c r="Y27" s="3303"/>
      <c r="Z27" s="771" t="str">
        <f t="shared" si="15"/>
        <v>成新率</v>
      </c>
      <c r="AA27" s="1798" t="e">
        <f t="shared" si="3"/>
        <v>#N/A</v>
      </c>
      <c r="AB27" s="1798" t="e">
        <f t="shared" si="4"/>
        <v>#N/A</v>
      </c>
      <c r="AC27" s="1798" t="e">
        <f t="shared" si="5"/>
        <v>#N/A</v>
      </c>
    </row>
    <row r="28" spans="1:29" ht="15">
      <c r="A28" s="463"/>
      <c r="B28" s="413" t="s">
        <v>2706</v>
      </c>
      <c r="C28" s="451"/>
      <c r="D28" s="426">
        <v>100</v>
      </c>
      <c r="E28" s="451"/>
      <c r="F28" s="452">
        <f>SUMIF(82:82,E28,83:83)-SUMIF(82:82,C28,83:83)+100</f>
        <v>100</v>
      </c>
      <c r="G28" s="451"/>
      <c r="H28" s="426">
        <f>SUMIF(82:82,G28,83:83)-SUMIF(82:82,C28,83:83)+100</f>
        <v>100</v>
      </c>
      <c r="I28" s="451"/>
      <c r="J28" s="426">
        <f>SUMIF(82:82,I28,83:83)-SUMIF(82:82,C28,83:83)+100</f>
        <v>100</v>
      </c>
      <c r="K28" s="603"/>
      <c r="L28" s="1128"/>
      <c r="M28" s="1119"/>
      <c r="N28" s="1119"/>
      <c r="O28" s="1127"/>
      <c r="P28" s="3303"/>
      <c r="Q28" s="1797" t="str">
        <f t="shared" si="11"/>
        <v>物业等级</v>
      </c>
      <c r="R28" s="765" t="s">
        <v>17</v>
      </c>
      <c r="S28" s="766">
        <f t="shared" si="12"/>
        <v>100</v>
      </c>
      <c r="T28" s="765" t="s">
        <v>17</v>
      </c>
      <c r="U28" s="766">
        <f t="shared" si="13"/>
        <v>100</v>
      </c>
      <c r="V28" s="765" t="s">
        <v>17</v>
      </c>
      <c r="W28" s="766">
        <f t="shared" si="14"/>
        <v>100</v>
      </c>
      <c r="X28" s="1800"/>
      <c r="Y28" s="3303"/>
      <c r="Z28" s="1801" t="str">
        <f t="shared" si="15"/>
        <v>物业等级</v>
      </c>
      <c r="AA28" s="1798">
        <f t="shared" si="3"/>
        <v>1</v>
      </c>
      <c r="AB28" s="1798">
        <f t="shared" si="4"/>
        <v>1</v>
      </c>
      <c r="AC28" s="1798">
        <f t="shared" si="5"/>
        <v>1</v>
      </c>
    </row>
    <row r="29" spans="1:29" ht="15">
      <c r="A29" s="463"/>
      <c r="B29" s="413" t="s">
        <v>2727</v>
      </c>
      <c r="C29" s="648"/>
      <c r="D29" s="426">
        <v>100</v>
      </c>
      <c r="E29" s="648"/>
      <c r="F29" s="452">
        <f>SUMIF(84:84,E29,85:85)-SUMIF(84:84,C29,85:85)+100</f>
        <v>100</v>
      </c>
      <c r="G29" s="648"/>
      <c r="H29" s="426">
        <f>SUMIF(84:84,G29,85:85)-SUMIF(84:84,C29,85:85)+100</f>
        <v>100</v>
      </c>
      <c r="I29" s="648"/>
      <c r="J29" s="426">
        <f>SUMIF(84:84,I29,85:85)-SUMIF(84:84,C29,85:85)+100</f>
        <v>100</v>
      </c>
      <c r="K29" s="603"/>
      <c r="L29" s="1128"/>
      <c r="M29" s="1119"/>
      <c r="N29" s="1119"/>
      <c r="O29" s="1127"/>
      <c r="P29" s="3303"/>
      <c r="Q29" s="1797" t="str">
        <f t="shared" si="11"/>
        <v>有无电梯</v>
      </c>
      <c r="R29" s="765" t="s">
        <v>17</v>
      </c>
      <c r="S29" s="766">
        <f t="shared" si="12"/>
        <v>100</v>
      </c>
      <c r="T29" s="765" t="s">
        <v>17</v>
      </c>
      <c r="U29" s="766">
        <f t="shared" si="13"/>
        <v>100</v>
      </c>
      <c r="V29" s="765" t="s">
        <v>17</v>
      </c>
      <c r="W29" s="766">
        <f t="shared" si="14"/>
        <v>100</v>
      </c>
      <c r="X29" s="1800"/>
      <c r="Y29" s="3303"/>
      <c r="Z29" s="1801" t="str">
        <f t="shared" si="15"/>
        <v>有无电梯</v>
      </c>
      <c r="AA29" s="1798">
        <f t="shared" si="3"/>
        <v>1</v>
      </c>
      <c r="AB29" s="1798">
        <f t="shared" si="4"/>
        <v>1</v>
      </c>
      <c r="AC29" s="1798">
        <f t="shared" si="5"/>
        <v>1</v>
      </c>
    </row>
    <row r="30" spans="1:29" ht="15">
      <c r="A30" s="463"/>
      <c r="B30" s="413" t="s">
        <v>2728</v>
      </c>
      <c r="C30" s="460"/>
      <c r="D30" s="426">
        <v>100</v>
      </c>
      <c r="E30" s="460"/>
      <c r="F30" s="452" t="e">
        <f>LOOKUP(E30,87:87,88:88)-LOOKUP(C30,87:87,88:88)+100</f>
        <v>#N/A</v>
      </c>
      <c r="G30" s="460"/>
      <c r="H30" s="426" t="e">
        <f>LOOKUP(G30,87:87,88:88)-LOOKUP(C30,87:87,88:88)+100</f>
        <v>#N/A</v>
      </c>
      <c r="I30" s="460"/>
      <c r="J30" s="426" t="e">
        <f>LOOKUP(I30,87:87,88:88)-LOOKUP(C30,87:87,88:88)+100</f>
        <v>#N/A</v>
      </c>
      <c r="K30" s="604"/>
      <c r="L30" s="1128"/>
      <c r="M30" s="1119"/>
      <c r="N30" s="1119"/>
      <c r="O30" s="1127"/>
      <c r="P30" s="3303"/>
      <c r="Q30" s="1797" t="str">
        <f t="shared" si="11"/>
        <v>建筑面积</v>
      </c>
      <c r="R30" s="765" t="s">
        <v>17</v>
      </c>
      <c r="S30" s="766" t="e">
        <f t="shared" si="12"/>
        <v>#N/A</v>
      </c>
      <c r="T30" s="765" t="s">
        <v>17</v>
      </c>
      <c r="U30" s="766" t="e">
        <f t="shared" si="13"/>
        <v>#N/A</v>
      </c>
      <c r="V30" s="765" t="s">
        <v>17</v>
      </c>
      <c r="W30" s="766" t="e">
        <f t="shared" si="14"/>
        <v>#N/A</v>
      </c>
      <c r="X30" s="1800"/>
      <c r="Y30" s="3303"/>
      <c r="Z30" s="1801" t="str">
        <f t="shared" si="15"/>
        <v>建筑面积</v>
      </c>
      <c r="AA30" s="1798" t="e">
        <f t="shared" si="3"/>
        <v>#N/A</v>
      </c>
      <c r="AB30" s="1798" t="e">
        <f t="shared" si="4"/>
        <v>#N/A</v>
      </c>
      <c r="AC30" s="1798" t="e">
        <f t="shared" si="5"/>
        <v>#N/A</v>
      </c>
    </row>
    <row r="31" spans="1:29" s="110" customFormat="1" ht="15">
      <c r="A31" s="464"/>
      <c r="B31" s="413" t="s">
        <v>2729</v>
      </c>
      <c r="C31" s="648"/>
      <c r="D31" s="127">
        <v>100</v>
      </c>
      <c r="E31" s="648"/>
      <c r="F31" s="452">
        <f>SUMIF(89:89,E31,90:90)-SUMIF(89:89,C31,90:90)+100</f>
        <v>100</v>
      </c>
      <c r="G31" s="648"/>
      <c r="H31" s="426">
        <f>SUMIF(89:89,G31,90:90)-SUMIF(89:89,C31,90:90)+100</f>
        <v>100</v>
      </c>
      <c r="I31" s="648"/>
      <c r="J31" s="426">
        <f>SUMIF(89:89,I31,90:90)-SUMIF(89:89,C31,90:90)+100</f>
        <v>100</v>
      </c>
      <c r="K31" s="603"/>
      <c r="L31" s="1120"/>
      <c r="M31" s="1121"/>
      <c r="N31" s="1121"/>
      <c r="O31" s="1122"/>
      <c r="P31" s="3303"/>
      <c r="Q31" s="1782" t="str">
        <f t="shared" si="11"/>
        <v>是否封闭</v>
      </c>
      <c r="R31" s="761" t="s">
        <v>17</v>
      </c>
      <c r="S31" s="762">
        <f t="shared" si="12"/>
        <v>100</v>
      </c>
      <c r="T31" s="761" t="s">
        <v>17</v>
      </c>
      <c r="U31" s="762">
        <f t="shared" si="13"/>
        <v>100</v>
      </c>
      <c r="V31" s="761" t="s">
        <v>17</v>
      </c>
      <c r="W31" s="762">
        <f t="shared" si="14"/>
        <v>100</v>
      </c>
      <c r="X31" s="763"/>
      <c r="Y31" s="3303"/>
      <c r="Z31" s="54" t="str">
        <f t="shared" si="15"/>
        <v>是否封闭</v>
      </c>
      <c r="AA31" s="764">
        <f t="shared" si="3"/>
        <v>1</v>
      </c>
      <c r="AB31" s="764">
        <f t="shared" si="4"/>
        <v>1</v>
      </c>
      <c r="AC31" s="764">
        <f t="shared" si="5"/>
        <v>1</v>
      </c>
    </row>
    <row r="32" spans="1:29" ht="15">
      <c r="A32" s="463"/>
      <c r="B32" s="2590">
        <v>111</v>
      </c>
      <c r="C32" s="423"/>
      <c r="D32" s="426">
        <v>100</v>
      </c>
      <c r="E32" s="460"/>
      <c r="F32" s="452">
        <f>SUMIF(91:91,E32,92:92)-SUMIF(91:91,C32,92:92)+100</f>
        <v>100</v>
      </c>
      <c r="G32" s="460"/>
      <c r="H32" s="426">
        <f>SUMIF(91:91,G32,92:92)-SUMIF(91:91,C32,92:92)+100</f>
        <v>100</v>
      </c>
      <c r="I32" s="460"/>
      <c r="J32" s="426">
        <f>SUMIF(91:91,I32,92:92)-SUMIF(91:91,C32,92:92)+100</f>
        <v>100</v>
      </c>
      <c r="K32" s="604"/>
      <c r="L32" s="1128"/>
      <c r="M32" s="1119"/>
      <c r="N32" s="1119"/>
      <c r="O32" s="1127"/>
      <c r="P32" s="3303" t="s">
        <v>2555</v>
      </c>
      <c r="Q32" s="1797">
        <f t="shared" si="11"/>
        <v>111</v>
      </c>
      <c r="R32" s="765" t="s">
        <v>17</v>
      </c>
      <c r="S32" s="766">
        <f t="shared" si="12"/>
        <v>100</v>
      </c>
      <c r="T32" s="765" t="s">
        <v>17</v>
      </c>
      <c r="U32" s="766">
        <f t="shared" si="13"/>
        <v>100</v>
      </c>
      <c r="V32" s="765" t="s">
        <v>17</v>
      </c>
      <c r="W32" s="766">
        <f t="shared" si="14"/>
        <v>100</v>
      </c>
      <c r="X32" s="1800"/>
      <c r="Y32" s="3303" t="s">
        <v>2555</v>
      </c>
      <c r="Z32" s="1801">
        <f t="shared" si="15"/>
        <v>111</v>
      </c>
      <c r="AA32" s="1798">
        <f t="shared" si="3"/>
        <v>1</v>
      </c>
      <c r="AB32" s="1798">
        <f t="shared" si="4"/>
        <v>1</v>
      </c>
      <c r="AC32" s="1798">
        <f t="shared" si="5"/>
        <v>1</v>
      </c>
    </row>
    <row r="33" spans="1:29" ht="15">
      <c r="A33" s="463"/>
      <c r="B33" s="2590">
        <v>111</v>
      </c>
      <c r="C33" s="423"/>
      <c r="D33" s="426">
        <v>100</v>
      </c>
      <c r="E33" s="460"/>
      <c r="F33" s="452">
        <f>SUMIF(93:93,E33,94:94)-SUMIF(93:93,C33,94:94)+100</f>
        <v>100</v>
      </c>
      <c r="G33" s="460"/>
      <c r="H33" s="426">
        <f>SUMIF(93:93,G33,94:94)-SUMIF(93:93,C33,94:94)+100</f>
        <v>100</v>
      </c>
      <c r="I33" s="460"/>
      <c r="J33" s="426">
        <f>SUMIF(93:93,I33,94:94)-SUMIF(93:93,C33,94:94)+100</f>
        <v>100</v>
      </c>
      <c r="K33" s="604"/>
      <c r="L33" s="1128"/>
      <c r="M33" s="1119"/>
      <c r="N33" s="1119"/>
      <c r="O33" s="1127"/>
      <c r="P33" s="3303"/>
      <c r="Q33" s="1797">
        <f t="shared" si="11"/>
        <v>111</v>
      </c>
      <c r="R33" s="765" t="s">
        <v>17</v>
      </c>
      <c r="S33" s="766">
        <f t="shared" si="12"/>
        <v>100</v>
      </c>
      <c r="T33" s="765" t="s">
        <v>17</v>
      </c>
      <c r="U33" s="766">
        <f t="shared" si="13"/>
        <v>100</v>
      </c>
      <c r="V33" s="765" t="s">
        <v>17</v>
      </c>
      <c r="W33" s="766">
        <f t="shared" si="14"/>
        <v>100</v>
      </c>
      <c r="X33" s="1800"/>
      <c r="Y33" s="3303"/>
      <c r="Z33" s="1801">
        <f t="shared" si="15"/>
        <v>111</v>
      </c>
      <c r="AA33" s="1798">
        <f t="shared" si="3"/>
        <v>1</v>
      </c>
      <c r="AB33" s="1798">
        <f t="shared" si="4"/>
        <v>1</v>
      </c>
      <c r="AC33" s="1798">
        <f t="shared" si="5"/>
        <v>1</v>
      </c>
    </row>
    <row r="34" spans="1:29" ht="15.75" thickBot="1">
      <c r="A34" s="469"/>
      <c r="B34" s="2592">
        <v>111</v>
      </c>
      <c r="C34" s="428"/>
      <c r="D34" s="429">
        <v>100</v>
      </c>
      <c r="E34" s="2685"/>
      <c r="F34" s="430">
        <f>SUMIF(95:95,E34,96:96)-SUMIF(95:95,C34,96:96)+100</f>
        <v>100</v>
      </c>
      <c r="G34" s="2685"/>
      <c r="H34" s="429">
        <f>SUMIF(95:95,G34,96:96)-SUMIF(95:95,C34,96:96)+100</f>
        <v>100</v>
      </c>
      <c r="I34" s="2685"/>
      <c r="J34" s="429">
        <f>SUMIF(95:95,I34,96:96)-SUMIF(95:95,C34,96:96)+100</f>
        <v>100</v>
      </c>
      <c r="K34" s="604"/>
      <c r="L34" s="1128"/>
      <c r="M34" s="1119"/>
      <c r="N34" s="1119"/>
      <c r="O34" s="1127"/>
      <c r="P34" s="3303"/>
      <c r="Q34" s="1797">
        <f t="shared" si="11"/>
        <v>111</v>
      </c>
      <c r="R34" s="765" t="s">
        <v>17</v>
      </c>
      <c r="S34" s="766">
        <f t="shared" si="12"/>
        <v>100</v>
      </c>
      <c r="T34" s="765" t="s">
        <v>17</v>
      </c>
      <c r="U34" s="766">
        <f t="shared" si="13"/>
        <v>100</v>
      </c>
      <c r="V34" s="765" t="s">
        <v>17</v>
      </c>
      <c r="W34" s="766">
        <f t="shared" si="14"/>
        <v>100</v>
      </c>
      <c r="X34" s="1800"/>
      <c r="Y34" s="3303"/>
      <c r="Z34" s="1801">
        <f t="shared" si="15"/>
        <v>111</v>
      </c>
      <c r="AA34" s="1798">
        <f t="shared" si="3"/>
        <v>1</v>
      </c>
      <c r="AB34" s="1798">
        <f t="shared" si="4"/>
        <v>1</v>
      </c>
      <c r="AC34" s="1798">
        <f t="shared" si="5"/>
        <v>1</v>
      </c>
    </row>
    <row r="35" spans="1:29" ht="15">
      <c r="A35" s="470" t="s">
        <v>2567</v>
      </c>
      <c r="B35" s="471"/>
      <c r="C35" s="1395" t="s">
        <v>1</v>
      </c>
      <c r="D35" s="1396"/>
      <c r="E35" s="1397"/>
      <c r="F35" s="1398"/>
      <c r="G35" s="1399"/>
      <c r="H35" s="1400"/>
      <c r="I35" s="1397"/>
      <c r="J35" s="1400"/>
      <c r="K35" s="774"/>
      <c r="L35" s="1131"/>
      <c r="M35" s="1132"/>
      <c r="N35" s="1119"/>
      <c r="O35" s="1132"/>
      <c r="P35" s="3285" t="str">
        <f>A35</f>
        <v>成交单价（元/平方米）</v>
      </c>
      <c r="Q35" s="3285"/>
      <c r="R35" s="3313">
        <f>E35</f>
        <v>0</v>
      </c>
      <c r="S35" s="3313"/>
      <c r="T35" s="3313">
        <f>G35</f>
        <v>0</v>
      </c>
      <c r="U35" s="3313"/>
      <c r="V35" s="3313">
        <f>I35</f>
        <v>0</v>
      </c>
      <c r="W35" s="3313"/>
      <c r="X35" s="750"/>
      <c r="Y35" s="772"/>
      <c r="Z35" s="750"/>
      <c r="AA35" s="750"/>
      <c r="AB35" s="750"/>
      <c r="AC35" s="750"/>
    </row>
    <row r="36" spans="1:29" ht="15.75" thickBot="1">
      <c r="A36" s="477" t="s">
        <v>2659</v>
      </c>
      <c r="B36" s="478"/>
      <c r="C36" s="1401" t="e">
        <f>R37</f>
        <v>#DIV/0!</v>
      </c>
      <c r="D36" s="1402"/>
      <c r="E36" s="1403" t="e">
        <f>R36</f>
        <v>#DIV/0!</v>
      </c>
      <c r="F36" s="1403"/>
      <c r="G36" s="1401" t="e">
        <f>T36</f>
        <v>#DIV/0!</v>
      </c>
      <c r="H36" s="1402"/>
      <c r="I36" s="1403" t="e">
        <f>V36</f>
        <v>#DIV/0!</v>
      </c>
      <c r="J36" s="1402"/>
      <c r="K36" s="775"/>
      <c r="L36" s="1131"/>
      <c r="M36" s="1132"/>
      <c r="N36" s="1119"/>
      <c r="O36" s="1132"/>
      <c r="P36" s="3285" t="str">
        <f>A36</f>
        <v>比较价值（元/平方米）</v>
      </c>
      <c r="Q36" s="3285"/>
      <c r="R36" s="3313" t="e">
        <f>IF(F1="售价",ROUND(PRODUCT(R35,AA7:AA34),0),ROUND(PRODUCT(R35,AA7:AA34),1))</f>
        <v>#DIV/0!</v>
      </c>
      <c r="S36" s="3313"/>
      <c r="T36" s="3313" t="e">
        <f>IF(F1="售价",ROUND(PRODUCT(T35,AB7:AB34),0),ROUND(PRODUCT(T35,AB7:AB34),1))</f>
        <v>#DIV/0!</v>
      </c>
      <c r="U36" s="3313"/>
      <c r="V36" s="3313" t="e">
        <f>IF(F1="售价",ROUND(PRODUCT(V35,AC7:AC34),0),ROUND(PRODUCT(V35,AC7:AC34),1))</f>
        <v>#DIV/0!</v>
      </c>
      <c r="W36" s="3313"/>
      <c r="X36" s="750"/>
      <c r="Y36" s="750"/>
      <c r="Z36" s="750"/>
      <c r="AA36" s="750"/>
      <c r="AB36" s="750"/>
      <c r="AC36" s="750"/>
    </row>
    <row r="37" spans="1:29" ht="15.75" thickBot="1">
      <c r="A37" s="483" t="s">
        <v>2660</v>
      </c>
      <c r="B37" s="484"/>
      <c r="C37" s="1405" t="e">
        <f>R37</f>
        <v>#DIV/0!</v>
      </c>
      <c r="D37" s="1405"/>
      <c r="E37" s="1405"/>
      <c r="F37" s="1405"/>
      <c r="G37" s="1405"/>
      <c r="H37" s="1405"/>
      <c r="I37" s="1405"/>
      <c r="J37" s="1405"/>
      <c r="K37" s="776"/>
      <c r="L37" s="1131"/>
      <c r="M37" s="1132"/>
      <c r="N37" s="1132"/>
      <c r="O37" s="1132"/>
      <c r="P37" s="3305" t="str">
        <f>A37</f>
        <v>估价对象XX用房的比较价值（楼面单价，元/平方米）</v>
      </c>
      <c r="Q37" s="3306"/>
      <c r="R37" s="3312" t="e">
        <f>IF(F1="售价",ROUND(AVERAGE(R36:V36),0),ROUND(AVERAGE(R36:V36),1))</f>
        <v>#DIV/0!</v>
      </c>
      <c r="S37" s="3312"/>
      <c r="T37" s="3312"/>
      <c r="U37" s="3312"/>
      <c r="V37" s="3312"/>
      <c r="W37" s="3312"/>
      <c r="X37" s="750"/>
      <c r="Y37" s="750"/>
      <c r="Z37" s="750"/>
      <c r="AA37" s="750"/>
      <c r="AB37" s="750"/>
      <c r="AC37" s="750"/>
    </row>
    <row r="38" spans="1:29">
      <c r="A38" s="1132"/>
      <c r="B38" s="1132"/>
      <c r="C38" s="1132"/>
      <c r="D38" s="1132"/>
      <c r="E38" s="1132"/>
      <c r="F38" s="1132"/>
      <c r="G38" s="1135"/>
      <c r="H38" s="1132"/>
      <c r="I38" s="1132"/>
      <c r="J38" s="1132"/>
      <c r="K38" s="1093"/>
      <c r="L38" s="1094"/>
      <c r="M38" s="1132"/>
      <c r="N38" s="1132"/>
      <c r="O38" s="1132"/>
    </row>
    <row r="39" spans="1:29">
      <c r="A39" s="1132"/>
      <c r="B39" s="1132"/>
      <c r="C39" s="1132"/>
      <c r="D39" s="1132"/>
      <c r="E39" s="1132"/>
      <c r="F39" s="1132"/>
      <c r="G39" s="1132"/>
      <c r="H39" s="1132"/>
      <c r="I39" s="1132"/>
      <c r="J39" s="1132"/>
      <c r="K39" s="1093"/>
      <c r="L39" s="1094"/>
      <c r="M39" s="1132"/>
      <c r="N39" s="1132"/>
      <c r="O39" s="1132"/>
    </row>
    <row r="40" spans="1:29" ht="13.5" customHeight="1">
      <c r="A40" s="1132"/>
      <c r="B40" s="1132"/>
      <c r="C40" s="488" t="s">
        <v>2661</v>
      </c>
      <c r="D40" s="489"/>
      <c r="E40" s="490" t="e">
        <f>IF(E35&lt;E36,E36/E35-1,E35/E36-1)</f>
        <v>#DIV/0!</v>
      </c>
      <c r="F40" s="491" t="e">
        <f>IF(OR(E40&gt;=0.3,E40&lt;=-0.3),"超过30%","")</f>
        <v>#DIV/0!</v>
      </c>
      <c r="G40" s="490" t="e">
        <f>IF(G35&lt;G36,G36/G35-1,G35/G36-1)</f>
        <v>#DIV/0!</v>
      </c>
      <c r="H40" s="491" t="e">
        <f>IF(OR(G40&gt;=0.3,G40&lt;=-0.3),"超过30%","")</f>
        <v>#DIV/0!</v>
      </c>
      <c r="I40" s="490" t="e">
        <f>IF(I35&lt;I36,I36/I35-1,I35/I36-1)</f>
        <v>#DIV/0!</v>
      </c>
      <c r="J40" s="491" t="e">
        <f>IF(OR(I40&gt;=0.3,I40&lt;=-0.3),"超过30%","")</f>
        <v>#DIV/0!</v>
      </c>
      <c r="K40" s="1093"/>
      <c r="L40" s="1094"/>
      <c r="M40" s="1132"/>
      <c r="N40" s="1132"/>
      <c r="O40" s="1132"/>
    </row>
    <row r="41" spans="1:29" ht="13.5" customHeight="1">
      <c r="A41" s="1132"/>
      <c r="B41" s="1132"/>
      <c r="C41" s="488" t="s">
        <v>2662</v>
      </c>
      <c r="D41" s="492"/>
      <c r="E41" s="490" t="e">
        <f>IF(E36&lt;G36,G36/E36-1,E36/G36-1)</f>
        <v>#DIV/0!</v>
      </c>
      <c r="F41" s="491" t="e">
        <f>IF(OR(E41&gt;=0.2,E41&lt;=-0.2),"超过20%","")</f>
        <v>#DIV/0!</v>
      </c>
      <c r="G41" s="490" t="e">
        <f>IF(G36&lt;I36,I36/G36-1,G36/I36-1)</f>
        <v>#DIV/0!</v>
      </c>
      <c r="H41" s="491" t="e">
        <f>IF(OR(G41&gt;=0.2,G41&lt;=-0.2),"超过20%","")</f>
        <v>#DIV/0!</v>
      </c>
      <c r="I41" s="490" t="e">
        <f>IF(I36&lt;E36,E36/I36-1,I36/E36-1)</f>
        <v>#DIV/0!</v>
      </c>
      <c r="J41" s="491" t="e">
        <f>IF(OR(I41&gt;=0.2,I41&lt;=-0.2),"超过20%","")</f>
        <v>#DIV/0!</v>
      </c>
      <c r="K41" s="1093"/>
      <c r="L41" s="1094"/>
      <c r="M41" s="1132"/>
      <c r="N41" s="1132"/>
      <c r="O41" s="1132"/>
    </row>
    <row r="42" spans="1:29" s="493" customFormat="1" ht="13.5" customHeight="1">
      <c r="A42" s="1133"/>
      <c r="B42" s="1133"/>
      <c r="C42" s="488" t="s">
        <v>2663</v>
      </c>
      <c r="D42" s="492"/>
      <c r="E42" s="490" t="e">
        <f>IF(E35&lt;G35,G35/E35-1,E35/G35-1)</f>
        <v>#DIV/0!</v>
      </c>
      <c r="F42" s="491" t="e">
        <f>IF(OR(E42&gt;=0.3,E42&lt;=-0.3),"超过30%","")</f>
        <v>#DIV/0!</v>
      </c>
      <c r="G42" s="490" t="e">
        <f>IF(G35&lt;I35,I35/G35-1,G35/I35-1)</f>
        <v>#DIV/0!</v>
      </c>
      <c r="H42" s="491" t="e">
        <f>IF(OR(G42&gt;=0.3,G42&lt;=-0.3),"超过30%","")</f>
        <v>#DIV/0!</v>
      </c>
      <c r="I42" s="490" t="e">
        <f>IF(I35&lt;E35,E35/I35-1,I35/E35-1)</f>
        <v>#DIV/0!</v>
      </c>
      <c r="J42" s="491" t="e">
        <f>IF(OR(I42&gt;=0.3,I42&lt;=-0.3),"超过30%","")</f>
        <v>#DIV/0!</v>
      </c>
      <c r="K42" s="1136"/>
      <c r="L42" s="1137"/>
      <c r="M42" s="1133"/>
      <c r="N42" s="1133"/>
      <c r="O42" s="1133"/>
    </row>
    <row r="43" spans="1:29" s="493" customFormat="1">
      <c r="A43" s="1133"/>
      <c r="B43" s="1134"/>
      <c r="C43" s="1138"/>
      <c r="D43" s="1133"/>
      <c r="E43" s="1133"/>
      <c r="F43" s="1133"/>
      <c r="G43" s="1133"/>
      <c r="H43" s="1133"/>
      <c r="I43" s="1133"/>
      <c r="J43" s="1133"/>
      <c r="K43" s="1136"/>
      <c r="L43" s="1137"/>
      <c r="M43" s="1133"/>
      <c r="N43" s="1133"/>
      <c r="O43" s="1133"/>
    </row>
    <row r="44" spans="1:29">
      <c r="A44" s="1132"/>
      <c r="B44" s="1134"/>
      <c r="C44" s="1138"/>
      <c r="D44" s="1132"/>
      <c r="E44" s="1132"/>
      <c r="F44" s="1132"/>
      <c r="G44" s="1132"/>
      <c r="H44" s="1132"/>
      <c r="I44" s="1132"/>
      <c r="J44" s="1132"/>
      <c r="K44" s="1093"/>
      <c r="L44" s="1094"/>
      <c r="M44" s="1132"/>
      <c r="N44" s="1132"/>
      <c r="O44" s="1132"/>
    </row>
    <row r="45" spans="1:29" ht="21.75" thickBot="1">
      <c r="A45" s="754" t="s">
        <v>2664</v>
      </c>
      <c r="B45" s="750"/>
      <c r="C45" s="755"/>
      <c r="D45" s="755"/>
      <c r="E45" s="755"/>
      <c r="F45" s="756"/>
      <c r="G45" s="756"/>
      <c r="H45" s="755"/>
      <c r="I45" s="755"/>
      <c r="J45" s="755"/>
      <c r="K45" s="757"/>
      <c r="L45" s="758"/>
      <c r="M45" s="755"/>
      <c r="N45" s="755"/>
      <c r="O45" s="755"/>
      <c r="P45" s="494"/>
      <c r="Q45" s="495"/>
    </row>
    <row r="46" spans="1:29" s="499" customFormat="1" ht="15">
      <c r="A46" s="496" t="s">
        <v>2538</v>
      </c>
      <c r="B46" s="497"/>
      <c r="C46" s="1561" t="str">
        <f>YEAR(C7)&amp;"-"&amp;MONTH(C7)</f>
        <v>2019-2</v>
      </c>
      <c r="D46" s="1562">
        <f>EDATE(C46,-1)</f>
        <v>43466</v>
      </c>
      <c r="E46" s="1562">
        <f t="shared" ref="E46:O46" si="16">EDATE(D46,-1)</f>
        <v>43435</v>
      </c>
      <c r="F46" s="1562">
        <f t="shared" si="16"/>
        <v>43405</v>
      </c>
      <c r="G46" s="1562">
        <f t="shared" si="16"/>
        <v>43374</v>
      </c>
      <c r="H46" s="1562">
        <f t="shared" si="16"/>
        <v>43344</v>
      </c>
      <c r="I46" s="1562">
        <f t="shared" si="16"/>
        <v>43313</v>
      </c>
      <c r="J46" s="1562">
        <f t="shared" si="16"/>
        <v>43282</v>
      </c>
      <c r="K46" s="1562">
        <f t="shared" si="16"/>
        <v>43252</v>
      </c>
      <c r="L46" s="1562">
        <f t="shared" si="16"/>
        <v>43221</v>
      </c>
      <c r="M46" s="1562">
        <f t="shared" si="16"/>
        <v>43191</v>
      </c>
      <c r="N46" s="1562">
        <f t="shared" si="16"/>
        <v>43160</v>
      </c>
      <c r="O46" s="1562">
        <f t="shared" si="16"/>
        <v>43132</v>
      </c>
      <c r="P46" s="498"/>
    </row>
    <row r="47" spans="1:29" s="110" customFormat="1" ht="15">
      <c r="A47" s="500"/>
      <c r="B47" s="501"/>
      <c r="C47" s="1560">
        <v>100</v>
      </c>
      <c r="D47" s="503"/>
      <c r="E47" s="503"/>
      <c r="F47" s="503"/>
      <c r="G47" s="503"/>
      <c r="H47" s="503"/>
      <c r="I47" s="503"/>
      <c r="J47" s="503"/>
      <c r="K47" s="503"/>
      <c r="L47" s="503"/>
      <c r="M47" s="504"/>
      <c r="N47" s="503"/>
      <c r="O47" s="505"/>
      <c r="P47" s="495"/>
    </row>
    <row r="48" spans="1:29" s="110" customFormat="1" ht="15.75" thickBot="1">
      <c r="A48" s="506" t="s">
        <v>2575</v>
      </c>
      <c r="B48" s="507"/>
      <c r="C48" s="508"/>
      <c r="D48" s="509"/>
      <c r="E48" s="509"/>
      <c r="F48" s="509"/>
      <c r="G48" s="509"/>
      <c r="H48" s="509"/>
      <c r="I48" s="509"/>
      <c r="J48" s="509"/>
      <c r="K48" s="509"/>
      <c r="L48" s="509"/>
      <c r="M48" s="510"/>
      <c r="N48" s="509"/>
      <c r="O48" s="511"/>
      <c r="P48" s="495"/>
      <c r="Q48" s="495"/>
    </row>
    <row r="49" spans="1:17" s="110" customFormat="1" ht="15">
      <c r="A49" s="512" t="s">
        <v>2540</v>
      </c>
      <c r="B49" s="501"/>
      <c r="C49" s="513" t="s">
        <v>2642</v>
      </c>
      <c r="D49" s="514"/>
      <c r="E49" s="514"/>
      <c r="F49" s="514"/>
      <c r="G49" s="514"/>
      <c r="H49" s="514"/>
      <c r="I49" s="514"/>
      <c r="J49" s="514"/>
      <c r="K49" s="514"/>
      <c r="L49" s="515"/>
      <c r="M49" s="516"/>
      <c r="N49" s="1139"/>
      <c r="O49" s="1139"/>
      <c r="P49" s="517"/>
      <c r="Q49" s="495"/>
    </row>
    <row r="50" spans="1:17" s="110" customFormat="1" ht="15.75" thickBot="1">
      <c r="A50" s="512"/>
      <c r="B50" s="501"/>
      <c r="C50" s="630">
        <v>100</v>
      </c>
      <c r="D50" s="503"/>
      <c r="E50" s="503"/>
      <c r="F50" s="503"/>
      <c r="G50" s="503"/>
      <c r="H50" s="503"/>
      <c r="I50" s="503"/>
      <c r="J50" s="503"/>
      <c r="K50" s="503"/>
      <c r="L50" s="503"/>
      <c r="M50" s="505"/>
      <c r="N50" s="1139"/>
      <c r="O50" s="1139"/>
      <c r="P50" s="495"/>
      <c r="Q50" s="495"/>
    </row>
    <row r="51" spans="1:17">
      <c r="A51" s="518" t="s">
        <v>2578</v>
      </c>
      <c r="B51" s="519" t="s">
        <v>2544</v>
      </c>
      <c r="C51" s="520">
        <f>C9</f>
        <v>0</v>
      </c>
      <c r="D51" s="521"/>
      <c r="E51" s="521"/>
      <c r="F51" s="521"/>
      <c r="G51" s="521"/>
      <c r="H51" s="521"/>
      <c r="I51" s="521"/>
      <c r="J51" s="521"/>
      <c r="K51" s="522"/>
      <c r="L51" s="523"/>
      <c r="M51" s="524"/>
      <c r="N51" s="1140"/>
      <c r="O51" s="1140"/>
      <c r="P51" s="45"/>
      <c r="Q51" s="495"/>
    </row>
    <row r="52" spans="1:17" ht="15.75" thickBot="1">
      <c r="A52" s="525"/>
      <c r="B52" s="526"/>
      <c r="C52" s="527">
        <v>100</v>
      </c>
      <c r="D52" s="527"/>
      <c r="E52" s="527"/>
      <c r="F52" s="527"/>
      <c r="G52" s="527"/>
      <c r="H52" s="527"/>
      <c r="I52" s="527"/>
      <c r="J52" s="527"/>
      <c r="K52" s="527"/>
      <c r="L52" s="527"/>
      <c r="M52" s="528"/>
      <c r="N52" s="1141"/>
      <c r="O52" s="1141"/>
      <c r="P52" s="45"/>
      <c r="Q52" s="495"/>
    </row>
    <row r="53" spans="1:17" ht="27.75" thickTop="1">
      <c r="A53" s="525"/>
      <c r="B53" s="529" t="s">
        <v>2547</v>
      </c>
      <c r="C53" s="530" t="s">
        <v>2579</v>
      </c>
      <c r="D53" s="530" t="s">
        <v>2580</v>
      </c>
      <c r="E53" s="530" t="s">
        <v>2581</v>
      </c>
      <c r="F53" s="530" t="s">
        <v>2582</v>
      </c>
      <c r="G53" s="530" t="s">
        <v>2583</v>
      </c>
      <c r="H53" s="530" t="s">
        <v>2584</v>
      </c>
      <c r="I53" s="530" t="s">
        <v>2585</v>
      </c>
      <c r="J53" s="530"/>
      <c r="K53" s="531"/>
      <c r="L53" s="532"/>
      <c r="M53" s="533"/>
      <c r="N53" s="1140"/>
      <c r="O53" s="1140"/>
      <c r="P53" s="45"/>
      <c r="Q53" s="495"/>
    </row>
    <row r="54" spans="1:17" ht="15.75" thickBot="1">
      <c r="A54" s="525"/>
      <c r="B54" s="534"/>
      <c r="C54" s="535" t="s">
        <v>24</v>
      </c>
      <c r="D54" s="535" t="s">
        <v>25</v>
      </c>
      <c r="E54" s="535">
        <v>100</v>
      </c>
      <c r="F54" s="535">
        <f>E54-$K10</f>
        <v>100</v>
      </c>
      <c r="G54" s="535">
        <f>F54-$K10</f>
        <v>100</v>
      </c>
      <c r="H54" s="535">
        <f>G54-$K10</f>
        <v>100</v>
      </c>
      <c r="I54" s="535">
        <f>H54-$K10</f>
        <v>100</v>
      </c>
      <c r="J54" s="535"/>
      <c r="K54" s="535"/>
      <c r="L54" s="535"/>
      <c r="M54" s="536"/>
      <c r="N54" s="1141"/>
      <c r="O54" s="1141"/>
      <c r="P54" s="45"/>
      <c r="Q54" s="495"/>
    </row>
    <row r="55" spans="1:17" ht="15.75" thickTop="1">
      <c r="A55" s="525"/>
      <c r="B55" s="651">
        <f>B11</f>
        <v>111</v>
      </c>
      <c r="C55" s="540"/>
      <c r="D55" s="540"/>
      <c r="E55" s="540"/>
      <c r="F55" s="540"/>
      <c r="G55" s="540"/>
      <c r="H55" s="540"/>
      <c r="I55" s="540"/>
      <c r="J55" s="540"/>
      <c r="K55" s="541"/>
      <c r="L55" s="542"/>
      <c r="M55" s="543"/>
      <c r="N55" s="1140"/>
      <c r="O55" s="1140"/>
      <c r="P55" s="45"/>
      <c r="Q55" s="495"/>
    </row>
    <row r="56" spans="1:17" ht="15.75" thickBot="1">
      <c r="A56" s="525"/>
      <c r="B56" s="526"/>
      <c r="C56" s="551"/>
      <c r="D56" s="527"/>
      <c r="E56" s="527"/>
      <c r="F56" s="527"/>
      <c r="G56" s="527"/>
      <c r="H56" s="527"/>
      <c r="I56" s="527"/>
      <c r="J56" s="527"/>
      <c r="K56" s="527"/>
      <c r="L56" s="527"/>
      <c r="M56" s="528"/>
      <c r="N56" s="1141"/>
      <c r="O56" s="1141"/>
      <c r="P56" s="45"/>
      <c r="Q56" s="495"/>
    </row>
    <row r="57" spans="1:17" s="462" customFormat="1" ht="15.75" thickTop="1">
      <c r="A57" s="544"/>
      <c r="B57" s="529">
        <f>B12</f>
        <v>111</v>
      </c>
      <c r="C57" s="540"/>
      <c r="D57" s="540"/>
      <c r="E57" s="540"/>
      <c r="F57" s="540"/>
      <c r="G57" s="545"/>
      <c r="H57" s="546"/>
      <c r="I57" s="546"/>
      <c r="J57" s="546"/>
      <c r="K57" s="546"/>
      <c r="L57" s="547"/>
      <c r="M57" s="548"/>
      <c r="N57" s="1142"/>
      <c r="O57" s="1142"/>
      <c r="P57" s="549"/>
      <c r="Q57" s="550"/>
    </row>
    <row r="58" spans="1:17" s="462" customFormat="1" ht="15.75" thickBot="1">
      <c r="A58" s="544"/>
      <c r="B58" s="534"/>
      <c r="C58" s="551"/>
      <c r="D58" s="527"/>
      <c r="E58" s="527"/>
      <c r="F58" s="527"/>
      <c r="G58" s="527"/>
      <c r="H58" s="527"/>
      <c r="I58" s="527"/>
      <c r="J58" s="527"/>
      <c r="K58" s="527"/>
      <c r="L58" s="527"/>
      <c r="M58" s="528"/>
      <c r="N58" s="1141"/>
      <c r="O58" s="1141"/>
      <c r="P58" s="549"/>
      <c r="Q58" s="550"/>
    </row>
    <row r="59" spans="1:17" s="462" customFormat="1" ht="15.75" thickTop="1">
      <c r="A59" s="544"/>
      <c r="B59" s="529">
        <f>B13</f>
        <v>111</v>
      </c>
      <c r="C59" s="540"/>
      <c r="D59" s="540"/>
      <c r="E59" s="540"/>
      <c r="F59" s="540"/>
      <c r="G59" s="545"/>
      <c r="H59" s="546"/>
      <c r="I59" s="546"/>
      <c r="J59" s="546"/>
      <c r="K59" s="546"/>
      <c r="L59" s="547"/>
      <c r="M59" s="548"/>
      <c r="N59" s="1142"/>
      <c r="O59" s="1142"/>
      <c r="P59" s="461"/>
      <c r="Q59" s="552"/>
    </row>
    <row r="60" spans="1:17" s="462" customFormat="1" ht="15.75" thickBot="1">
      <c r="A60" s="544"/>
      <c r="B60" s="534"/>
      <c r="C60" s="551"/>
      <c r="D60" s="551"/>
      <c r="E60" s="551"/>
      <c r="F60" s="551"/>
      <c r="G60" s="551"/>
      <c r="H60" s="553"/>
      <c r="I60" s="553"/>
      <c r="J60" s="553"/>
      <c r="K60" s="553"/>
      <c r="L60" s="553"/>
      <c r="M60" s="554"/>
      <c r="N60" s="1142"/>
      <c r="O60" s="1142"/>
      <c r="P60" s="549"/>
      <c r="Q60" s="550"/>
    </row>
    <row r="61" spans="1:17" ht="15" thickTop="1">
      <c r="A61" s="518" t="s">
        <v>2549</v>
      </c>
      <c r="B61" s="519" t="s">
        <v>2592</v>
      </c>
      <c r="C61" s="564" t="s">
        <v>2587</v>
      </c>
      <c r="D61" s="564" t="s">
        <v>2588</v>
      </c>
      <c r="E61" s="564" t="s">
        <v>2589</v>
      </c>
      <c r="F61" s="564" t="s">
        <v>2590</v>
      </c>
      <c r="G61" s="564" t="s">
        <v>2591</v>
      </c>
      <c r="H61" s="520"/>
      <c r="I61" s="520"/>
      <c r="J61" s="520"/>
      <c r="K61" s="565"/>
      <c r="L61" s="566"/>
      <c r="M61" s="567"/>
      <c r="N61" s="1140"/>
      <c r="O61" s="1140"/>
      <c r="P61" s="568"/>
      <c r="Q61" s="495"/>
    </row>
    <row r="62" spans="1:17" ht="15.75" thickBot="1">
      <c r="A62" s="525"/>
      <c r="B62" s="534"/>
      <c r="C62" s="535">
        <v>100</v>
      </c>
      <c r="D62" s="535">
        <f>C62-$K14</f>
        <v>100</v>
      </c>
      <c r="E62" s="535">
        <f>D62-$K14</f>
        <v>100</v>
      </c>
      <c r="F62" s="535">
        <f>E62-$K14</f>
        <v>100</v>
      </c>
      <c r="G62" s="535">
        <f>F62-$K14</f>
        <v>100</v>
      </c>
      <c r="H62" s="535"/>
      <c r="I62" s="535"/>
      <c r="J62" s="535"/>
      <c r="K62" s="535"/>
      <c r="L62" s="535"/>
      <c r="M62" s="536"/>
      <c r="N62" s="1141"/>
      <c r="O62" s="1141"/>
      <c r="P62" s="45"/>
      <c r="Q62" s="495"/>
    </row>
    <row r="63" spans="1:17" ht="27.75" thickTop="1">
      <c r="A63" s="525"/>
      <c r="B63" s="529" t="s">
        <v>2730</v>
      </c>
      <c r="C63" s="569" t="s">
        <v>2587</v>
      </c>
      <c r="D63" s="569" t="s">
        <v>2588</v>
      </c>
      <c r="E63" s="569" t="s">
        <v>2589</v>
      </c>
      <c r="F63" s="569" t="s">
        <v>2590</v>
      </c>
      <c r="G63" s="569" t="s">
        <v>2591</v>
      </c>
      <c r="H63" s="530"/>
      <c r="I63" s="530"/>
      <c r="J63" s="530"/>
      <c r="K63" s="531"/>
      <c r="L63" s="532"/>
      <c r="M63" s="533"/>
      <c r="N63" s="1140"/>
      <c r="O63" s="1140"/>
      <c r="P63" s="45"/>
      <c r="Q63" s="495"/>
    </row>
    <row r="64" spans="1:17" ht="15.75" thickBot="1">
      <c r="A64" s="525"/>
      <c r="B64" s="534"/>
      <c r="C64" s="535">
        <v>100</v>
      </c>
      <c r="D64" s="535">
        <f>C64-$K16</f>
        <v>100</v>
      </c>
      <c r="E64" s="535">
        <f>D64-$K16</f>
        <v>100</v>
      </c>
      <c r="F64" s="535">
        <f>E64-$K16</f>
        <v>100</v>
      </c>
      <c r="G64" s="535">
        <f>F64-$K16</f>
        <v>100</v>
      </c>
      <c r="H64" s="535"/>
      <c r="I64" s="535"/>
      <c r="J64" s="535"/>
      <c r="K64" s="535"/>
      <c r="L64" s="535"/>
      <c r="M64" s="536"/>
      <c r="N64" s="1141"/>
      <c r="O64" s="1141"/>
      <c r="P64" s="45"/>
      <c r="Q64" s="495"/>
    </row>
    <row r="65" spans="1:17" ht="15.75" thickTop="1">
      <c r="A65" s="525"/>
      <c r="B65" s="537" t="s">
        <v>2679</v>
      </c>
      <c r="C65" s="651" t="s">
        <v>2665</v>
      </c>
      <c r="D65" s="651" t="s">
        <v>2666</v>
      </c>
      <c r="E65" s="651" t="s">
        <v>2667</v>
      </c>
      <c r="F65" s="651" t="s">
        <v>2668</v>
      </c>
      <c r="G65" s="651" t="s">
        <v>2669</v>
      </c>
      <c r="H65" s="530"/>
      <c r="I65" s="530"/>
      <c r="J65" s="530"/>
      <c r="K65" s="530"/>
      <c r="L65" s="530"/>
      <c r="M65" s="1370"/>
      <c r="N65" s="1141"/>
      <c r="O65" s="1141"/>
      <c r="P65" s="45"/>
      <c r="Q65" s="495"/>
    </row>
    <row r="66" spans="1:17" ht="15.75" thickBot="1">
      <c r="A66" s="525"/>
      <c r="B66" s="537"/>
      <c r="C66" s="535">
        <v>100</v>
      </c>
      <c r="D66" s="535">
        <f>C66-$K18</f>
        <v>100</v>
      </c>
      <c r="E66" s="535">
        <f>D66-$K18</f>
        <v>100</v>
      </c>
      <c r="F66" s="535">
        <f>E66-$K18</f>
        <v>100</v>
      </c>
      <c r="G66" s="535">
        <f>F66-$K18</f>
        <v>100</v>
      </c>
      <c r="H66" s="651"/>
      <c r="I66" s="651"/>
      <c r="J66" s="651"/>
      <c r="K66" s="651"/>
      <c r="L66" s="651"/>
      <c r="M66" s="441"/>
      <c r="N66" s="1141"/>
      <c r="O66" s="1141"/>
      <c r="P66" s="45"/>
      <c r="Q66" s="495"/>
    </row>
    <row r="67" spans="1:17" ht="15.75" thickTop="1">
      <c r="A67" s="525"/>
      <c r="B67" s="529" t="s">
        <v>2599</v>
      </c>
      <c r="C67" s="569" t="s">
        <v>2587</v>
      </c>
      <c r="D67" s="569" t="s">
        <v>2588</v>
      </c>
      <c r="E67" s="569" t="s">
        <v>2589</v>
      </c>
      <c r="F67" s="569" t="s">
        <v>2590</v>
      </c>
      <c r="G67" s="569" t="s">
        <v>2591</v>
      </c>
      <c r="H67" s="530"/>
      <c r="I67" s="530"/>
      <c r="J67" s="530"/>
      <c r="K67" s="531"/>
      <c r="L67" s="532"/>
      <c r="M67" s="533"/>
      <c r="N67" s="1140"/>
      <c r="O67" s="1140"/>
      <c r="P67" s="45"/>
      <c r="Q67" s="495"/>
    </row>
    <row r="68" spans="1:17" ht="15.75" thickBot="1">
      <c r="A68" s="525"/>
      <c r="B68" s="534"/>
      <c r="C68" s="535">
        <v>100</v>
      </c>
      <c r="D68" s="535">
        <f>C68-$K20</f>
        <v>100</v>
      </c>
      <c r="E68" s="535">
        <f>D68-$K20</f>
        <v>100</v>
      </c>
      <c r="F68" s="535">
        <f>E68-$K20</f>
        <v>100</v>
      </c>
      <c r="G68" s="535">
        <f>F68-$K20</f>
        <v>100</v>
      </c>
      <c r="H68" s="535"/>
      <c r="I68" s="535"/>
      <c r="J68" s="535"/>
      <c r="K68" s="535"/>
      <c r="L68" s="535"/>
      <c r="M68" s="536"/>
      <c r="N68" s="1141"/>
      <c r="O68" s="1141"/>
      <c r="P68" s="45"/>
      <c r="Q68" s="495"/>
    </row>
    <row r="69" spans="1:17" ht="15.75" thickTop="1">
      <c r="A69" s="525"/>
      <c r="B69" s="529" t="s">
        <v>2719</v>
      </c>
      <c r="C69" s="545"/>
      <c r="D69" s="545"/>
      <c r="E69" s="545"/>
      <c r="F69" s="545"/>
      <c r="G69" s="545"/>
      <c r="H69" s="574"/>
      <c r="I69" s="574"/>
      <c r="J69" s="574"/>
      <c r="K69" s="575"/>
      <c r="L69" s="576"/>
      <c r="M69" s="577"/>
      <c r="N69" s="1140"/>
      <c r="O69" s="1140"/>
      <c r="P69" s="45"/>
      <c r="Q69" s="495"/>
    </row>
    <row r="70" spans="1:17" ht="15.75" thickBot="1">
      <c r="A70" s="525"/>
      <c r="B70" s="534"/>
      <c r="C70" s="535">
        <v>100</v>
      </c>
      <c r="D70" s="535">
        <f>C70-$K22</f>
        <v>100</v>
      </c>
      <c r="E70" s="535"/>
      <c r="F70" s="535"/>
      <c r="G70" s="535"/>
      <c r="H70" s="535"/>
      <c r="I70" s="535"/>
      <c r="J70" s="535"/>
      <c r="K70" s="535"/>
      <c r="L70" s="535"/>
      <c r="M70" s="536"/>
      <c r="N70" s="1141"/>
      <c r="O70" s="1141"/>
      <c r="P70" s="45"/>
      <c r="Q70" s="495"/>
    </row>
    <row r="71" spans="1:17" s="110" customFormat="1" ht="15.75" thickTop="1">
      <c r="A71" s="570"/>
      <c r="B71" s="529">
        <f>B23</f>
        <v>111</v>
      </c>
      <c r="C71" s="540"/>
      <c r="D71" s="540"/>
      <c r="E71" s="540"/>
      <c r="F71" s="540"/>
      <c r="G71" s="545"/>
      <c r="H71" s="545"/>
      <c r="I71" s="545"/>
      <c r="J71" s="545"/>
      <c r="K71" s="545"/>
      <c r="L71" s="571"/>
      <c r="M71" s="572"/>
      <c r="N71" s="1139"/>
      <c r="O71" s="1139"/>
      <c r="P71" s="45"/>
      <c r="Q71" s="495"/>
    </row>
    <row r="72" spans="1:17" s="110" customFormat="1" ht="15.75" thickBot="1">
      <c r="A72" s="570"/>
      <c r="B72" s="534"/>
      <c r="C72" s="551"/>
      <c r="D72" s="527"/>
      <c r="E72" s="527"/>
      <c r="F72" s="527"/>
      <c r="G72" s="527"/>
      <c r="H72" s="527"/>
      <c r="I72" s="527"/>
      <c r="J72" s="527"/>
      <c r="K72" s="527"/>
      <c r="L72" s="527"/>
      <c r="M72" s="528"/>
      <c r="N72" s="1141"/>
      <c r="O72" s="1141"/>
      <c r="P72" s="45"/>
      <c r="Q72" s="495"/>
    </row>
    <row r="73" spans="1:17" s="110" customFormat="1" ht="15.75" thickTop="1">
      <c r="A73" s="570"/>
      <c r="B73" s="529">
        <f>B24</f>
        <v>111</v>
      </c>
      <c r="C73" s="540"/>
      <c r="D73" s="540"/>
      <c r="E73" s="540"/>
      <c r="F73" s="540"/>
      <c r="G73" s="545"/>
      <c r="H73" s="545"/>
      <c r="I73" s="545"/>
      <c r="J73" s="545"/>
      <c r="K73" s="545"/>
      <c r="L73" s="545"/>
      <c r="M73" s="572"/>
      <c r="N73" s="1139"/>
      <c r="O73" s="1139"/>
      <c r="P73" s="45"/>
      <c r="Q73" s="495"/>
    </row>
    <row r="74" spans="1:17" s="110" customFormat="1" ht="15.75" thickBot="1">
      <c r="A74" s="570"/>
      <c r="B74" s="534"/>
      <c r="C74" s="551"/>
      <c r="D74" s="527"/>
      <c r="E74" s="527"/>
      <c r="F74" s="527"/>
      <c r="G74" s="527"/>
      <c r="H74" s="527"/>
      <c r="I74" s="527"/>
      <c r="J74" s="527"/>
      <c r="K74" s="527"/>
      <c r="L74" s="527"/>
      <c r="M74" s="528"/>
      <c r="N74" s="1141"/>
      <c r="O74" s="1141"/>
      <c r="P74" s="45"/>
      <c r="Q74" s="495"/>
    </row>
    <row r="75" spans="1:17" s="462" customFormat="1" ht="15.75" thickTop="1">
      <c r="A75" s="544"/>
      <c r="B75" s="529">
        <f>B25</f>
        <v>111</v>
      </c>
      <c r="C75" s="540"/>
      <c r="D75" s="540"/>
      <c r="E75" s="540"/>
      <c r="F75" s="540"/>
      <c r="G75" s="545"/>
      <c r="H75" s="546"/>
      <c r="I75" s="546"/>
      <c r="J75" s="546"/>
      <c r="K75" s="546"/>
      <c r="L75" s="547"/>
      <c r="M75" s="548"/>
      <c r="N75" s="1142"/>
      <c r="O75" s="1142"/>
      <c r="P75" s="549"/>
      <c r="Q75" s="550"/>
    </row>
    <row r="76" spans="1:17" s="462" customFormat="1" ht="15.75" thickBot="1">
      <c r="A76" s="544"/>
      <c r="B76" s="534"/>
      <c r="C76" s="551"/>
      <c r="D76" s="551"/>
      <c r="E76" s="551"/>
      <c r="F76" s="551"/>
      <c r="G76" s="527"/>
      <c r="H76" s="527"/>
      <c r="I76" s="527"/>
      <c r="J76" s="527"/>
      <c r="K76" s="527"/>
      <c r="L76" s="527"/>
      <c r="M76" s="528"/>
      <c r="N76" s="1142"/>
      <c r="O76" s="1142"/>
      <c r="P76" s="549"/>
      <c r="Q76" s="550"/>
    </row>
    <row r="77" spans="1:17" ht="15" thickTop="1">
      <c r="A77" s="518" t="s">
        <v>2553</v>
      </c>
      <c r="B77" s="519" t="s">
        <v>2606</v>
      </c>
      <c r="C77" s="545"/>
      <c r="D77" s="545"/>
      <c r="E77" s="521"/>
      <c r="F77" s="521"/>
      <c r="G77" s="521"/>
      <c r="H77" s="521"/>
      <c r="I77" s="521"/>
      <c r="J77" s="521"/>
      <c r="K77" s="522"/>
      <c r="L77" s="523"/>
      <c r="M77" s="524"/>
      <c r="N77" s="1140"/>
      <c r="O77" s="1140"/>
      <c r="P77" s="45"/>
      <c r="Q77" s="495"/>
    </row>
    <row r="78" spans="1:17" ht="15.75" thickBot="1">
      <c r="A78" s="525"/>
      <c r="B78" s="534"/>
      <c r="C78" s="535">
        <v>100</v>
      </c>
      <c r="D78" s="535">
        <f t="shared" ref="D78:M78" si="17">C78-$K26</f>
        <v>100</v>
      </c>
      <c r="E78" s="535">
        <f t="shared" si="17"/>
        <v>100</v>
      </c>
      <c r="F78" s="535">
        <f t="shared" si="17"/>
        <v>100</v>
      </c>
      <c r="G78" s="535">
        <f t="shared" si="17"/>
        <v>100</v>
      </c>
      <c r="H78" s="535">
        <f t="shared" si="17"/>
        <v>100</v>
      </c>
      <c r="I78" s="535">
        <f t="shared" si="17"/>
        <v>100</v>
      </c>
      <c r="J78" s="535">
        <f t="shared" si="17"/>
        <v>100</v>
      </c>
      <c r="K78" s="535">
        <f t="shared" si="17"/>
        <v>100</v>
      </c>
      <c r="L78" s="535">
        <f t="shared" si="17"/>
        <v>100</v>
      </c>
      <c r="M78" s="536">
        <f t="shared" si="17"/>
        <v>100</v>
      </c>
      <c r="N78" s="1141"/>
      <c r="O78" s="1141"/>
      <c r="P78" s="45"/>
      <c r="Q78" s="495"/>
    </row>
    <row r="79" spans="1:17" ht="15.75" thickTop="1">
      <c r="A79" s="525"/>
      <c r="B79" s="529" t="s">
        <v>2722</v>
      </c>
      <c r="C79" s="569" t="str">
        <f>C80&amp;"(含)"&amp;"-"&amp;D80</f>
        <v>0.5(含)-0.6</v>
      </c>
      <c r="D79" s="569" t="str">
        <f>D80&amp;"(含)"&amp;"-"&amp;E80</f>
        <v>0.6(含)-0.7</v>
      </c>
      <c r="E79" s="569" t="str">
        <f>E80&amp;"(含)"&amp;"-"&amp;F80</f>
        <v>0.7(含)-0.8</v>
      </c>
      <c r="F79" s="569" t="str">
        <f>F80&amp;"(含)"&amp;"-"&amp;G80</f>
        <v>0.8(含)-0.9</v>
      </c>
      <c r="G79" s="569" t="str">
        <f>G80&amp;"(含)"&amp;"-"&amp;ROUND(H80,0)&amp;"(含)"</f>
        <v>0.9(含)-1(含)</v>
      </c>
      <c r="H79" s="569"/>
      <c r="I79" s="530"/>
      <c r="J79" s="530"/>
      <c r="K79" s="531"/>
      <c r="L79" s="532"/>
      <c r="M79" s="533"/>
      <c r="N79" s="1139"/>
      <c r="O79" s="1139"/>
      <c r="P79" s="45"/>
      <c r="Q79" s="495"/>
    </row>
    <row r="80" spans="1:17" ht="15">
      <c r="A80" s="525"/>
      <c r="B80" s="537"/>
      <c r="C80" s="594">
        <v>0.5</v>
      </c>
      <c r="D80" s="594">
        <v>0.6</v>
      </c>
      <c r="E80" s="594">
        <v>0.7</v>
      </c>
      <c r="F80" s="594">
        <v>0.8</v>
      </c>
      <c r="G80" s="594">
        <v>0.9</v>
      </c>
      <c r="H80" s="594">
        <v>1.0001</v>
      </c>
      <c r="I80" s="651"/>
      <c r="J80" s="651"/>
      <c r="K80" s="659"/>
      <c r="L80" s="660"/>
      <c r="M80" s="661"/>
      <c r="N80" s="1139"/>
      <c r="O80" s="1139"/>
      <c r="P80" s="45"/>
      <c r="Q80" s="495"/>
    </row>
    <row r="81" spans="1:17" s="462" customFormat="1" ht="15.75" thickBot="1">
      <c r="A81" s="544"/>
      <c r="B81" s="534"/>
      <c r="C81" s="573">
        <v>100</v>
      </c>
      <c r="D81" s="535">
        <f t="shared" ref="D81:M81" si="18">C81+$K27</f>
        <v>100</v>
      </c>
      <c r="E81" s="535">
        <f t="shared" si="18"/>
        <v>100</v>
      </c>
      <c r="F81" s="535">
        <f t="shared" si="18"/>
        <v>100</v>
      </c>
      <c r="G81" s="535">
        <f t="shared" si="18"/>
        <v>100</v>
      </c>
      <c r="H81" s="535">
        <f t="shared" si="18"/>
        <v>100</v>
      </c>
      <c r="I81" s="535">
        <f t="shared" si="18"/>
        <v>100</v>
      </c>
      <c r="J81" s="535">
        <f t="shared" si="18"/>
        <v>100</v>
      </c>
      <c r="K81" s="535">
        <f t="shared" si="18"/>
        <v>100</v>
      </c>
      <c r="L81" s="535">
        <f t="shared" si="18"/>
        <v>100</v>
      </c>
      <c r="M81" s="535">
        <f t="shared" si="18"/>
        <v>100</v>
      </c>
      <c r="N81" s="1141"/>
      <c r="O81" s="1141"/>
      <c r="P81" s="549"/>
      <c r="Q81" s="550"/>
    </row>
    <row r="82" spans="1:17" ht="15" thickTop="1">
      <c r="A82" s="590"/>
      <c r="B82" s="537" t="s">
        <v>2723</v>
      </c>
      <c r="C82" s="545"/>
      <c r="D82" s="545"/>
      <c r="E82" s="574"/>
      <c r="F82" s="574"/>
      <c r="G82" s="574"/>
      <c r="H82" s="574"/>
      <c r="I82" s="574"/>
      <c r="J82" s="574"/>
      <c r="K82" s="575"/>
      <c r="L82" s="576"/>
      <c r="M82" s="577"/>
      <c r="N82" s="1140"/>
      <c r="O82" s="1140"/>
      <c r="P82" s="45"/>
      <c r="Q82" s="495"/>
    </row>
    <row r="83" spans="1:17" ht="15.75" thickBot="1">
      <c r="A83" s="525"/>
      <c r="B83" s="534"/>
      <c r="C83" s="535">
        <v>100</v>
      </c>
      <c r="D83" s="535">
        <f t="shared" ref="D83:M83" si="19">C83-$K28</f>
        <v>100</v>
      </c>
      <c r="E83" s="535">
        <f t="shared" si="19"/>
        <v>100</v>
      </c>
      <c r="F83" s="535">
        <f t="shared" si="19"/>
        <v>100</v>
      </c>
      <c r="G83" s="535">
        <f t="shared" si="19"/>
        <v>100</v>
      </c>
      <c r="H83" s="535">
        <f t="shared" si="19"/>
        <v>100</v>
      </c>
      <c r="I83" s="535">
        <f t="shared" si="19"/>
        <v>100</v>
      </c>
      <c r="J83" s="535">
        <f t="shared" si="19"/>
        <v>100</v>
      </c>
      <c r="K83" s="535">
        <f t="shared" si="19"/>
        <v>100</v>
      </c>
      <c r="L83" s="535">
        <f t="shared" si="19"/>
        <v>100</v>
      </c>
      <c r="M83" s="536">
        <f t="shared" si="19"/>
        <v>100</v>
      </c>
      <c r="N83" s="1141"/>
      <c r="O83" s="1141"/>
      <c r="P83" s="45"/>
      <c r="Q83" s="495"/>
    </row>
    <row r="84" spans="1:17" ht="15" thickTop="1">
      <c r="A84" s="590"/>
      <c r="B84" s="529" t="s">
        <v>2731</v>
      </c>
      <c r="C84" s="545"/>
      <c r="D84" s="545"/>
      <c r="E84" s="545"/>
      <c r="F84" s="545"/>
      <c r="G84" s="545"/>
      <c r="H84" s="545"/>
      <c r="I84" s="574"/>
      <c r="J84" s="574"/>
      <c r="K84" s="575"/>
      <c r="L84" s="576"/>
      <c r="M84" s="577"/>
      <c r="N84" s="1140"/>
      <c r="O84" s="1140"/>
      <c r="P84" s="45"/>
      <c r="Q84" s="495"/>
    </row>
    <row r="85" spans="1:17" ht="15.75" thickBot="1">
      <c r="A85" s="525"/>
      <c r="B85" s="534"/>
      <c r="C85" s="573">
        <v>100</v>
      </c>
      <c r="D85" s="535">
        <f t="shared" ref="D85:M85" si="20">C85+$K29</f>
        <v>100</v>
      </c>
      <c r="E85" s="535">
        <f t="shared" si="20"/>
        <v>100</v>
      </c>
      <c r="F85" s="535">
        <f t="shared" si="20"/>
        <v>100</v>
      </c>
      <c r="G85" s="535">
        <f t="shared" si="20"/>
        <v>100</v>
      </c>
      <c r="H85" s="535">
        <f t="shared" si="20"/>
        <v>100</v>
      </c>
      <c r="I85" s="535">
        <f t="shared" si="20"/>
        <v>100</v>
      </c>
      <c r="J85" s="535">
        <f t="shared" si="20"/>
        <v>100</v>
      </c>
      <c r="K85" s="535">
        <f t="shared" si="20"/>
        <v>100</v>
      </c>
      <c r="L85" s="535">
        <f t="shared" si="20"/>
        <v>100</v>
      </c>
      <c r="M85" s="535">
        <f t="shared" si="20"/>
        <v>100</v>
      </c>
      <c r="N85" s="1141"/>
      <c r="O85" s="1141"/>
      <c r="P85" s="45"/>
      <c r="Q85" s="495"/>
    </row>
    <row r="86" spans="1:17" ht="15" thickTop="1">
      <c r="A86" s="590"/>
      <c r="B86" s="537" t="s">
        <v>2732</v>
      </c>
      <c r="C86" s="569" t="str">
        <f t="shared" ref="C86:L86" si="21">C87&amp;"(含)"&amp;"-"&amp;D87</f>
        <v>(含)-</v>
      </c>
      <c r="D86" s="569" t="str">
        <f t="shared" si="21"/>
        <v>(含)-</v>
      </c>
      <c r="E86" s="569" t="str">
        <f t="shared" si="21"/>
        <v>(含)-</v>
      </c>
      <c r="F86" s="569" t="str">
        <f t="shared" si="21"/>
        <v>(含)-</v>
      </c>
      <c r="G86" s="569" t="str">
        <f t="shared" si="21"/>
        <v>(含)-</v>
      </c>
      <c r="H86" s="569" t="str">
        <f t="shared" si="21"/>
        <v>(含)-</v>
      </c>
      <c r="I86" s="569" t="str">
        <f t="shared" si="21"/>
        <v>(含)-</v>
      </c>
      <c r="J86" s="569" t="str">
        <f t="shared" si="21"/>
        <v>(含)-</v>
      </c>
      <c r="K86" s="569" t="str">
        <f t="shared" si="21"/>
        <v>(含)-</v>
      </c>
      <c r="L86" s="569" t="str">
        <f t="shared" si="21"/>
        <v>(含)-</v>
      </c>
      <c r="M86" s="613" t="str">
        <f>M87&amp;"(含)"&amp;"-"&amp;P87</f>
        <v>(含)-</v>
      </c>
      <c r="N86" s="1140"/>
      <c r="O86" s="1140"/>
      <c r="P86" s="45"/>
      <c r="Q86" s="495"/>
    </row>
    <row r="87" spans="1:17">
      <c r="A87" s="590"/>
      <c r="B87" s="537"/>
      <c r="C87" s="586"/>
      <c r="D87" s="586"/>
      <c r="E87" s="586"/>
      <c r="F87" s="586"/>
      <c r="G87" s="586"/>
      <c r="H87" s="586"/>
      <c r="I87" s="586"/>
      <c r="J87" s="587"/>
      <c r="K87" s="587"/>
      <c r="L87" s="588"/>
      <c r="M87" s="589"/>
      <c r="N87" s="1140"/>
      <c r="O87" s="1140"/>
      <c r="P87" s="45"/>
      <c r="Q87" s="495"/>
    </row>
    <row r="88" spans="1:17" ht="15.75" thickBot="1">
      <c r="A88" s="525"/>
      <c r="B88" s="534"/>
      <c r="C88" s="551"/>
      <c r="D88" s="527"/>
      <c r="E88" s="527"/>
      <c r="F88" s="527"/>
      <c r="G88" s="527"/>
      <c r="H88" s="527"/>
      <c r="I88" s="527"/>
      <c r="J88" s="527"/>
      <c r="K88" s="527"/>
      <c r="L88" s="527"/>
      <c r="M88" s="527"/>
      <c r="N88" s="1141"/>
      <c r="O88" s="1141"/>
      <c r="P88" s="45"/>
      <c r="Q88" s="495"/>
    </row>
    <row r="89" spans="1:17" s="462" customFormat="1" ht="15" thickTop="1">
      <c r="A89" s="584"/>
      <c r="B89" s="529" t="s">
        <v>2733</v>
      </c>
      <c r="C89" s="545"/>
      <c r="D89" s="545"/>
      <c r="E89" s="545"/>
      <c r="F89" s="545"/>
      <c r="G89" s="545"/>
      <c r="H89" s="545"/>
      <c r="I89" s="545"/>
      <c r="J89" s="545"/>
      <c r="K89" s="545"/>
      <c r="L89" s="545"/>
      <c r="M89" s="572"/>
      <c r="N89" s="1142"/>
      <c r="O89" s="1142"/>
      <c r="P89" s="549"/>
      <c r="Q89" s="550"/>
    </row>
    <row r="90" spans="1:17" s="462" customFormat="1" ht="15.75" thickBot="1">
      <c r="A90" s="544"/>
      <c r="B90" s="534"/>
      <c r="C90" s="551"/>
      <c r="D90" s="527"/>
      <c r="E90" s="527"/>
      <c r="F90" s="527"/>
      <c r="G90" s="527"/>
      <c r="H90" s="527"/>
      <c r="I90" s="527"/>
      <c r="J90" s="527"/>
      <c r="K90" s="527"/>
      <c r="L90" s="527"/>
      <c r="M90" s="528"/>
      <c r="N90" s="1142"/>
      <c r="O90" s="1142"/>
      <c r="P90" s="549"/>
      <c r="Q90" s="550"/>
    </row>
    <row r="91" spans="1:17" ht="15" thickTop="1">
      <c r="A91" s="590"/>
      <c r="B91" s="529">
        <f>B32</f>
        <v>111</v>
      </c>
      <c r="C91" s="540"/>
      <c r="D91" s="540"/>
      <c r="E91" s="540"/>
      <c r="F91" s="540"/>
      <c r="G91" s="545"/>
      <c r="H91" s="546"/>
      <c r="I91" s="546"/>
      <c r="J91" s="546"/>
      <c r="K91" s="546"/>
      <c r="L91" s="547"/>
      <c r="M91" s="548"/>
      <c r="N91" s="1140"/>
      <c r="O91" s="1140"/>
      <c r="P91" s="45"/>
      <c r="Q91" s="495"/>
    </row>
    <row r="92" spans="1:17" ht="15.75" thickBot="1">
      <c r="A92" s="525"/>
      <c r="B92" s="534"/>
      <c r="C92" s="551"/>
      <c r="D92" s="527"/>
      <c r="E92" s="527"/>
      <c r="F92" s="527"/>
      <c r="G92" s="551"/>
      <c r="H92" s="553"/>
      <c r="I92" s="553"/>
      <c r="J92" s="553"/>
      <c r="K92" s="553"/>
      <c r="L92" s="553"/>
      <c r="M92" s="554"/>
      <c r="N92" s="1141"/>
      <c r="O92" s="1141"/>
      <c r="P92" s="45"/>
      <c r="Q92" s="495"/>
    </row>
    <row r="93" spans="1:17" ht="15" thickTop="1">
      <c r="A93" s="590"/>
      <c r="B93" s="529">
        <f>B33</f>
        <v>111</v>
      </c>
      <c r="C93" s="540"/>
      <c r="D93" s="540"/>
      <c r="E93" s="540"/>
      <c r="F93" s="540"/>
      <c r="G93" s="545"/>
      <c r="H93" s="546"/>
      <c r="I93" s="546"/>
      <c r="J93" s="546"/>
      <c r="K93" s="546"/>
      <c r="L93" s="547"/>
      <c r="M93" s="548"/>
      <c r="N93" s="1140"/>
      <c r="O93" s="1140"/>
      <c r="P93" s="45"/>
      <c r="Q93" s="495"/>
    </row>
    <row r="94" spans="1:17" ht="15.75" thickBot="1">
      <c r="A94" s="525"/>
      <c r="B94" s="534"/>
      <c r="C94" s="551"/>
      <c r="D94" s="527"/>
      <c r="E94" s="527"/>
      <c r="F94" s="527"/>
      <c r="G94" s="551"/>
      <c r="H94" s="553"/>
      <c r="I94" s="553"/>
      <c r="J94" s="553"/>
      <c r="K94" s="553"/>
      <c r="L94" s="553"/>
      <c r="M94" s="554"/>
      <c r="N94" s="1141"/>
      <c r="O94" s="1141"/>
      <c r="P94" s="45"/>
      <c r="Q94" s="495"/>
    </row>
    <row r="95" spans="1:17" ht="15" thickTop="1">
      <c r="A95" s="590"/>
      <c r="B95" s="627">
        <f>B34</f>
        <v>111</v>
      </c>
      <c r="C95" s="540"/>
      <c r="D95" s="540"/>
      <c r="E95" s="540"/>
      <c r="F95" s="540"/>
      <c r="G95" s="545"/>
      <c r="H95" s="546"/>
      <c r="I95" s="546"/>
      <c r="J95" s="546"/>
      <c r="K95" s="546"/>
      <c r="L95" s="547"/>
      <c r="M95" s="548"/>
      <c r="N95" s="1141"/>
      <c r="O95" s="1141"/>
      <c r="P95" s="628"/>
      <c r="Q95" s="629"/>
    </row>
    <row r="96" spans="1:17" ht="15.75" thickBot="1">
      <c r="A96" s="525"/>
      <c r="B96" s="534"/>
      <c r="C96" s="551"/>
      <c r="D96" s="551"/>
      <c r="E96" s="551"/>
      <c r="F96" s="551"/>
      <c r="G96" s="551"/>
      <c r="H96" s="553"/>
      <c r="I96" s="553"/>
      <c r="J96" s="553"/>
      <c r="K96" s="553"/>
      <c r="L96" s="553"/>
      <c r="M96" s="554"/>
      <c r="N96" s="1141"/>
      <c r="O96" s="1141"/>
      <c r="P96" s="45"/>
      <c r="Q96" s="495"/>
    </row>
    <row r="97" spans="1:20" ht="15" thickTop="1"/>
    <row r="98" spans="1:20">
      <c r="A98" s="1143"/>
      <c r="B98" s="1143"/>
      <c r="C98" s="1143"/>
      <c r="D98" s="1143"/>
      <c r="E98" s="1143"/>
      <c r="F98" s="1143"/>
      <c r="G98" s="1143"/>
      <c r="H98" s="1143"/>
      <c r="I98" s="1143"/>
      <c r="J98" s="1143"/>
      <c r="K98" s="1144"/>
      <c r="L98" s="1145"/>
      <c r="M98" s="1143"/>
      <c r="N98" s="1143"/>
      <c r="O98" s="1143"/>
      <c r="P98" s="1143"/>
      <c r="Q98" s="1143"/>
      <c r="R98" s="1143"/>
      <c r="S98" s="1143"/>
      <c r="T98" s="1143"/>
    </row>
    <row r="99" spans="1:20">
      <c r="A99" s="1143"/>
      <c r="B99" s="1143"/>
      <c r="C99" s="1143"/>
      <c r="D99" s="1143"/>
      <c r="E99" s="1143"/>
      <c r="F99" s="1143"/>
      <c r="G99" s="1143"/>
      <c r="H99" s="1143"/>
      <c r="I99" s="1143"/>
      <c r="J99" s="1143"/>
      <c r="K99" s="1144"/>
      <c r="L99" s="1145"/>
      <c r="M99" s="1143"/>
      <c r="N99" s="1143"/>
      <c r="O99" s="1143"/>
      <c r="P99" s="1143"/>
      <c r="Q99" s="1143"/>
      <c r="R99" s="1143"/>
      <c r="S99" s="1143"/>
      <c r="T99" s="1143"/>
    </row>
    <row r="100" spans="1:20">
      <c r="A100" s="1143"/>
      <c r="B100" s="1143"/>
      <c r="C100" s="1143"/>
      <c r="D100" s="1143"/>
      <c r="E100" s="1143"/>
      <c r="F100" s="1143"/>
      <c r="G100" s="1143"/>
      <c r="H100" s="1143"/>
      <c r="I100" s="1143"/>
      <c r="J100" s="1143"/>
      <c r="K100" s="1144"/>
      <c r="L100" s="1145"/>
      <c r="M100" s="1143"/>
      <c r="N100" s="1143"/>
      <c r="O100" s="1143"/>
      <c r="P100" s="1143"/>
      <c r="Q100" s="1143"/>
      <c r="R100" s="1143"/>
      <c r="S100" s="1143"/>
      <c r="T100" s="1143"/>
    </row>
    <row r="101" spans="1:20">
      <c r="A101" s="1143"/>
      <c r="B101" s="1143"/>
      <c r="C101" s="1143"/>
      <c r="D101" s="1143"/>
      <c r="E101" s="1143"/>
      <c r="F101" s="1143"/>
      <c r="G101" s="1143"/>
      <c r="H101" s="1143"/>
      <c r="I101" s="1143"/>
      <c r="J101" s="1143"/>
      <c r="K101" s="1144"/>
      <c r="L101" s="1145"/>
      <c r="M101" s="1143"/>
      <c r="N101" s="1143"/>
      <c r="O101" s="1143"/>
      <c r="P101" s="1143"/>
      <c r="Q101" s="1143"/>
      <c r="R101" s="1143"/>
      <c r="S101" s="1143"/>
      <c r="T101" s="1143"/>
    </row>
    <row r="102" spans="1:20">
      <c r="A102" s="1143"/>
      <c r="B102" s="1143"/>
      <c r="C102" s="1143"/>
      <c r="D102" s="1143"/>
      <c r="E102" s="1143"/>
      <c r="F102" s="1143"/>
      <c r="G102" s="1143"/>
      <c r="H102" s="1143"/>
      <c r="I102" s="1143"/>
      <c r="J102" s="1143"/>
      <c r="K102" s="1144"/>
      <c r="L102" s="1145"/>
      <c r="M102" s="1143"/>
      <c r="N102" s="1143"/>
      <c r="O102" s="1143"/>
      <c r="P102" s="1143"/>
      <c r="Q102" s="1143"/>
      <c r="R102" s="1143"/>
      <c r="S102" s="1143"/>
      <c r="T102" s="1143"/>
    </row>
    <row r="103" spans="1:20">
      <c r="A103" s="1143"/>
      <c r="B103" s="1143"/>
      <c r="C103" s="1143"/>
      <c r="D103" s="1143"/>
      <c r="E103" s="1143"/>
      <c r="F103" s="1143"/>
      <c r="G103" s="1143"/>
      <c r="H103" s="1143"/>
      <c r="I103" s="1143"/>
      <c r="J103" s="1143"/>
      <c r="K103" s="1144"/>
      <c r="L103" s="1145"/>
      <c r="M103" s="1143"/>
      <c r="N103" s="1143"/>
      <c r="O103" s="1143"/>
      <c r="P103" s="1143"/>
      <c r="Q103" s="1143"/>
      <c r="R103" s="1143"/>
      <c r="S103" s="1143"/>
      <c r="T103" s="1143"/>
    </row>
    <row r="104" spans="1:20">
      <c r="A104" s="1143"/>
      <c r="B104" s="1143"/>
      <c r="C104" s="1143"/>
      <c r="D104" s="1143"/>
      <c r="E104" s="1143"/>
      <c r="F104" s="1143"/>
      <c r="G104" s="1143"/>
      <c r="H104" s="1143"/>
      <c r="I104" s="1143"/>
      <c r="J104" s="1143"/>
      <c r="K104" s="1144"/>
      <c r="L104" s="1145"/>
      <c r="M104" s="1143"/>
      <c r="N104" s="1143"/>
      <c r="O104" s="1143"/>
      <c r="P104" s="1143"/>
      <c r="Q104" s="1143"/>
      <c r="R104" s="1143"/>
      <c r="S104" s="1143"/>
      <c r="T104" s="1143"/>
    </row>
    <row r="105" spans="1:20">
      <c r="A105" s="1143"/>
      <c r="B105" s="1143"/>
      <c r="C105" s="1143"/>
      <c r="D105" s="1143"/>
      <c r="E105" s="1143"/>
      <c r="F105" s="1143"/>
      <c r="G105" s="1143"/>
      <c r="H105" s="1143"/>
      <c r="I105" s="1143"/>
      <c r="J105" s="1143"/>
      <c r="K105" s="1144"/>
      <c r="L105" s="1145"/>
      <c r="M105" s="1143"/>
      <c r="N105" s="1143"/>
      <c r="O105" s="1143"/>
      <c r="P105" s="1143"/>
      <c r="Q105" s="1143"/>
      <c r="R105" s="1143"/>
      <c r="S105" s="1143"/>
      <c r="T105" s="1143"/>
    </row>
    <row r="106" spans="1:20">
      <c r="A106" s="1143"/>
      <c r="B106" s="1143"/>
      <c r="C106" s="1143"/>
      <c r="D106" s="1143"/>
      <c r="E106" s="1143"/>
      <c r="F106" s="1143"/>
      <c r="G106" s="1143"/>
      <c r="H106" s="1143"/>
      <c r="I106" s="1143"/>
      <c r="J106" s="1143"/>
      <c r="K106" s="1144"/>
      <c r="L106" s="1145"/>
      <c r="M106" s="1143"/>
      <c r="N106" s="1143"/>
      <c r="O106" s="1143"/>
      <c r="P106" s="1143"/>
      <c r="Q106" s="1143"/>
      <c r="R106" s="1143"/>
      <c r="S106" s="1143"/>
      <c r="T106" s="1143"/>
    </row>
    <row r="107" spans="1:20">
      <c r="A107" s="1143"/>
      <c r="B107" s="1143"/>
      <c r="C107" s="1143"/>
      <c r="D107" s="1143"/>
      <c r="E107" s="1143"/>
      <c r="F107" s="1143"/>
      <c r="G107" s="1143"/>
      <c r="H107" s="1143"/>
      <c r="I107" s="1143"/>
      <c r="J107" s="1143"/>
      <c r="K107" s="1144"/>
      <c r="L107" s="1145"/>
      <c r="M107" s="1143"/>
      <c r="N107" s="1143"/>
      <c r="O107" s="1143"/>
      <c r="P107" s="1143"/>
      <c r="Q107" s="1143"/>
      <c r="R107" s="1143"/>
      <c r="S107" s="1143"/>
      <c r="T107" s="1143"/>
    </row>
    <row r="108" spans="1:20">
      <c r="A108" s="1143"/>
      <c r="B108" s="1143"/>
      <c r="C108" s="1143"/>
      <c r="D108" s="1143"/>
      <c r="E108" s="1143"/>
      <c r="F108" s="1143"/>
      <c r="G108" s="1143"/>
      <c r="H108" s="1143"/>
      <c r="I108" s="1143"/>
      <c r="J108" s="1143"/>
      <c r="K108" s="1144"/>
      <c r="L108" s="1145"/>
      <c r="M108" s="1143"/>
      <c r="N108" s="1143"/>
      <c r="O108" s="1143"/>
      <c r="P108" s="1143"/>
      <c r="Q108" s="1143"/>
      <c r="R108" s="1143"/>
      <c r="S108" s="1143"/>
      <c r="T108" s="1143"/>
    </row>
    <row r="109" spans="1:20">
      <c r="A109" s="1143"/>
      <c r="B109" s="1143"/>
      <c r="C109" s="1143"/>
      <c r="D109" s="1143"/>
      <c r="E109" s="1143"/>
      <c r="F109" s="1143"/>
      <c r="G109" s="1143"/>
      <c r="H109" s="1143"/>
      <c r="I109" s="1143"/>
      <c r="J109" s="1143"/>
      <c r="K109" s="1144"/>
      <c r="L109" s="1145"/>
      <c r="M109" s="1143"/>
      <c r="N109" s="1143"/>
      <c r="O109" s="1143"/>
      <c r="P109" s="1143"/>
      <c r="Q109" s="1143"/>
      <c r="R109" s="1143"/>
      <c r="S109" s="1143"/>
      <c r="T109" s="1143"/>
    </row>
    <row r="110" spans="1:20">
      <c r="A110" s="1143"/>
      <c r="B110" s="1143"/>
      <c r="C110" s="1143"/>
      <c r="D110" s="1143"/>
      <c r="E110" s="1143"/>
      <c r="F110" s="1143"/>
      <c r="G110" s="1143"/>
      <c r="H110" s="1143"/>
      <c r="I110" s="1143"/>
      <c r="J110" s="1143"/>
      <c r="K110" s="1144"/>
      <c r="L110" s="1145"/>
      <c r="M110" s="1143"/>
      <c r="N110" s="1143"/>
      <c r="O110" s="1143"/>
      <c r="P110" s="1143"/>
      <c r="Q110" s="1143"/>
      <c r="R110" s="1143"/>
      <c r="S110" s="1143"/>
      <c r="T110" s="1143"/>
    </row>
    <row r="111" spans="1:20">
      <c r="A111" s="1143"/>
      <c r="B111" s="1143"/>
      <c r="C111" s="1143"/>
      <c r="D111" s="1143"/>
      <c r="E111" s="1143"/>
      <c r="F111" s="1143"/>
      <c r="G111" s="1143"/>
      <c r="H111" s="1143"/>
      <c r="I111" s="1143"/>
      <c r="J111" s="1143"/>
      <c r="K111" s="1144"/>
      <c r="L111" s="1145"/>
      <c r="M111" s="1143"/>
      <c r="N111" s="1143"/>
      <c r="O111" s="1143"/>
      <c r="P111" s="1143"/>
      <c r="Q111" s="1143"/>
      <c r="R111" s="1143"/>
      <c r="S111" s="1143"/>
      <c r="T111" s="1143"/>
    </row>
    <row r="112" spans="1:20">
      <c r="A112" s="1143"/>
      <c r="B112" s="1143"/>
      <c r="C112" s="1143"/>
      <c r="D112" s="1143"/>
      <c r="E112" s="1143"/>
      <c r="F112" s="1143"/>
      <c r="G112" s="1143"/>
      <c r="H112" s="1143"/>
      <c r="I112" s="1143"/>
      <c r="J112" s="1143"/>
      <c r="K112" s="1144"/>
      <c r="L112" s="1145"/>
      <c r="M112" s="1143"/>
      <c r="N112" s="1143"/>
      <c r="O112" s="1143"/>
      <c r="P112" s="1143"/>
      <c r="Q112" s="1143"/>
      <c r="R112" s="1143"/>
      <c r="S112" s="1143"/>
      <c r="T112" s="1143"/>
    </row>
    <row r="113" spans="1:20">
      <c r="A113" s="1143"/>
      <c r="B113" s="1143"/>
      <c r="C113" s="1143"/>
      <c r="D113" s="1143"/>
      <c r="E113" s="1143"/>
      <c r="F113" s="1143"/>
      <c r="G113" s="1143"/>
      <c r="H113" s="1143"/>
      <c r="I113" s="1143"/>
      <c r="J113" s="1143"/>
      <c r="K113" s="1144"/>
      <c r="L113" s="1145"/>
      <c r="M113" s="1143"/>
      <c r="N113" s="1143"/>
      <c r="O113" s="1143"/>
      <c r="P113" s="1143"/>
      <c r="Q113" s="1143"/>
      <c r="R113" s="1143"/>
      <c r="S113" s="1143"/>
      <c r="T113" s="1143"/>
    </row>
    <row r="114" spans="1:20">
      <c r="A114" s="1143"/>
      <c r="B114" s="1143"/>
      <c r="C114" s="1143"/>
      <c r="D114" s="1143"/>
      <c r="E114" s="1143"/>
      <c r="F114" s="1143"/>
      <c r="G114" s="1143"/>
      <c r="H114" s="1143"/>
      <c r="I114" s="1143"/>
      <c r="J114" s="1143"/>
      <c r="K114" s="1144"/>
      <c r="L114" s="1145"/>
      <c r="M114" s="1143"/>
      <c r="N114" s="1143"/>
      <c r="O114" s="1143"/>
      <c r="P114" s="1143"/>
      <c r="Q114" s="1143"/>
      <c r="R114" s="1143"/>
      <c r="S114" s="1143"/>
      <c r="T114" s="1143"/>
    </row>
    <row r="115" spans="1:20">
      <c r="A115" s="1143"/>
      <c r="B115" s="1143"/>
      <c r="C115" s="1143"/>
      <c r="D115" s="1143"/>
      <c r="E115" s="1143"/>
      <c r="F115" s="1143"/>
      <c r="G115" s="1143"/>
      <c r="H115" s="1143"/>
      <c r="I115" s="1143"/>
      <c r="J115" s="1143"/>
      <c r="K115" s="1144"/>
      <c r="L115" s="1145"/>
      <c r="M115" s="1143"/>
      <c r="N115" s="1143"/>
      <c r="O115" s="1143"/>
      <c r="P115" s="1143"/>
      <c r="Q115" s="1143"/>
      <c r="R115" s="1143"/>
      <c r="S115" s="1143"/>
      <c r="T115" s="1143"/>
    </row>
    <row r="116" spans="1:20">
      <c r="A116" s="1143"/>
      <c r="B116" s="1143"/>
      <c r="C116" s="1143"/>
      <c r="D116" s="1143"/>
      <c r="E116" s="1143"/>
      <c r="F116" s="1143"/>
      <c r="G116" s="1143"/>
      <c r="H116" s="1143"/>
      <c r="I116" s="1143"/>
      <c r="J116" s="1143"/>
      <c r="K116" s="1144"/>
      <c r="L116" s="1145"/>
      <c r="M116" s="1143"/>
      <c r="N116" s="1143"/>
      <c r="O116" s="1143"/>
      <c r="P116" s="1143"/>
      <c r="Q116" s="1143"/>
      <c r="R116" s="1143"/>
      <c r="S116" s="1143"/>
      <c r="T116" s="1143"/>
    </row>
    <row r="117" spans="1:20">
      <c r="A117" s="1143"/>
      <c r="B117" s="1143"/>
      <c r="C117" s="1143"/>
      <c r="D117" s="1143"/>
      <c r="E117" s="1143"/>
      <c r="F117" s="1143"/>
      <c r="G117" s="1143"/>
      <c r="H117" s="1143"/>
      <c r="I117" s="1143"/>
      <c r="J117" s="1143"/>
      <c r="K117" s="1144"/>
      <c r="L117" s="1145"/>
      <c r="M117" s="1143"/>
      <c r="N117" s="1143"/>
      <c r="O117" s="1143"/>
      <c r="P117" s="1143"/>
      <c r="Q117" s="1143"/>
      <c r="R117" s="1143"/>
      <c r="S117" s="1143"/>
      <c r="T117" s="1143"/>
    </row>
    <row r="118" spans="1:20">
      <c r="A118" s="1143"/>
      <c r="B118" s="1143"/>
      <c r="C118" s="1143"/>
      <c r="D118" s="1143"/>
      <c r="E118" s="1143"/>
      <c r="F118" s="1143"/>
      <c r="G118" s="1143"/>
      <c r="H118" s="1143"/>
      <c r="I118" s="1143"/>
      <c r="J118" s="1143"/>
      <c r="K118" s="1144"/>
      <c r="L118" s="1145"/>
      <c r="M118" s="1143"/>
      <c r="N118" s="1143"/>
      <c r="O118" s="1143"/>
      <c r="P118" s="1143"/>
      <c r="Q118" s="1143"/>
      <c r="R118" s="1143"/>
      <c r="S118" s="1143"/>
      <c r="T118" s="1143"/>
    </row>
    <row r="119" spans="1:20">
      <c r="A119" s="1143"/>
      <c r="B119" s="1143"/>
      <c r="C119" s="1143"/>
      <c r="D119" s="1143"/>
      <c r="E119" s="1143"/>
      <c r="F119" s="1143"/>
      <c r="G119" s="1143"/>
      <c r="H119" s="1143"/>
      <c r="I119" s="1143"/>
      <c r="J119" s="1143"/>
      <c r="K119" s="1144"/>
      <c r="L119" s="1145"/>
      <c r="M119" s="1143"/>
      <c r="N119" s="1143"/>
      <c r="O119" s="1143"/>
      <c r="P119" s="1143"/>
      <c r="Q119" s="1143"/>
      <c r="R119" s="1143"/>
      <c r="S119" s="1143"/>
      <c r="T119" s="1143"/>
    </row>
    <row r="120" spans="1:20">
      <c r="A120" s="1143"/>
      <c r="B120" s="1143"/>
      <c r="C120" s="1143"/>
      <c r="D120" s="1143"/>
      <c r="E120" s="1143"/>
      <c r="F120" s="1143"/>
      <c r="G120" s="1143"/>
      <c r="H120" s="1143"/>
      <c r="I120" s="1143"/>
      <c r="J120" s="1143"/>
      <c r="K120" s="1144"/>
      <c r="L120" s="1145"/>
      <c r="M120" s="1143"/>
      <c r="N120" s="1143"/>
      <c r="O120" s="1143"/>
      <c r="P120" s="1143"/>
      <c r="Q120" s="1143"/>
      <c r="R120" s="1143"/>
      <c r="S120" s="1143"/>
      <c r="T120" s="1143"/>
    </row>
    <row r="121" spans="1:20">
      <c r="A121" s="1143"/>
      <c r="B121" s="1143"/>
      <c r="C121" s="1143"/>
      <c r="D121" s="1143"/>
      <c r="E121" s="1143"/>
      <c r="F121" s="1143"/>
      <c r="G121" s="1143"/>
      <c r="H121" s="1143"/>
      <c r="I121" s="1143"/>
      <c r="J121" s="1143"/>
      <c r="K121" s="1144"/>
      <c r="L121" s="1145"/>
      <c r="M121" s="1143"/>
      <c r="N121" s="1143"/>
      <c r="O121" s="1143"/>
      <c r="P121" s="1143"/>
      <c r="Q121" s="1143"/>
      <c r="R121" s="1143"/>
      <c r="S121" s="1143"/>
      <c r="T121" s="1143"/>
    </row>
    <row r="122" spans="1:20">
      <c r="A122" s="1143"/>
      <c r="B122" s="1143"/>
      <c r="C122" s="1143"/>
      <c r="D122" s="1143"/>
      <c r="E122" s="1143"/>
      <c r="F122" s="1143"/>
      <c r="G122" s="1143"/>
      <c r="H122" s="1143"/>
      <c r="I122" s="1143"/>
      <c r="J122" s="1143"/>
      <c r="K122" s="1144"/>
      <c r="L122" s="1145"/>
      <c r="M122" s="1143"/>
      <c r="N122" s="1143"/>
      <c r="O122" s="1143"/>
      <c r="P122" s="1143"/>
      <c r="Q122" s="1143"/>
      <c r="R122" s="1143"/>
      <c r="S122" s="1143"/>
      <c r="T122" s="1143"/>
    </row>
    <row r="123" spans="1:20">
      <c r="A123" s="1143"/>
      <c r="B123" s="1143"/>
      <c r="C123" s="1143"/>
      <c r="D123" s="1143"/>
      <c r="E123" s="1143"/>
      <c r="F123" s="1143"/>
      <c r="G123" s="1143"/>
      <c r="H123" s="1143"/>
      <c r="I123" s="1143"/>
      <c r="J123" s="1143"/>
      <c r="K123" s="1144"/>
      <c r="L123" s="1145"/>
      <c r="M123" s="1143"/>
      <c r="N123" s="1143"/>
      <c r="O123" s="1143"/>
      <c r="P123" s="1143"/>
      <c r="Q123" s="1143"/>
      <c r="R123" s="1143"/>
      <c r="S123" s="1143"/>
      <c r="T123" s="1143"/>
    </row>
    <row r="124" spans="1:20">
      <c r="A124" s="1143"/>
      <c r="B124" s="1143"/>
      <c r="C124" s="1143"/>
      <c r="D124" s="1143"/>
      <c r="E124" s="1143"/>
      <c r="F124" s="1143"/>
      <c r="G124" s="1143"/>
      <c r="H124" s="1143"/>
      <c r="I124" s="1143"/>
      <c r="J124" s="1143"/>
      <c r="K124" s="1144"/>
      <c r="L124" s="1145"/>
      <c r="M124" s="1143"/>
      <c r="N124" s="1143"/>
      <c r="O124" s="1143"/>
      <c r="P124" s="1143"/>
      <c r="Q124" s="1143"/>
      <c r="R124" s="1143"/>
      <c r="S124" s="1143"/>
      <c r="T124" s="1143"/>
    </row>
    <row r="125" spans="1:20">
      <c r="A125" s="1143"/>
      <c r="B125" s="1143"/>
      <c r="C125" s="1143"/>
      <c r="D125" s="1143"/>
      <c r="E125" s="1143"/>
      <c r="F125" s="1143"/>
      <c r="G125" s="1143"/>
      <c r="H125" s="1143"/>
      <c r="I125" s="1143"/>
      <c r="J125" s="1143"/>
      <c r="K125" s="1144"/>
      <c r="L125" s="1145"/>
      <c r="M125" s="1143"/>
      <c r="N125" s="1143"/>
      <c r="O125" s="1143"/>
      <c r="P125" s="1143"/>
      <c r="Q125" s="1143"/>
      <c r="R125" s="1143"/>
      <c r="S125" s="1143"/>
      <c r="T125" s="1143"/>
    </row>
    <row r="126" spans="1:20">
      <c r="A126" s="1143"/>
      <c r="B126" s="1143"/>
      <c r="C126" s="1143"/>
      <c r="D126" s="1143"/>
      <c r="E126" s="1143"/>
      <c r="F126" s="1143"/>
      <c r="G126" s="1143"/>
      <c r="H126" s="1143"/>
      <c r="I126" s="1143"/>
      <c r="J126" s="1143"/>
      <c r="K126" s="1144"/>
      <c r="L126" s="1145"/>
      <c r="M126" s="1143"/>
      <c r="N126" s="1143"/>
      <c r="O126" s="1143"/>
      <c r="P126" s="1143"/>
      <c r="Q126" s="1143"/>
      <c r="R126" s="1143"/>
      <c r="S126" s="1143"/>
      <c r="T126" s="1143"/>
    </row>
    <row r="127" spans="1:20">
      <c r="A127" s="1143"/>
      <c r="B127" s="1143"/>
      <c r="C127" s="1143"/>
      <c r="D127" s="1143"/>
      <c r="E127" s="1143"/>
      <c r="F127" s="1143"/>
      <c r="G127" s="1143"/>
      <c r="H127" s="1143"/>
      <c r="I127" s="1143"/>
      <c r="J127" s="1143"/>
      <c r="K127" s="1144"/>
      <c r="L127" s="1145"/>
      <c r="M127" s="1143"/>
      <c r="N127" s="1143"/>
      <c r="O127" s="1143"/>
      <c r="P127" s="1143"/>
      <c r="Q127" s="1143"/>
      <c r="R127" s="1143"/>
      <c r="S127" s="1143"/>
      <c r="T127" s="1143"/>
    </row>
    <row r="128" spans="1:20">
      <c r="A128" s="1143"/>
      <c r="B128" s="1143"/>
      <c r="C128" s="1143"/>
      <c r="D128" s="1143"/>
      <c r="E128" s="1143"/>
      <c r="F128" s="1143"/>
      <c r="G128" s="1143"/>
      <c r="H128" s="1143"/>
      <c r="I128" s="1143"/>
      <c r="J128" s="1143"/>
      <c r="K128" s="1144"/>
      <c r="L128" s="1145"/>
      <c r="M128" s="1143"/>
      <c r="N128" s="1143"/>
      <c r="O128" s="1143"/>
      <c r="P128" s="1143"/>
      <c r="Q128" s="1143"/>
      <c r="R128" s="1143"/>
      <c r="S128" s="1143"/>
      <c r="T128" s="1143"/>
    </row>
    <row r="129" spans="1:20">
      <c r="A129" s="1143"/>
      <c r="B129" s="1143"/>
      <c r="C129" s="1143"/>
      <c r="D129" s="1143"/>
      <c r="E129" s="1143"/>
      <c r="F129" s="1143"/>
      <c r="G129" s="1143"/>
      <c r="H129" s="1143"/>
      <c r="I129" s="1143"/>
      <c r="J129" s="1143"/>
      <c r="K129" s="1144"/>
      <c r="L129" s="1145"/>
      <c r="M129" s="1143"/>
      <c r="N129" s="1143"/>
      <c r="O129" s="1143"/>
      <c r="P129" s="1143"/>
      <c r="Q129" s="1143"/>
      <c r="R129" s="1143"/>
      <c r="S129" s="1143"/>
      <c r="T129" s="1143"/>
    </row>
    <row r="130" spans="1:20">
      <c r="A130" s="1143"/>
      <c r="B130" s="1143"/>
      <c r="C130" s="1143"/>
      <c r="D130" s="1143"/>
      <c r="E130" s="1143"/>
      <c r="F130" s="1143"/>
      <c r="G130" s="1143"/>
      <c r="H130" s="1143"/>
      <c r="I130" s="1143"/>
      <c r="J130" s="1143"/>
      <c r="K130" s="1144"/>
      <c r="L130" s="1145"/>
      <c r="M130" s="1143"/>
      <c r="N130" s="1143"/>
      <c r="O130" s="1143"/>
      <c r="P130" s="1143"/>
      <c r="Q130" s="1143"/>
      <c r="R130" s="1143"/>
      <c r="S130" s="1143"/>
      <c r="T130" s="1143"/>
    </row>
    <row r="131" spans="1:20">
      <c r="A131" s="1143"/>
      <c r="B131" s="1143"/>
      <c r="C131" s="1143"/>
      <c r="D131" s="1143"/>
      <c r="E131" s="1143"/>
      <c r="F131" s="1143"/>
      <c r="G131" s="1143"/>
      <c r="H131" s="1143"/>
      <c r="I131" s="1143"/>
      <c r="J131" s="1143"/>
      <c r="K131" s="1144"/>
      <c r="L131" s="1145"/>
      <c r="M131" s="1143"/>
      <c r="N131" s="1143"/>
      <c r="O131" s="1143"/>
      <c r="P131" s="1143"/>
      <c r="Q131" s="1143"/>
      <c r="R131" s="1143"/>
      <c r="S131" s="1143"/>
      <c r="T131" s="1143"/>
    </row>
    <row r="132" spans="1:20">
      <c r="A132" s="1143"/>
      <c r="B132" s="1143"/>
      <c r="C132" s="1143"/>
      <c r="D132" s="1143"/>
      <c r="E132" s="1143"/>
      <c r="F132" s="1143"/>
      <c r="G132" s="1143"/>
      <c r="H132" s="1143"/>
      <c r="I132" s="1143"/>
      <c r="J132" s="1143"/>
      <c r="K132" s="1144"/>
      <c r="L132" s="1145"/>
      <c r="M132" s="1143"/>
      <c r="N132" s="1143"/>
      <c r="O132" s="1143"/>
      <c r="P132" s="1143"/>
      <c r="Q132" s="1143"/>
      <c r="R132" s="1143"/>
      <c r="S132" s="1143"/>
      <c r="T132" s="1143"/>
    </row>
    <row r="133" spans="1:20">
      <c r="A133" s="1143"/>
      <c r="B133" s="1143"/>
      <c r="C133" s="1143"/>
      <c r="D133" s="1143"/>
      <c r="E133" s="1143"/>
      <c r="F133" s="1143"/>
      <c r="G133" s="1143"/>
      <c r="H133" s="1143"/>
      <c r="I133" s="1143"/>
      <c r="J133" s="1143"/>
      <c r="K133" s="1144"/>
      <c r="L133" s="1145"/>
      <c r="M133" s="1143"/>
      <c r="N133" s="1143"/>
      <c r="O133" s="1143"/>
      <c r="P133" s="1143"/>
      <c r="Q133" s="1143"/>
      <c r="R133" s="1143"/>
      <c r="S133" s="1143"/>
      <c r="T133" s="1143"/>
    </row>
    <row r="134" spans="1:20">
      <c r="A134" s="1143"/>
      <c r="B134" s="1143"/>
      <c r="C134" s="1143"/>
      <c r="D134" s="1143"/>
      <c r="E134" s="1143"/>
      <c r="F134" s="1143"/>
      <c r="G134" s="1143"/>
      <c r="H134" s="1143"/>
      <c r="I134" s="1143"/>
      <c r="J134" s="1143"/>
      <c r="K134" s="1144"/>
      <c r="L134" s="1145"/>
      <c r="M134" s="1143"/>
      <c r="N134" s="1143"/>
      <c r="O134" s="1143"/>
      <c r="P134" s="1143"/>
      <c r="Q134" s="1143"/>
      <c r="R134" s="1143"/>
      <c r="S134" s="1143"/>
      <c r="T134" s="1143"/>
    </row>
    <row r="135" spans="1:20">
      <c r="A135" s="1143"/>
      <c r="B135" s="1143"/>
      <c r="C135" s="1143"/>
      <c r="D135" s="1143"/>
      <c r="E135" s="1143"/>
      <c r="F135" s="1143"/>
      <c r="G135" s="1143"/>
      <c r="H135" s="1143"/>
      <c r="I135" s="1143"/>
      <c r="J135" s="1143"/>
      <c r="K135" s="1144"/>
      <c r="L135" s="1145"/>
      <c r="M135" s="1143"/>
      <c r="N135" s="1143"/>
      <c r="O135" s="1143"/>
      <c r="P135" s="1143"/>
      <c r="Q135" s="1143"/>
      <c r="R135" s="1143"/>
      <c r="S135" s="1143"/>
      <c r="T135" s="1143"/>
    </row>
    <row r="136" spans="1:20">
      <c r="A136" s="1143"/>
      <c r="B136" s="1143"/>
      <c r="C136" s="1143"/>
      <c r="D136" s="1143"/>
      <c r="E136" s="1143"/>
      <c r="F136" s="1143"/>
      <c r="G136" s="1143"/>
      <c r="H136" s="1143"/>
      <c r="I136" s="1143"/>
      <c r="J136" s="1143"/>
      <c r="K136" s="1144"/>
      <c r="L136" s="1145"/>
      <c r="M136" s="1143"/>
      <c r="N136" s="1143"/>
      <c r="O136" s="1143"/>
      <c r="P136" s="1143"/>
      <c r="Q136" s="1143"/>
      <c r="R136" s="1143"/>
      <c r="S136" s="1143"/>
      <c r="T136" s="1143"/>
    </row>
    <row r="137" spans="1:20">
      <c r="A137" s="1143"/>
      <c r="B137" s="1143"/>
      <c r="C137" s="1143"/>
      <c r="D137" s="1143"/>
      <c r="E137" s="1143"/>
      <c r="F137" s="1143"/>
      <c r="G137" s="1143"/>
      <c r="H137" s="1143"/>
      <c r="I137" s="1143"/>
      <c r="J137" s="1143"/>
      <c r="K137" s="1144"/>
      <c r="L137" s="1145"/>
      <c r="M137" s="1143"/>
      <c r="N137" s="1143"/>
      <c r="O137" s="1143"/>
      <c r="P137" s="1143"/>
      <c r="Q137" s="1143"/>
      <c r="R137" s="1143"/>
      <c r="S137" s="1143"/>
      <c r="T137" s="1143"/>
    </row>
    <row r="138" spans="1:20">
      <c r="A138" s="1143"/>
      <c r="B138" s="1143"/>
      <c r="C138" s="1143"/>
      <c r="D138" s="1143"/>
      <c r="E138" s="1143"/>
      <c r="F138" s="1143"/>
      <c r="G138" s="1143"/>
      <c r="H138" s="1143"/>
      <c r="I138" s="1143"/>
      <c r="J138" s="1143"/>
      <c r="K138" s="1144"/>
      <c r="L138" s="1145"/>
      <c r="M138" s="1143"/>
      <c r="N138" s="1143"/>
      <c r="O138" s="1143"/>
      <c r="P138" s="1143"/>
      <c r="Q138" s="1143"/>
      <c r="R138" s="1143"/>
      <c r="S138" s="1143"/>
      <c r="T138" s="1143"/>
    </row>
    <row r="139" spans="1:20">
      <c r="A139" s="1143"/>
      <c r="B139" s="1143"/>
      <c r="C139" s="1143"/>
      <c r="D139" s="1143"/>
      <c r="E139" s="1143"/>
      <c r="F139" s="1143"/>
      <c r="G139" s="1143"/>
      <c r="H139" s="1143"/>
      <c r="I139" s="1143"/>
      <c r="J139" s="1143"/>
      <c r="K139" s="1144"/>
      <c r="L139" s="1145"/>
      <c r="M139" s="1143"/>
      <c r="N139" s="1143"/>
      <c r="O139" s="1143"/>
      <c r="P139" s="1143"/>
      <c r="Q139" s="1143"/>
      <c r="R139" s="1143"/>
      <c r="S139" s="1143"/>
      <c r="T139" s="1143"/>
    </row>
    <row r="140" spans="1:20">
      <c r="A140" s="1143"/>
      <c r="B140" s="1143"/>
      <c r="C140" s="1143"/>
      <c r="D140" s="1143"/>
      <c r="E140" s="1143"/>
      <c r="F140" s="1143"/>
      <c r="G140" s="1143"/>
      <c r="H140" s="1143"/>
      <c r="I140" s="1143"/>
      <c r="J140" s="1143"/>
      <c r="K140" s="1144"/>
      <c r="L140" s="1145"/>
      <c r="M140" s="1143"/>
      <c r="N140" s="1143"/>
      <c r="O140" s="1143"/>
      <c r="P140" s="1143"/>
      <c r="Q140" s="1143"/>
      <c r="R140" s="1143"/>
      <c r="S140" s="1143"/>
      <c r="T140" s="1143"/>
    </row>
    <row r="141" spans="1:20">
      <c r="A141" s="1143"/>
      <c r="B141" s="1143"/>
      <c r="C141" s="1143"/>
      <c r="D141" s="1143"/>
      <c r="E141" s="1143"/>
      <c r="F141" s="1143"/>
      <c r="G141" s="1143"/>
      <c r="H141" s="1143"/>
      <c r="I141" s="1143"/>
      <c r="J141" s="1143"/>
      <c r="K141" s="1144"/>
      <c r="L141" s="1145"/>
      <c r="M141" s="1143"/>
      <c r="N141" s="1143"/>
      <c r="O141" s="1143"/>
      <c r="P141" s="1143"/>
      <c r="Q141" s="1143"/>
      <c r="R141" s="1143"/>
      <c r="S141" s="1143"/>
      <c r="T141" s="1143"/>
    </row>
    <row r="142" spans="1:20">
      <c r="A142" s="1143"/>
      <c r="B142" s="1143"/>
      <c r="C142" s="1143"/>
      <c r="D142" s="1143"/>
      <c r="E142" s="1143"/>
      <c r="F142" s="1143"/>
      <c r="G142" s="1143"/>
      <c r="H142" s="1143"/>
      <c r="I142" s="1143"/>
      <c r="J142" s="1143"/>
      <c r="K142" s="1144"/>
      <c r="L142" s="1145"/>
      <c r="M142" s="1143"/>
      <c r="N142" s="1143"/>
      <c r="O142" s="1143"/>
      <c r="P142" s="1143"/>
      <c r="Q142" s="1143"/>
      <c r="R142" s="1143"/>
      <c r="S142" s="1143"/>
      <c r="T142" s="1143"/>
    </row>
    <row r="143" spans="1:20">
      <c r="A143" s="1143"/>
      <c r="B143" s="1143"/>
      <c r="C143" s="1143"/>
      <c r="D143" s="1143"/>
      <c r="E143" s="1143"/>
      <c r="F143" s="1143"/>
      <c r="G143" s="1143"/>
      <c r="H143" s="1143"/>
      <c r="I143" s="1143"/>
      <c r="J143" s="1143"/>
      <c r="K143" s="1144"/>
      <c r="L143" s="1145"/>
      <c r="M143" s="1143"/>
      <c r="N143" s="1143"/>
      <c r="O143" s="1143"/>
      <c r="P143" s="1143"/>
      <c r="Q143" s="1143"/>
      <c r="R143" s="1143"/>
      <c r="S143" s="1143"/>
      <c r="T143" s="1143"/>
    </row>
    <row r="144" spans="1:20">
      <c r="A144" s="1143"/>
      <c r="B144" s="1143"/>
      <c r="C144" s="1143"/>
      <c r="D144" s="1143"/>
      <c r="E144" s="1143"/>
      <c r="F144" s="1143"/>
      <c r="G144" s="1143"/>
      <c r="H144" s="1143"/>
      <c r="I144" s="1143"/>
      <c r="J144" s="1143"/>
      <c r="K144" s="1144"/>
      <c r="L144" s="1145"/>
      <c r="M144" s="1143"/>
      <c r="N144" s="1143"/>
      <c r="O144" s="1143"/>
      <c r="P144" s="1143"/>
      <c r="Q144" s="1143"/>
      <c r="R144" s="1143"/>
      <c r="S144" s="1143"/>
      <c r="T144" s="1143"/>
    </row>
    <row r="145" spans="1:20">
      <c r="A145" s="1143"/>
      <c r="B145" s="1143"/>
      <c r="C145" s="1143"/>
      <c r="D145" s="1143"/>
      <c r="E145" s="1143"/>
      <c r="F145" s="1143"/>
      <c r="G145" s="1143"/>
      <c r="H145" s="1143"/>
      <c r="I145" s="1143"/>
      <c r="J145" s="1143"/>
      <c r="K145" s="1144"/>
      <c r="L145" s="1145"/>
      <c r="M145" s="1143"/>
      <c r="N145" s="1143"/>
      <c r="O145" s="1143"/>
      <c r="P145" s="1143"/>
      <c r="Q145" s="1143"/>
      <c r="R145" s="1143"/>
      <c r="S145" s="1143"/>
      <c r="T145" s="1143"/>
    </row>
    <row r="146" spans="1:20">
      <c r="A146" s="1143"/>
      <c r="B146" s="1143"/>
      <c r="C146" s="1143"/>
      <c r="D146" s="1143"/>
      <c r="E146" s="1143"/>
      <c r="F146" s="1143"/>
      <c r="G146" s="1143"/>
      <c r="H146" s="1143"/>
      <c r="I146" s="1143"/>
      <c r="J146" s="1143"/>
      <c r="K146" s="1144"/>
      <c r="L146" s="1145"/>
      <c r="M146" s="1143"/>
      <c r="N146" s="1143"/>
      <c r="O146" s="1143"/>
      <c r="P146" s="1143"/>
      <c r="Q146" s="1143"/>
      <c r="R146" s="1143"/>
      <c r="S146" s="1143"/>
      <c r="T146" s="1143"/>
    </row>
    <row r="147" spans="1:20">
      <c r="A147" s="1143"/>
      <c r="B147" s="1143"/>
      <c r="C147" s="1143"/>
      <c r="D147" s="1143"/>
      <c r="E147" s="1143"/>
      <c r="F147" s="1143"/>
      <c r="G147" s="1143"/>
      <c r="H147" s="1143"/>
      <c r="I147" s="1143"/>
      <c r="J147" s="1143"/>
      <c r="K147" s="1144"/>
      <c r="L147" s="1145"/>
      <c r="M147" s="1143"/>
      <c r="N147" s="1143"/>
      <c r="O147" s="1143"/>
      <c r="P147" s="1143"/>
      <c r="Q147" s="1143"/>
      <c r="R147" s="1143"/>
      <c r="S147" s="1143"/>
      <c r="T147" s="1143"/>
    </row>
    <row r="148" spans="1:20">
      <c r="A148" s="1143"/>
      <c r="B148" s="1143"/>
      <c r="C148" s="1143"/>
      <c r="D148" s="1143"/>
      <c r="E148" s="1143"/>
      <c r="F148" s="1143"/>
      <c r="G148" s="1143"/>
      <c r="H148" s="1143"/>
      <c r="I148" s="1143"/>
      <c r="J148" s="1143"/>
      <c r="K148" s="1144"/>
      <c r="L148" s="1145"/>
      <c r="M148" s="1143"/>
      <c r="N148" s="1143"/>
      <c r="O148" s="1143"/>
      <c r="P148" s="1143"/>
      <c r="Q148" s="1143"/>
      <c r="R148" s="1143"/>
      <c r="S148" s="1143"/>
      <c r="T148" s="1143"/>
    </row>
    <row r="149" spans="1:20">
      <c r="A149" s="1143"/>
      <c r="B149" s="1143"/>
      <c r="C149" s="1143"/>
      <c r="D149" s="1143"/>
      <c r="E149" s="1143"/>
      <c r="F149" s="1143"/>
      <c r="G149" s="1143"/>
      <c r="H149" s="1143"/>
      <c r="I149" s="1143"/>
      <c r="J149" s="1143"/>
      <c r="K149" s="1144"/>
      <c r="L149" s="1145"/>
      <c r="M149" s="1143"/>
      <c r="N149" s="1143"/>
      <c r="O149" s="1143"/>
      <c r="P149" s="1143"/>
      <c r="Q149" s="1143"/>
      <c r="R149" s="1143"/>
      <c r="S149" s="1143"/>
      <c r="T149" s="1143"/>
    </row>
    <row r="150" spans="1:20">
      <c r="A150" s="1143"/>
      <c r="B150" s="1143"/>
      <c r="C150" s="1143"/>
      <c r="D150" s="1143"/>
      <c r="E150" s="1143"/>
      <c r="F150" s="1143"/>
      <c r="G150" s="1143"/>
      <c r="H150" s="1143"/>
      <c r="I150" s="1143"/>
      <c r="J150" s="1143"/>
      <c r="K150" s="1144"/>
      <c r="L150" s="1145"/>
      <c r="M150" s="1143"/>
      <c r="N150" s="1143"/>
      <c r="O150" s="1143"/>
      <c r="P150" s="1143"/>
      <c r="Q150" s="1143"/>
      <c r="R150" s="1143"/>
      <c r="S150" s="1143"/>
      <c r="T150" s="1143"/>
    </row>
    <row r="151" spans="1:20">
      <c r="A151" s="1143"/>
      <c r="B151" s="1143"/>
      <c r="C151" s="1143"/>
      <c r="D151" s="1143"/>
      <c r="E151" s="1143"/>
      <c r="F151" s="1143"/>
      <c r="G151" s="1143"/>
      <c r="H151" s="1143"/>
      <c r="I151" s="1143"/>
      <c r="J151" s="1143"/>
      <c r="K151" s="1144"/>
      <c r="L151" s="1145"/>
      <c r="M151" s="1143"/>
      <c r="N151" s="1143"/>
      <c r="O151" s="1143"/>
      <c r="P151" s="1143"/>
      <c r="Q151" s="1143"/>
      <c r="R151" s="1143"/>
      <c r="S151" s="1143"/>
      <c r="T151" s="1143"/>
    </row>
    <row r="152" spans="1:20">
      <c r="A152" s="1143"/>
      <c r="B152" s="1143"/>
      <c r="C152" s="1143"/>
      <c r="D152" s="1143"/>
      <c r="E152" s="1143"/>
      <c r="F152" s="1143"/>
      <c r="G152" s="1143"/>
      <c r="H152" s="1143"/>
      <c r="I152" s="1143"/>
      <c r="J152" s="1143"/>
      <c r="K152" s="1144"/>
      <c r="L152" s="1145"/>
      <c r="M152" s="1143"/>
      <c r="N152" s="1143"/>
      <c r="O152" s="1143"/>
      <c r="P152" s="1143"/>
      <c r="Q152" s="1143"/>
      <c r="R152" s="1143"/>
      <c r="S152" s="1143"/>
      <c r="T152" s="1143"/>
    </row>
    <row r="153" spans="1:20">
      <c r="A153" s="1143"/>
      <c r="B153" s="1143"/>
      <c r="C153" s="1143"/>
      <c r="D153" s="1143"/>
      <c r="E153" s="1143"/>
      <c r="F153" s="1143"/>
      <c r="G153" s="1143"/>
      <c r="H153" s="1143"/>
      <c r="I153" s="1143"/>
      <c r="J153" s="1143"/>
      <c r="K153" s="1144"/>
      <c r="L153" s="1145"/>
      <c r="M153" s="1143"/>
      <c r="N153" s="1143"/>
      <c r="O153" s="1143"/>
      <c r="P153" s="1143"/>
      <c r="Q153" s="1143"/>
      <c r="R153" s="1143"/>
      <c r="S153" s="1143"/>
      <c r="T153" s="1143"/>
    </row>
    <row r="154" spans="1:20">
      <c r="A154" s="1143"/>
      <c r="B154" s="1143"/>
      <c r="C154" s="1143"/>
      <c r="D154" s="1143"/>
      <c r="E154" s="1143"/>
      <c r="F154" s="1143"/>
      <c r="G154" s="1143"/>
      <c r="H154" s="1143"/>
      <c r="I154" s="1143"/>
      <c r="J154" s="1143"/>
      <c r="K154" s="1144"/>
      <c r="L154" s="1145"/>
      <c r="M154" s="1143"/>
      <c r="N154" s="1143"/>
      <c r="O154" s="1143"/>
      <c r="P154" s="1143"/>
      <c r="Q154" s="1143"/>
      <c r="R154" s="1143"/>
      <c r="S154" s="1143"/>
      <c r="T154" s="1143"/>
    </row>
    <row r="155" spans="1:20">
      <c r="A155" s="1143"/>
      <c r="B155" s="1143"/>
      <c r="C155" s="1143"/>
      <c r="D155" s="1143"/>
      <c r="E155" s="1143"/>
      <c r="F155" s="1143"/>
      <c r="G155" s="1143"/>
      <c r="H155" s="1143"/>
      <c r="I155" s="1143"/>
      <c r="J155" s="1143"/>
      <c r="K155" s="1144"/>
      <c r="L155" s="1145"/>
      <c r="M155" s="1143"/>
      <c r="N155" s="1143"/>
      <c r="O155" s="1143"/>
      <c r="P155" s="1143"/>
      <c r="Q155" s="1143"/>
      <c r="R155" s="1143"/>
      <c r="S155" s="1143"/>
      <c r="T155" s="1143"/>
    </row>
    <row r="156" spans="1:20">
      <c r="A156" s="1143"/>
      <c r="B156" s="1143"/>
      <c r="C156" s="1143"/>
      <c r="D156" s="1143"/>
      <c r="E156" s="1143"/>
      <c r="F156" s="1143"/>
      <c r="G156" s="1143"/>
      <c r="H156" s="1143"/>
      <c r="I156" s="1143"/>
      <c r="J156" s="1143"/>
      <c r="K156" s="1144"/>
      <c r="L156" s="1145"/>
      <c r="M156" s="1143"/>
      <c r="N156" s="1143"/>
      <c r="O156" s="1143"/>
      <c r="P156" s="1143"/>
      <c r="Q156" s="1143"/>
      <c r="R156" s="1143"/>
      <c r="S156" s="1143"/>
      <c r="T156" s="1143"/>
    </row>
    <row r="157" spans="1:20">
      <c r="A157" s="1143"/>
      <c r="B157" s="1143"/>
      <c r="C157" s="1143"/>
      <c r="D157" s="1143"/>
      <c r="E157" s="1143"/>
      <c r="F157" s="1143"/>
      <c r="G157" s="1143"/>
      <c r="H157" s="1143"/>
      <c r="I157" s="1143"/>
      <c r="J157" s="1143"/>
      <c r="K157" s="1144"/>
      <c r="L157" s="1145"/>
      <c r="M157" s="1143"/>
      <c r="N157" s="1143"/>
      <c r="O157" s="1143"/>
      <c r="P157" s="1143"/>
      <c r="Q157" s="1143"/>
      <c r="R157" s="1143"/>
      <c r="S157" s="1143"/>
      <c r="T157" s="1143"/>
    </row>
    <row r="158" spans="1:20">
      <c r="A158" s="1143"/>
      <c r="B158" s="1143"/>
      <c r="C158" s="1143"/>
      <c r="D158" s="1143"/>
      <c r="E158" s="1143"/>
      <c r="F158" s="1143"/>
      <c r="G158" s="1143"/>
      <c r="H158" s="1143"/>
      <c r="I158" s="1143"/>
      <c r="J158" s="1143"/>
      <c r="K158" s="1144"/>
      <c r="L158" s="1145"/>
      <c r="M158" s="1143"/>
      <c r="N158" s="1143"/>
      <c r="O158" s="1143"/>
      <c r="P158" s="1143"/>
      <c r="Q158" s="1143"/>
      <c r="R158" s="1143"/>
      <c r="S158" s="1143"/>
      <c r="T158" s="1143"/>
    </row>
    <row r="159" spans="1:20">
      <c r="A159" s="1143"/>
      <c r="B159" s="1143"/>
      <c r="C159" s="1143"/>
      <c r="D159" s="1143"/>
      <c r="E159" s="1143"/>
      <c r="F159" s="1143"/>
      <c r="G159" s="1143"/>
      <c r="H159" s="1143"/>
      <c r="I159" s="1143"/>
      <c r="J159" s="1143"/>
      <c r="K159" s="1144"/>
      <c r="L159" s="1145"/>
      <c r="M159" s="1143"/>
      <c r="N159" s="1143"/>
      <c r="O159" s="1143"/>
      <c r="P159" s="1143"/>
      <c r="Q159" s="1143"/>
      <c r="R159" s="1143"/>
      <c r="S159" s="1143"/>
      <c r="T159" s="1143"/>
    </row>
    <row r="160" spans="1:20">
      <c r="A160" s="1143"/>
      <c r="B160" s="1143"/>
      <c r="C160" s="1143"/>
      <c r="D160" s="1143"/>
      <c r="E160" s="1143"/>
      <c r="F160" s="1143"/>
      <c r="G160" s="1143"/>
      <c r="H160" s="1143"/>
      <c r="I160" s="1143"/>
      <c r="J160" s="1143"/>
      <c r="K160" s="1144"/>
      <c r="L160" s="1145"/>
      <c r="M160" s="1143"/>
      <c r="N160" s="1143"/>
      <c r="O160" s="1143"/>
      <c r="P160" s="1143"/>
      <c r="Q160" s="1143"/>
      <c r="R160" s="1143"/>
      <c r="S160" s="1143"/>
      <c r="T160" s="1143"/>
    </row>
    <row r="161" spans="1:20">
      <c r="A161" s="1143"/>
      <c r="B161" s="1143"/>
      <c r="C161" s="1143"/>
      <c r="D161" s="1143"/>
      <c r="E161" s="1143"/>
      <c r="F161" s="1143"/>
      <c r="G161" s="1143"/>
      <c r="H161" s="1143"/>
      <c r="I161" s="1143"/>
      <c r="J161" s="1143"/>
      <c r="K161" s="1144"/>
      <c r="L161" s="1145"/>
      <c r="M161" s="1143"/>
      <c r="N161" s="1143"/>
      <c r="O161" s="1143"/>
      <c r="P161" s="1143"/>
      <c r="Q161" s="1143"/>
      <c r="R161" s="1143"/>
      <c r="S161" s="1143"/>
      <c r="T161" s="1143"/>
    </row>
    <row r="162" spans="1:20">
      <c r="A162" s="1143"/>
      <c r="B162" s="1143"/>
      <c r="C162" s="1143"/>
      <c r="D162" s="1143"/>
      <c r="E162" s="1143"/>
      <c r="F162" s="1143"/>
      <c r="G162" s="1143"/>
      <c r="H162" s="1143"/>
      <c r="I162" s="1143"/>
      <c r="J162" s="1143"/>
      <c r="K162" s="1144"/>
      <c r="L162" s="1145"/>
      <c r="M162" s="1143"/>
      <c r="N162" s="1143"/>
      <c r="O162" s="1143"/>
      <c r="P162" s="1143"/>
      <c r="Q162" s="1143"/>
      <c r="R162" s="1143"/>
      <c r="S162" s="1143"/>
      <c r="T162" s="1143"/>
    </row>
    <row r="163" spans="1:20">
      <c r="A163" s="1143"/>
      <c r="B163" s="1143"/>
      <c r="C163" s="1143"/>
      <c r="D163" s="1143"/>
      <c r="E163" s="1143"/>
      <c r="F163" s="1143"/>
      <c r="G163" s="1143"/>
      <c r="H163" s="1143"/>
      <c r="I163" s="1143"/>
      <c r="J163" s="1143"/>
      <c r="K163" s="1144"/>
      <c r="L163" s="1145"/>
      <c r="M163" s="1143"/>
      <c r="N163" s="1143"/>
      <c r="O163" s="1143"/>
      <c r="P163" s="1143"/>
      <c r="Q163" s="1143"/>
      <c r="R163" s="1143"/>
      <c r="S163" s="1143"/>
      <c r="T163" s="1143"/>
    </row>
    <row r="164" spans="1:20">
      <c r="A164" s="1143"/>
      <c r="B164" s="1143"/>
      <c r="C164" s="1143"/>
      <c r="D164" s="1143"/>
      <c r="E164" s="1143"/>
      <c r="F164" s="1143"/>
      <c r="G164" s="1143"/>
      <c r="H164" s="1143"/>
      <c r="I164" s="1143"/>
      <c r="J164" s="1143"/>
      <c r="K164" s="1144"/>
      <c r="L164" s="1145"/>
      <c r="M164" s="1143"/>
      <c r="N164" s="1143"/>
      <c r="O164" s="1143"/>
      <c r="P164" s="1143"/>
      <c r="Q164" s="1143"/>
      <c r="R164" s="1143"/>
      <c r="S164" s="1143"/>
      <c r="T164" s="1143"/>
    </row>
    <row r="165" spans="1:20">
      <c r="A165" s="1143"/>
      <c r="B165" s="1143"/>
      <c r="C165" s="1143"/>
      <c r="D165" s="1143"/>
      <c r="E165" s="1143"/>
      <c r="F165" s="1143"/>
      <c r="G165" s="1143"/>
      <c r="H165" s="1143"/>
      <c r="I165" s="1143"/>
      <c r="J165" s="1143"/>
      <c r="K165" s="1144"/>
      <c r="L165" s="1145"/>
      <c r="M165" s="1143"/>
      <c r="N165" s="1143"/>
      <c r="O165" s="1143"/>
      <c r="P165" s="1143"/>
      <c r="Q165" s="1143"/>
      <c r="R165" s="1143"/>
      <c r="S165" s="1143"/>
      <c r="T165" s="1143"/>
    </row>
    <row r="166" spans="1:20">
      <c r="A166" s="1143"/>
      <c r="B166" s="1143"/>
      <c r="C166" s="1143"/>
      <c r="D166" s="1143"/>
      <c r="E166" s="1143"/>
      <c r="F166" s="1143"/>
      <c r="G166" s="1143"/>
      <c r="H166" s="1143"/>
      <c r="I166" s="1143"/>
      <c r="J166" s="1143"/>
      <c r="K166" s="1144"/>
      <c r="L166" s="1145"/>
      <c r="M166" s="1143"/>
      <c r="N166" s="1143"/>
      <c r="O166" s="1143"/>
      <c r="P166" s="1143"/>
      <c r="Q166" s="1143"/>
      <c r="R166" s="1143"/>
      <c r="S166" s="1143"/>
      <c r="T166" s="1143"/>
    </row>
    <row r="167" spans="1:20">
      <c r="A167" s="1143"/>
      <c r="B167" s="1143"/>
      <c r="C167" s="1143"/>
      <c r="D167" s="1143"/>
      <c r="E167" s="1143"/>
      <c r="F167" s="1143"/>
      <c r="G167" s="1143"/>
      <c r="H167" s="1143"/>
      <c r="I167" s="1143"/>
      <c r="J167" s="1143"/>
      <c r="K167" s="1144"/>
      <c r="L167" s="1145"/>
      <c r="M167" s="1143"/>
      <c r="N167" s="1143"/>
      <c r="O167" s="1143"/>
      <c r="P167" s="1143"/>
      <c r="Q167" s="1143"/>
      <c r="R167" s="1143"/>
      <c r="S167" s="1143"/>
      <c r="T167" s="1143"/>
    </row>
    <row r="168" spans="1:20">
      <c r="A168" s="1143"/>
      <c r="B168" s="1143"/>
      <c r="C168" s="1143"/>
      <c r="D168" s="1143"/>
      <c r="E168" s="1143"/>
      <c r="F168" s="1143"/>
      <c r="G168" s="1143"/>
      <c r="H168" s="1143"/>
      <c r="I168" s="1143"/>
      <c r="J168" s="1143"/>
      <c r="K168" s="1144"/>
      <c r="L168" s="1145"/>
      <c r="M168" s="1143"/>
      <c r="N168" s="1143"/>
      <c r="O168" s="1143"/>
      <c r="P168" s="1143"/>
      <c r="Q168" s="1143"/>
      <c r="R168" s="1143"/>
      <c r="S168" s="1143"/>
      <c r="T168" s="1143"/>
    </row>
    <row r="169" spans="1:20">
      <c r="A169" s="1143"/>
      <c r="B169" s="1143"/>
      <c r="C169" s="1143"/>
      <c r="D169" s="1143"/>
      <c r="E169" s="1143"/>
      <c r="F169" s="1143"/>
      <c r="G169" s="1143"/>
      <c r="H169" s="1143"/>
      <c r="I169" s="1143"/>
      <c r="J169" s="1143"/>
      <c r="K169" s="1144"/>
      <c r="L169" s="1145"/>
      <c r="M169" s="1143"/>
      <c r="N169" s="1143"/>
      <c r="O169" s="1143"/>
      <c r="P169" s="1143"/>
      <c r="Q169" s="1143"/>
      <c r="R169" s="1143"/>
      <c r="S169" s="1143"/>
      <c r="T169" s="1143"/>
    </row>
    <row r="170" spans="1:20">
      <c r="A170" s="1143"/>
      <c r="B170" s="1143"/>
      <c r="C170" s="1143"/>
      <c r="D170" s="1143"/>
      <c r="E170" s="1143"/>
      <c r="F170" s="1143"/>
      <c r="G170" s="1143"/>
      <c r="H170" s="1143"/>
      <c r="I170" s="1143"/>
      <c r="J170" s="1143"/>
      <c r="K170" s="1144"/>
      <c r="L170" s="1145"/>
      <c r="M170" s="1143"/>
      <c r="N170" s="1143"/>
      <c r="O170" s="1143"/>
      <c r="P170" s="1143"/>
      <c r="Q170" s="1143"/>
      <c r="R170" s="1143"/>
      <c r="S170" s="1143"/>
      <c r="T170" s="1143"/>
    </row>
    <row r="171" spans="1:20">
      <c r="A171" s="1143"/>
      <c r="B171" s="1143"/>
      <c r="C171" s="1143"/>
      <c r="D171" s="1143"/>
      <c r="E171" s="1143"/>
      <c r="F171" s="1143"/>
      <c r="G171" s="1143"/>
      <c r="H171" s="1143"/>
      <c r="I171" s="1143"/>
      <c r="J171" s="1143"/>
      <c r="K171" s="1144"/>
      <c r="L171" s="1145"/>
      <c r="M171" s="1143"/>
      <c r="N171" s="1143"/>
      <c r="O171" s="1143"/>
      <c r="P171" s="1143"/>
      <c r="Q171" s="1143"/>
      <c r="R171" s="1143"/>
      <c r="S171" s="1143"/>
      <c r="T171" s="1143"/>
    </row>
    <row r="172" spans="1:20">
      <c r="A172" s="1143"/>
      <c r="B172" s="1143"/>
      <c r="C172" s="1143"/>
      <c r="D172" s="1143"/>
      <c r="E172" s="1143"/>
      <c r="F172" s="1143"/>
      <c r="G172" s="1143"/>
      <c r="H172" s="1143"/>
      <c r="I172" s="1143"/>
      <c r="J172" s="1143"/>
      <c r="K172" s="1144"/>
      <c r="L172" s="1145"/>
      <c r="M172" s="1143"/>
      <c r="N172" s="1143"/>
      <c r="O172" s="1143"/>
      <c r="P172" s="1143"/>
      <c r="Q172" s="1143"/>
      <c r="R172" s="1143"/>
      <c r="S172" s="1143"/>
      <c r="T172" s="1143"/>
    </row>
    <row r="173" spans="1:20">
      <c r="A173" s="1143"/>
      <c r="B173" s="1143"/>
      <c r="C173" s="1143"/>
      <c r="D173" s="1143"/>
      <c r="E173" s="1143"/>
      <c r="F173" s="1143"/>
      <c r="G173" s="1143"/>
      <c r="H173" s="1143"/>
      <c r="I173" s="1143"/>
      <c r="J173" s="1143"/>
      <c r="K173" s="1144"/>
      <c r="L173" s="1145"/>
      <c r="M173" s="1143"/>
      <c r="N173" s="1143"/>
      <c r="O173" s="1143"/>
      <c r="P173" s="1143"/>
      <c r="Q173" s="1143"/>
      <c r="R173" s="1143"/>
      <c r="S173" s="1143"/>
      <c r="T173" s="1143"/>
    </row>
    <row r="174" spans="1:20">
      <c r="A174" s="1143"/>
      <c r="B174" s="1143"/>
      <c r="C174" s="1143"/>
      <c r="D174" s="1143"/>
      <c r="E174" s="1143"/>
      <c r="F174" s="1143"/>
      <c r="G174" s="1143"/>
      <c r="H174" s="1143"/>
      <c r="I174" s="1143"/>
      <c r="J174" s="1143"/>
      <c r="K174" s="1144"/>
      <c r="L174" s="1145"/>
      <c r="M174" s="1143"/>
      <c r="N174" s="1143"/>
      <c r="O174" s="1143"/>
      <c r="P174" s="1143"/>
      <c r="Q174" s="1143"/>
      <c r="R174" s="1143"/>
      <c r="S174" s="1143"/>
      <c r="T174" s="1143"/>
    </row>
    <row r="175" spans="1:20">
      <c r="A175" s="1143"/>
      <c r="B175" s="1143"/>
      <c r="C175" s="1143"/>
      <c r="D175" s="1143"/>
      <c r="E175" s="1143"/>
      <c r="F175" s="1143"/>
      <c r="G175" s="1143"/>
      <c r="H175" s="1143"/>
      <c r="I175" s="1143"/>
      <c r="J175" s="1143"/>
      <c r="K175" s="1144"/>
      <c r="L175" s="1145"/>
      <c r="M175" s="1143"/>
      <c r="N175" s="1143"/>
      <c r="O175" s="1143"/>
      <c r="P175" s="1143"/>
      <c r="Q175" s="1143"/>
      <c r="R175" s="1143"/>
      <c r="S175" s="1143"/>
      <c r="T175" s="1143"/>
    </row>
    <row r="176" spans="1:20">
      <c r="A176" s="1143"/>
      <c r="B176" s="1143"/>
      <c r="C176" s="1143"/>
      <c r="D176" s="1143"/>
      <c r="E176" s="1143"/>
      <c r="F176" s="1143"/>
      <c r="G176" s="1143"/>
      <c r="H176" s="1143"/>
      <c r="I176" s="1143"/>
      <c r="J176" s="1143"/>
      <c r="K176" s="1144"/>
      <c r="L176" s="1145"/>
      <c r="M176" s="1143"/>
      <c r="N176" s="1143"/>
      <c r="O176" s="1143"/>
      <c r="P176" s="1143"/>
      <c r="Q176" s="1143"/>
      <c r="R176" s="1143"/>
      <c r="S176" s="1143"/>
      <c r="T176" s="1143"/>
    </row>
    <row r="177" spans="1:20">
      <c r="A177" s="1143"/>
      <c r="B177" s="1143"/>
      <c r="C177" s="1143"/>
      <c r="D177" s="1143"/>
      <c r="E177" s="1143"/>
      <c r="F177" s="1143"/>
      <c r="G177" s="1143"/>
      <c r="H177" s="1143"/>
      <c r="I177" s="1143"/>
      <c r="J177" s="1143"/>
      <c r="K177" s="1144"/>
      <c r="L177" s="1145"/>
      <c r="M177" s="1143"/>
      <c r="N177" s="1143"/>
      <c r="O177" s="1143"/>
      <c r="P177" s="1143"/>
      <c r="Q177" s="1143"/>
      <c r="R177" s="1143"/>
      <c r="S177" s="1143"/>
      <c r="T177" s="1143"/>
    </row>
    <row r="178" spans="1:20">
      <c r="A178" s="1143"/>
      <c r="B178" s="1143"/>
      <c r="C178" s="1143"/>
      <c r="D178" s="1143"/>
      <c r="E178" s="1143"/>
      <c r="F178" s="1143"/>
      <c r="G178" s="1143"/>
      <c r="H178" s="1143"/>
      <c r="I178" s="1143"/>
      <c r="J178" s="1143"/>
      <c r="K178" s="1144"/>
      <c r="L178" s="1145"/>
      <c r="M178" s="1143"/>
      <c r="N178" s="1143"/>
      <c r="O178" s="1143"/>
      <c r="P178" s="1143"/>
      <c r="Q178" s="1143"/>
      <c r="R178" s="1143"/>
      <c r="S178" s="1143"/>
      <c r="T178" s="1143"/>
    </row>
    <row r="179" spans="1:20">
      <c r="A179" s="1143"/>
      <c r="B179" s="1143"/>
      <c r="C179" s="1143"/>
      <c r="D179" s="1143"/>
      <c r="E179" s="1143"/>
      <c r="F179" s="1143"/>
      <c r="G179" s="1143"/>
      <c r="H179" s="1143"/>
      <c r="I179" s="1143"/>
      <c r="J179" s="1143"/>
      <c r="K179" s="1144"/>
      <c r="L179" s="1145"/>
      <c r="M179" s="1143"/>
      <c r="N179" s="1143"/>
      <c r="O179" s="1143"/>
      <c r="P179" s="1143"/>
      <c r="Q179" s="1143"/>
      <c r="R179" s="1143"/>
      <c r="S179" s="1143"/>
      <c r="T179" s="1143"/>
    </row>
    <row r="180" spans="1:20">
      <c r="A180" s="1143"/>
      <c r="B180" s="1143"/>
      <c r="C180" s="1143"/>
      <c r="D180" s="1143"/>
      <c r="E180" s="1143"/>
      <c r="F180" s="1143"/>
      <c r="G180" s="1143"/>
      <c r="H180" s="1143"/>
      <c r="I180" s="1143"/>
      <c r="J180" s="1143"/>
      <c r="K180" s="1144"/>
      <c r="L180" s="1145"/>
      <c r="M180" s="1143"/>
      <c r="N180" s="1143"/>
      <c r="O180" s="1143"/>
      <c r="P180" s="1143"/>
      <c r="Q180" s="1143"/>
      <c r="R180" s="1143"/>
      <c r="S180" s="1143"/>
      <c r="T180" s="1143"/>
    </row>
    <row r="181" spans="1:20">
      <c r="A181" s="1143"/>
      <c r="B181" s="1143"/>
      <c r="C181" s="1143"/>
      <c r="D181" s="1143"/>
      <c r="E181" s="1143"/>
      <c r="F181" s="1143"/>
      <c r="G181" s="1143"/>
      <c r="H181" s="1143"/>
      <c r="I181" s="1143"/>
      <c r="J181" s="1143"/>
      <c r="K181" s="1144"/>
      <c r="L181" s="1145"/>
      <c r="M181" s="1143"/>
      <c r="N181" s="1143"/>
      <c r="O181" s="1143"/>
      <c r="P181" s="1143"/>
      <c r="Q181" s="1143"/>
      <c r="R181" s="1143"/>
      <c r="S181" s="1143"/>
      <c r="T181" s="1143"/>
    </row>
    <row r="182" spans="1:20">
      <c r="A182" s="1143"/>
      <c r="B182" s="1143"/>
      <c r="C182" s="1143"/>
      <c r="D182" s="1143"/>
      <c r="E182" s="1143"/>
      <c r="F182" s="1143"/>
      <c r="G182" s="1143"/>
      <c r="H182" s="1143"/>
      <c r="I182" s="1143"/>
      <c r="J182" s="1143"/>
      <c r="K182" s="1144"/>
      <c r="L182" s="1145"/>
      <c r="M182" s="1143"/>
      <c r="N182" s="1143"/>
      <c r="O182" s="1143"/>
      <c r="P182" s="1143"/>
      <c r="Q182" s="1143"/>
      <c r="R182" s="1143"/>
      <c r="S182" s="1143"/>
      <c r="T182" s="1143"/>
    </row>
    <row r="183" spans="1:20">
      <c r="A183" s="1143"/>
      <c r="B183" s="1143"/>
      <c r="C183" s="1143"/>
      <c r="D183" s="1143"/>
      <c r="E183" s="1143"/>
      <c r="F183" s="1143"/>
      <c r="G183" s="1143"/>
      <c r="H183" s="1143"/>
      <c r="I183" s="1143"/>
      <c r="J183" s="1143"/>
      <c r="K183" s="1144"/>
      <c r="L183" s="1145"/>
      <c r="M183" s="1143"/>
      <c r="N183" s="1143"/>
      <c r="O183" s="1143"/>
      <c r="P183" s="1143"/>
      <c r="Q183" s="1143"/>
      <c r="R183" s="1143"/>
      <c r="S183" s="1143"/>
      <c r="T183" s="1143"/>
    </row>
    <row r="184" spans="1:20">
      <c r="A184" s="1143"/>
      <c r="B184" s="1143"/>
      <c r="C184" s="1143"/>
      <c r="D184" s="1143"/>
      <c r="E184" s="1143"/>
      <c r="F184" s="1143"/>
      <c r="G184" s="1143"/>
      <c r="H184" s="1143"/>
      <c r="I184" s="1143"/>
      <c r="J184" s="1143"/>
      <c r="K184" s="1144"/>
      <c r="L184" s="1145"/>
      <c r="M184" s="1143"/>
      <c r="N184" s="1143"/>
      <c r="O184" s="1143"/>
      <c r="P184" s="1143"/>
      <c r="Q184" s="1143"/>
      <c r="R184" s="1143"/>
      <c r="S184" s="1143"/>
      <c r="T184" s="1143"/>
    </row>
    <row r="185" spans="1:20">
      <c r="A185" s="1143"/>
      <c r="B185" s="1143"/>
      <c r="C185" s="1143"/>
      <c r="D185" s="1143"/>
      <c r="E185" s="1143"/>
      <c r="F185" s="1143"/>
      <c r="G185" s="1143"/>
      <c r="H185" s="1143"/>
      <c r="I185" s="1143"/>
      <c r="J185" s="1143"/>
      <c r="K185" s="1144"/>
      <c r="L185" s="1145"/>
      <c r="M185" s="1143"/>
      <c r="N185" s="1143"/>
      <c r="O185" s="1143"/>
      <c r="P185" s="1143"/>
      <c r="Q185" s="1143"/>
      <c r="R185" s="1143"/>
      <c r="S185" s="1143"/>
      <c r="T185" s="1143"/>
    </row>
    <row r="186" spans="1:20">
      <c r="A186" s="1143"/>
      <c r="B186" s="1143"/>
      <c r="C186" s="1143"/>
      <c r="D186" s="1143"/>
      <c r="E186" s="1143"/>
      <c r="F186" s="1143"/>
      <c r="G186" s="1143"/>
      <c r="H186" s="1143"/>
      <c r="I186" s="1143"/>
      <c r="J186" s="1143"/>
      <c r="K186" s="1144"/>
      <c r="L186" s="1145"/>
      <c r="M186" s="1143"/>
      <c r="N186" s="1143"/>
      <c r="O186" s="1143"/>
      <c r="P186" s="1143"/>
      <c r="Q186" s="1143"/>
      <c r="R186" s="1143"/>
      <c r="S186" s="1143"/>
      <c r="T186" s="1143"/>
    </row>
    <row r="187" spans="1:20">
      <c r="A187" s="1143"/>
      <c r="B187" s="1143"/>
      <c r="C187" s="1143"/>
      <c r="D187" s="1143"/>
      <c r="E187" s="1143"/>
      <c r="F187" s="1143"/>
      <c r="G187" s="1143"/>
      <c r="H187" s="1143"/>
      <c r="I187" s="1143"/>
      <c r="J187" s="1143"/>
      <c r="K187" s="1144"/>
      <c r="L187" s="1145"/>
      <c r="M187" s="1143"/>
      <c r="N187" s="1143"/>
      <c r="O187" s="1143"/>
      <c r="P187" s="1143"/>
      <c r="Q187" s="1143"/>
      <c r="R187" s="1143"/>
      <c r="S187" s="1143"/>
      <c r="T187" s="1143"/>
    </row>
    <row r="188" spans="1:20">
      <c r="A188" s="1143"/>
      <c r="B188" s="1143"/>
      <c r="C188" s="1143"/>
      <c r="D188" s="1143"/>
      <c r="E188" s="1143"/>
      <c r="F188" s="1143"/>
      <c r="G188" s="1143"/>
      <c r="H188" s="1143"/>
      <c r="I188" s="1143"/>
      <c r="J188" s="1143"/>
      <c r="K188" s="1144"/>
      <c r="L188" s="1145"/>
      <c r="M188" s="1143"/>
      <c r="N188" s="1143"/>
      <c r="O188" s="1143"/>
      <c r="P188" s="1143"/>
      <c r="Q188" s="1143"/>
      <c r="R188" s="1143"/>
      <c r="S188" s="1143"/>
      <c r="T188" s="1143"/>
    </row>
    <row r="189" spans="1:20">
      <c r="A189" s="1143"/>
      <c r="B189" s="1143"/>
      <c r="C189" s="1143"/>
      <c r="D189" s="1143"/>
      <c r="E189" s="1143"/>
      <c r="F189" s="1143"/>
      <c r="G189" s="1143"/>
      <c r="H189" s="1143"/>
      <c r="I189" s="1143"/>
      <c r="J189" s="1143"/>
      <c r="K189" s="1144"/>
      <c r="L189" s="1145"/>
      <c r="M189" s="1143"/>
      <c r="N189" s="1143"/>
      <c r="O189" s="1143"/>
      <c r="P189" s="1143"/>
      <c r="Q189" s="1143"/>
      <c r="R189" s="1143"/>
      <c r="S189" s="1143"/>
      <c r="T189" s="1143"/>
    </row>
    <row r="190" spans="1:20">
      <c r="A190" s="1143"/>
      <c r="B190" s="1143"/>
      <c r="C190" s="1143"/>
      <c r="D190" s="1143"/>
      <c r="E190" s="1143"/>
      <c r="F190" s="1143"/>
      <c r="G190" s="1143"/>
      <c r="H190" s="1143"/>
      <c r="I190" s="1143"/>
      <c r="J190" s="1143"/>
      <c r="K190" s="1144"/>
      <c r="L190" s="1145"/>
      <c r="M190" s="1143"/>
      <c r="N190" s="1143"/>
      <c r="O190" s="1143"/>
      <c r="P190" s="1143"/>
      <c r="Q190" s="1143"/>
      <c r="R190" s="1143"/>
      <c r="S190" s="1143"/>
      <c r="T190" s="1143"/>
    </row>
    <row r="191" spans="1:20">
      <c r="A191" s="1143"/>
      <c r="B191" s="1143"/>
      <c r="C191" s="1143"/>
      <c r="D191" s="1143"/>
      <c r="E191" s="1143"/>
      <c r="F191" s="1143"/>
      <c r="G191" s="1143"/>
      <c r="H191" s="1143"/>
      <c r="I191" s="1143"/>
      <c r="J191" s="1143"/>
      <c r="K191" s="1144"/>
      <c r="L191" s="1145"/>
      <c r="M191" s="1143"/>
      <c r="N191" s="1143"/>
      <c r="O191" s="1143"/>
      <c r="P191" s="1143"/>
      <c r="Q191" s="1143"/>
      <c r="R191" s="1143"/>
      <c r="S191" s="1143"/>
      <c r="T191" s="1143"/>
    </row>
    <row r="192" spans="1:20">
      <c r="A192" s="1143"/>
      <c r="B192" s="1143"/>
      <c r="C192" s="1143"/>
      <c r="D192" s="1143"/>
      <c r="E192" s="1143"/>
      <c r="F192" s="1143"/>
      <c r="G192" s="1143"/>
      <c r="H192" s="1143"/>
      <c r="I192" s="1143"/>
      <c r="J192" s="1143"/>
      <c r="K192" s="1144"/>
      <c r="L192" s="1145"/>
      <c r="M192" s="1143"/>
      <c r="N192" s="1143"/>
      <c r="O192" s="1143"/>
      <c r="P192" s="1143"/>
      <c r="Q192" s="1143"/>
      <c r="R192" s="1143"/>
      <c r="S192" s="1143"/>
      <c r="T192" s="1143"/>
    </row>
    <row r="193" spans="1:20">
      <c r="A193" s="1143"/>
      <c r="B193" s="1143"/>
      <c r="C193" s="1143"/>
      <c r="D193" s="1143"/>
      <c r="E193" s="1143"/>
      <c r="F193" s="1143"/>
      <c r="G193" s="1143"/>
      <c r="H193" s="1143"/>
      <c r="I193" s="1143"/>
      <c r="J193" s="1143"/>
      <c r="K193" s="1144"/>
      <c r="L193" s="1145"/>
      <c r="M193" s="1143"/>
      <c r="N193" s="1143"/>
      <c r="O193" s="1143"/>
      <c r="P193" s="1143"/>
      <c r="Q193" s="1143"/>
      <c r="R193" s="1143"/>
      <c r="S193" s="1143"/>
      <c r="T193" s="1143"/>
    </row>
    <row r="194" spans="1:20">
      <c r="A194" s="1143"/>
      <c r="B194" s="1143"/>
      <c r="C194" s="1143"/>
      <c r="D194" s="1143"/>
      <c r="E194" s="1143"/>
      <c r="F194" s="1143"/>
      <c r="G194" s="1143"/>
      <c r="H194" s="1143"/>
      <c r="I194" s="1143"/>
      <c r="J194" s="1143"/>
      <c r="K194" s="1144"/>
      <c r="L194" s="1145"/>
      <c r="M194" s="1143"/>
      <c r="N194" s="1143"/>
      <c r="O194" s="1143"/>
      <c r="P194" s="1143"/>
      <c r="Q194" s="1143"/>
      <c r="R194" s="1143"/>
      <c r="S194" s="1143"/>
      <c r="T194" s="1143"/>
    </row>
    <row r="195" spans="1:20">
      <c r="A195" s="1143"/>
      <c r="B195" s="1143"/>
      <c r="C195" s="1143"/>
      <c r="D195" s="1143"/>
      <c r="E195" s="1143"/>
      <c r="F195" s="1143"/>
      <c r="G195" s="1143"/>
      <c r="H195" s="1143"/>
      <c r="I195" s="1143"/>
      <c r="J195" s="1143"/>
      <c r="K195" s="1144"/>
      <c r="L195" s="1145"/>
      <c r="M195" s="1143"/>
      <c r="N195" s="1143"/>
      <c r="O195" s="1143"/>
      <c r="P195" s="1143"/>
      <c r="Q195" s="1143"/>
      <c r="R195" s="1143"/>
      <c r="S195" s="1143"/>
      <c r="T195" s="1143"/>
    </row>
    <row r="196" spans="1:20">
      <c r="A196" s="1143"/>
      <c r="B196" s="1143"/>
      <c r="C196" s="1143"/>
      <c r="D196" s="1143"/>
      <c r="E196" s="1143"/>
      <c r="F196" s="1143"/>
      <c r="G196" s="1143"/>
      <c r="H196" s="1143"/>
      <c r="I196" s="1143"/>
      <c r="J196" s="1143"/>
      <c r="K196" s="1144"/>
      <c r="L196" s="1145"/>
      <c r="M196" s="1143"/>
      <c r="N196" s="1143"/>
      <c r="O196" s="1143"/>
      <c r="P196" s="1143"/>
      <c r="Q196" s="1143"/>
      <c r="R196" s="1143"/>
      <c r="S196" s="1143"/>
      <c r="T196" s="1143"/>
    </row>
    <row r="197" spans="1:20">
      <c r="A197" s="1143"/>
      <c r="B197" s="1143"/>
      <c r="C197" s="1143"/>
      <c r="D197" s="1143"/>
      <c r="E197" s="1143"/>
      <c r="F197" s="1143"/>
      <c r="G197" s="1143"/>
      <c r="H197" s="1143"/>
      <c r="I197" s="1143"/>
      <c r="J197" s="1143"/>
      <c r="K197" s="1144"/>
      <c r="L197" s="1145"/>
      <c r="M197" s="1143"/>
      <c r="N197" s="1143"/>
      <c r="O197" s="1143"/>
      <c r="P197" s="1143"/>
      <c r="Q197" s="1143"/>
      <c r="R197" s="1143"/>
      <c r="S197" s="1143"/>
      <c r="T197" s="1143"/>
    </row>
    <row r="198" spans="1:20">
      <c r="A198" s="1143"/>
      <c r="B198" s="1143"/>
      <c r="C198" s="1143"/>
      <c r="D198" s="1143"/>
      <c r="E198" s="1143"/>
      <c r="F198" s="1143"/>
      <c r="G198" s="1143"/>
      <c r="H198" s="1143"/>
      <c r="I198" s="1143"/>
      <c r="J198" s="1143"/>
      <c r="K198" s="1144"/>
      <c r="L198" s="1145"/>
      <c r="M198" s="1143"/>
      <c r="N198" s="1143"/>
      <c r="O198" s="1143"/>
      <c r="P198" s="1143"/>
      <c r="Q198" s="1143"/>
      <c r="R198" s="1143"/>
      <c r="S198" s="1143"/>
      <c r="T198" s="1143"/>
    </row>
    <row r="199" spans="1:20">
      <c r="A199" s="1143"/>
      <c r="B199" s="1143"/>
      <c r="C199" s="1143"/>
      <c r="D199" s="1143"/>
      <c r="E199" s="1143"/>
      <c r="F199" s="1143"/>
      <c r="G199" s="1143"/>
      <c r="H199" s="1143"/>
      <c r="I199" s="1143"/>
      <c r="J199" s="1143"/>
      <c r="K199" s="1144"/>
      <c r="L199" s="1145"/>
      <c r="M199" s="1143"/>
      <c r="N199" s="1143"/>
      <c r="O199" s="1143"/>
      <c r="P199" s="1143"/>
      <c r="Q199" s="1143"/>
      <c r="R199" s="1143"/>
      <c r="S199" s="1143"/>
      <c r="T199" s="1143"/>
    </row>
    <row r="200" spans="1:20">
      <c r="A200" s="1143"/>
      <c r="B200" s="1143"/>
      <c r="C200" s="1143"/>
      <c r="D200" s="1143"/>
      <c r="E200" s="1143"/>
      <c r="F200" s="1143"/>
      <c r="G200" s="1143"/>
      <c r="H200" s="1143"/>
      <c r="I200" s="1143"/>
      <c r="J200" s="1143"/>
      <c r="K200" s="1144"/>
      <c r="L200" s="1145"/>
      <c r="M200" s="1143"/>
      <c r="N200" s="1143"/>
      <c r="O200" s="1143"/>
      <c r="P200" s="1143"/>
      <c r="Q200" s="1143"/>
      <c r="R200" s="1143"/>
      <c r="S200" s="1143"/>
      <c r="T200" s="1143"/>
    </row>
    <row r="201" spans="1:20">
      <c r="A201" s="1143"/>
      <c r="B201" s="1143"/>
      <c r="C201" s="1143"/>
      <c r="D201" s="1143"/>
      <c r="E201" s="1143"/>
      <c r="F201" s="1143"/>
      <c r="G201" s="1143"/>
      <c r="H201" s="1143"/>
      <c r="I201" s="1143"/>
      <c r="J201" s="1143"/>
      <c r="K201" s="1144"/>
      <c r="L201" s="1145"/>
      <c r="M201" s="1143"/>
      <c r="N201" s="1143"/>
      <c r="O201" s="1143"/>
      <c r="P201" s="1143"/>
      <c r="Q201" s="1143"/>
      <c r="R201" s="1143"/>
      <c r="S201" s="1143"/>
      <c r="T201" s="1143"/>
    </row>
    <row r="202" spans="1:20">
      <c r="A202" s="1143"/>
      <c r="B202" s="1143"/>
      <c r="C202" s="1143"/>
      <c r="D202" s="1143"/>
      <c r="E202" s="1143"/>
      <c r="F202" s="1143"/>
      <c r="G202" s="1143"/>
      <c r="H202" s="1143"/>
      <c r="I202" s="1143"/>
      <c r="J202" s="1143"/>
      <c r="K202" s="1144"/>
      <c r="L202" s="1145"/>
      <c r="M202" s="1143"/>
      <c r="N202" s="1143"/>
      <c r="O202" s="1143"/>
      <c r="P202" s="1143"/>
      <c r="Q202" s="1143"/>
      <c r="R202" s="1143"/>
      <c r="S202" s="1143"/>
      <c r="T202" s="1143"/>
    </row>
    <row r="203" spans="1:20">
      <c r="A203" s="1143"/>
      <c r="B203" s="1143"/>
      <c r="C203" s="1143"/>
      <c r="D203" s="1143"/>
      <c r="E203" s="1143"/>
      <c r="F203" s="1143"/>
      <c r="G203" s="1143"/>
      <c r="H203" s="1143"/>
      <c r="I203" s="1143"/>
      <c r="J203" s="1143"/>
      <c r="K203" s="1144"/>
      <c r="L203" s="1145"/>
      <c r="M203" s="1143"/>
      <c r="N203" s="1143"/>
      <c r="O203" s="1143"/>
      <c r="P203" s="1143"/>
      <c r="Q203" s="1143"/>
      <c r="R203" s="1143"/>
      <c r="S203" s="1143"/>
      <c r="T203" s="1143"/>
    </row>
    <row r="204" spans="1:20">
      <c r="A204" s="1143"/>
      <c r="B204" s="1143"/>
      <c r="C204" s="1143"/>
      <c r="D204" s="1143"/>
      <c r="E204" s="1143"/>
      <c r="F204" s="1143"/>
      <c r="G204" s="1143"/>
      <c r="H204" s="1143"/>
      <c r="I204" s="1143"/>
      <c r="J204" s="1143"/>
      <c r="K204" s="1144"/>
      <c r="L204" s="1145"/>
      <c r="M204" s="1143"/>
      <c r="N204" s="1143"/>
      <c r="O204" s="1143"/>
      <c r="P204" s="1143"/>
      <c r="Q204" s="1143"/>
      <c r="R204" s="1143"/>
      <c r="S204" s="1143"/>
      <c r="T204" s="1143"/>
    </row>
    <row r="205" spans="1:20">
      <c r="A205" s="1143"/>
      <c r="B205" s="1143"/>
      <c r="C205" s="1143"/>
      <c r="D205" s="1143"/>
      <c r="E205" s="1143"/>
      <c r="F205" s="1143"/>
      <c r="G205" s="1143"/>
      <c r="H205" s="1143"/>
      <c r="I205" s="1143"/>
      <c r="J205" s="1143"/>
      <c r="K205" s="1144"/>
      <c r="L205" s="1145"/>
      <c r="M205" s="1143"/>
      <c r="N205" s="1143"/>
      <c r="O205" s="1143"/>
      <c r="P205" s="1143"/>
      <c r="Q205" s="1143"/>
      <c r="R205" s="1143"/>
      <c r="S205" s="1143"/>
      <c r="T205" s="1143"/>
    </row>
    <row r="206" spans="1:20">
      <c r="A206" s="1143"/>
      <c r="B206" s="1143"/>
      <c r="C206" s="1143"/>
      <c r="D206" s="1143"/>
      <c r="E206" s="1143"/>
      <c r="F206" s="1143"/>
      <c r="G206" s="1143"/>
      <c r="H206" s="1143"/>
      <c r="I206" s="1143"/>
      <c r="J206" s="1143"/>
      <c r="K206" s="1144"/>
      <c r="L206" s="1145"/>
      <c r="M206" s="1143"/>
      <c r="N206" s="1143"/>
      <c r="O206" s="1143"/>
      <c r="P206" s="1143"/>
      <c r="Q206" s="1143"/>
      <c r="R206" s="1143"/>
      <c r="S206" s="1143"/>
      <c r="T206" s="1143"/>
    </row>
    <row r="207" spans="1:20">
      <c r="A207" s="1143"/>
      <c r="B207" s="1143"/>
      <c r="C207" s="1143"/>
      <c r="D207" s="1143"/>
      <c r="E207" s="1143"/>
      <c r="F207" s="1143"/>
      <c r="G207" s="1143"/>
      <c r="H207" s="1143"/>
      <c r="I207" s="1143"/>
      <c r="J207" s="1143"/>
      <c r="K207" s="1144"/>
      <c r="L207" s="1145"/>
      <c r="M207" s="1143"/>
      <c r="N207" s="1143"/>
      <c r="O207" s="1143"/>
      <c r="P207" s="1143"/>
      <c r="Q207" s="1143"/>
      <c r="R207" s="1143"/>
      <c r="S207" s="1143"/>
      <c r="T207" s="1143"/>
    </row>
    <row r="208" spans="1:20">
      <c r="A208" s="1143"/>
      <c r="B208" s="1143"/>
      <c r="C208" s="1143"/>
      <c r="D208" s="1143"/>
      <c r="E208" s="1143"/>
      <c r="F208" s="1143"/>
      <c r="G208" s="1143"/>
      <c r="H208" s="1143"/>
      <c r="I208" s="1143"/>
      <c r="J208" s="1143"/>
      <c r="K208" s="1144"/>
      <c r="L208" s="1145"/>
      <c r="M208" s="1143"/>
      <c r="N208" s="1143"/>
      <c r="O208" s="1143"/>
      <c r="P208" s="1143"/>
      <c r="Q208" s="1143"/>
      <c r="R208" s="1143"/>
      <c r="S208" s="1143"/>
      <c r="T208" s="1143"/>
    </row>
    <row r="209" spans="1:20">
      <c r="A209" s="1143"/>
      <c r="B209" s="1143"/>
      <c r="C209" s="1143"/>
      <c r="D209" s="1143"/>
      <c r="E209" s="1143"/>
      <c r="F209" s="1143"/>
      <c r="G209" s="1143"/>
      <c r="H209" s="1143"/>
      <c r="I209" s="1143"/>
      <c r="J209" s="1143"/>
      <c r="K209" s="1144"/>
      <c r="L209" s="1145"/>
      <c r="M209" s="1143"/>
      <c r="N209" s="1143"/>
      <c r="O209" s="1143"/>
      <c r="P209" s="1143"/>
      <c r="Q209" s="1143"/>
      <c r="R209" s="1143"/>
      <c r="S209" s="1143"/>
      <c r="T209" s="1143"/>
    </row>
    <row r="210" spans="1:20">
      <c r="A210" s="1143"/>
      <c r="B210" s="1143"/>
      <c r="C210" s="1143"/>
      <c r="D210" s="1143"/>
      <c r="E210" s="1143"/>
      <c r="F210" s="1143"/>
      <c r="G210" s="1143"/>
      <c r="H210" s="1143"/>
      <c r="I210" s="1143"/>
      <c r="J210" s="1143"/>
      <c r="K210" s="1144"/>
      <c r="L210" s="1145"/>
      <c r="M210" s="1143"/>
      <c r="N210" s="1143"/>
      <c r="O210" s="1143"/>
      <c r="P210" s="1143"/>
      <c r="Q210" s="1143"/>
      <c r="R210" s="1143"/>
      <c r="S210" s="1143"/>
      <c r="T210" s="1143"/>
    </row>
    <row r="211" spans="1:20">
      <c r="A211" s="1143"/>
      <c r="B211" s="1143"/>
      <c r="C211" s="1143"/>
      <c r="D211" s="1143"/>
      <c r="E211" s="1143"/>
      <c r="F211" s="1143"/>
      <c r="G211" s="1143"/>
      <c r="H211" s="1143"/>
      <c r="I211" s="1143"/>
      <c r="J211" s="1143"/>
      <c r="K211" s="1144"/>
      <c r="L211" s="1145"/>
      <c r="M211" s="1143"/>
      <c r="N211" s="1143"/>
      <c r="O211" s="1143"/>
      <c r="P211" s="1143"/>
      <c r="Q211" s="1143"/>
      <c r="R211" s="1143"/>
      <c r="S211" s="1143"/>
      <c r="T211" s="1143"/>
    </row>
    <row r="212" spans="1:20">
      <c r="A212" s="1143"/>
      <c r="B212" s="1143"/>
      <c r="C212" s="1143"/>
      <c r="D212" s="1143"/>
      <c r="E212" s="1143"/>
      <c r="F212" s="1143"/>
      <c r="G212" s="1143"/>
      <c r="H212" s="1143"/>
      <c r="I212" s="1143"/>
      <c r="J212" s="1143"/>
      <c r="K212" s="1144"/>
      <c r="L212" s="1145"/>
      <c r="M212" s="1143"/>
      <c r="N212" s="1143"/>
      <c r="O212" s="1143"/>
      <c r="P212" s="1143"/>
      <c r="Q212" s="1143"/>
      <c r="R212" s="1143"/>
      <c r="S212" s="1143"/>
      <c r="T212" s="1143"/>
    </row>
    <row r="213" spans="1:20">
      <c r="A213" s="1143"/>
      <c r="B213" s="1143"/>
      <c r="C213" s="1143"/>
      <c r="D213" s="1143"/>
      <c r="E213" s="1143"/>
      <c r="F213" s="1143"/>
      <c r="G213" s="1143"/>
      <c r="H213" s="1143"/>
      <c r="I213" s="1143"/>
      <c r="J213" s="1143"/>
      <c r="K213" s="1144"/>
      <c r="L213" s="1145"/>
      <c r="M213" s="1143"/>
      <c r="N213" s="1143"/>
      <c r="O213" s="1143"/>
      <c r="P213" s="1143"/>
      <c r="Q213" s="1143"/>
      <c r="R213" s="1143"/>
      <c r="S213" s="1143"/>
      <c r="T213" s="1143"/>
    </row>
    <row r="214" spans="1:20">
      <c r="A214" s="1143"/>
      <c r="B214" s="1143"/>
      <c r="C214" s="1143"/>
      <c r="D214" s="1143"/>
      <c r="E214" s="1143"/>
      <c r="F214" s="1143"/>
      <c r="G214" s="1143"/>
      <c r="H214" s="1143"/>
      <c r="I214" s="1143"/>
      <c r="J214" s="1143"/>
      <c r="K214" s="1144"/>
      <c r="L214" s="1145"/>
      <c r="M214" s="1143"/>
      <c r="N214" s="1143"/>
      <c r="O214" s="1143"/>
      <c r="P214" s="1143"/>
      <c r="Q214" s="1143"/>
      <c r="R214" s="1143"/>
      <c r="S214" s="1143"/>
      <c r="T214" s="1143"/>
    </row>
    <row r="215" spans="1:20">
      <c r="A215" s="1143"/>
      <c r="B215" s="1143"/>
      <c r="C215" s="1143"/>
      <c r="D215" s="1143"/>
      <c r="E215" s="1143"/>
      <c r="F215" s="1143"/>
      <c r="G215" s="1143"/>
      <c r="H215" s="1143"/>
      <c r="I215" s="1143"/>
      <c r="J215" s="1143"/>
      <c r="K215" s="1144"/>
      <c r="L215" s="1145"/>
      <c r="M215" s="1143"/>
      <c r="N215" s="1143"/>
      <c r="O215" s="1143"/>
      <c r="P215" s="1143"/>
      <c r="Q215" s="1143"/>
      <c r="R215" s="1143"/>
      <c r="S215" s="1143"/>
      <c r="T215" s="1143"/>
    </row>
    <row r="216" spans="1:20">
      <c r="A216" s="1143"/>
      <c r="B216" s="1143"/>
      <c r="C216" s="1143"/>
      <c r="D216" s="1143"/>
      <c r="E216" s="1143"/>
      <c r="F216" s="1143"/>
      <c r="G216" s="1143"/>
      <c r="H216" s="1143"/>
      <c r="I216" s="1143"/>
      <c r="J216" s="1143"/>
      <c r="K216" s="1144"/>
      <c r="L216" s="1145"/>
      <c r="M216" s="1143"/>
      <c r="N216" s="1143"/>
      <c r="O216" s="1143"/>
      <c r="P216" s="1143"/>
      <c r="Q216" s="1143"/>
      <c r="R216" s="1143"/>
      <c r="S216" s="1143"/>
      <c r="T216" s="1143"/>
    </row>
    <row r="217" spans="1:20">
      <c r="A217" s="1143"/>
      <c r="B217" s="1143"/>
      <c r="C217" s="1143"/>
      <c r="D217" s="1143"/>
      <c r="E217" s="1143"/>
      <c r="F217" s="1143"/>
      <c r="G217" s="1143"/>
      <c r="H217" s="1143"/>
      <c r="I217" s="1143"/>
      <c r="J217" s="1143"/>
      <c r="K217" s="1144"/>
      <c r="L217" s="1145"/>
      <c r="M217" s="1143"/>
      <c r="N217" s="1143"/>
      <c r="O217" s="1143"/>
      <c r="P217" s="1143"/>
      <c r="Q217" s="1143"/>
      <c r="R217" s="1143"/>
      <c r="S217" s="1143"/>
      <c r="T217" s="1143"/>
    </row>
    <row r="218" spans="1:20">
      <c r="A218" s="1143"/>
      <c r="B218" s="1143"/>
      <c r="C218" s="1143"/>
      <c r="D218" s="1143"/>
      <c r="E218" s="1143"/>
      <c r="F218" s="1143"/>
      <c r="G218" s="1143"/>
      <c r="H218" s="1143"/>
      <c r="I218" s="1143"/>
      <c r="J218" s="1143"/>
      <c r="K218" s="1144"/>
      <c r="L218" s="1145"/>
      <c r="M218" s="1143"/>
      <c r="N218" s="1143"/>
      <c r="O218" s="1143"/>
      <c r="P218" s="1143"/>
      <c r="Q218" s="1143"/>
      <c r="R218" s="1143"/>
      <c r="S218" s="1143"/>
      <c r="T218" s="1143"/>
    </row>
    <row r="219" spans="1:20">
      <c r="A219" s="1143"/>
      <c r="B219" s="1143"/>
      <c r="C219" s="1143"/>
      <c r="D219" s="1143"/>
      <c r="E219" s="1143"/>
      <c r="F219" s="1143"/>
      <c r="G219" s="1143"/>
      <c r="H219" s="1143"/>
      <c r="I219" s="1143"/>
      <c r="J219" s="1143"/>
      <c r="K219" s="1144"/>
      <c r="L219" s="1145"/>
      <c r="M219" s="1143"/>
      <c r="N219" s="1143"/>
      <c r="O219" s="1143"/>
      <c r="P219" s="1143"/>
      <c r="Q219" s="1143"/>
      <c r="R219" s="1143"/>
      <c r="S219" s="1143"/>
      <c r="T219" s="1143"/>
    </row>
    <row r="220" spans="1:20">
      <c r="A220" s="1143"/>
      <c r="B220" s="1143"/>
      <c r="C220" s="1143"/>
      <c r="D220" s="1143"/>
      <c r="E220" s="1143"/>
      <c r="F220" s="1143"/>
      <c r="G220" s="1143"/>
      <c r="H220" s="1143"/>
      <c r="I220" s="1143"/>
      <c r="J220" s="1143"/>
      <c r="K220" s="1144"/>
      <c r="L220" s="1145"/>
      <c r="M220" s="1143"/>
      <c r="N220" s="1143"/>
      <c r="O220" s="1143"/>
      <c r="P220" s="1143"/>
      <c r="Q220" s="1143"/>
      <c r="R220" s="1143"/>
      <c r="S220" s="1143"/>
      <c r="T220" s="1143"/>
    </row>
    <row r="221" spans="1:20">
      <c r="A221" s="1143"/>
      <c r="B221" s="1143"/>
      <c r="C221" s="1143"/>
      <c r="D221" s="1143"/>
      <c r="E221" s="1143"/>
      <c r="F221" s="1143"/>
      <c r="G221" s="1143"/>
      <c r="H221" s="1143"/>
      <c r="I221" s="1143"/>
      <c r="J221" s="1143"/>
      <c r="K221" s="1144"/>
      <c r="L221" s="1145"/>
      <c r="M221" s="1143"/>
      <c r="N221" s="1143"/>
      <c r="O221" s="1143"/>
      <c r="P221" s="1143"/>
      <c r="Q221" s="1143"/>
      <c r="R221" s="1143"/>
      <c r="S221" s="1143"/>
      <c r="T221" s="1143"/>
    </row>
    <row r="222" spans="1:20">
      <c r="A222" s="1143"/>
      <c r="B222" s="1143"/>
      <c r="C222" s="1143"/>
      <c r="D222" s="1143"/>
      <c r="E222" s="1143"/>
      <c r="F222" s="1143"/>
      <c r="G222" s="1143"/>
      <c r="H222" s="1143"/>
      <c r="I222" s="1143"/>
      <c r="J222" s="1143"/>
      <c r="K222" s="1144"/>
      <c r="L222" s="1145"/>
      <c r="M222" s="1143"/>
      <c r="N222" s="1143"/>
      <c r="O222" s="1143"/>
      <c r="P222" s="1143"/>
      <c r="Q222" s="1143"/>
      <c r="R222" s="1143"/>
      <c r="S222" s="1143"/>
      <c r="T222" s="1143"/>
    </row>
    <row r="223" spans="1:20">
      <c r="A223" s="1143"/>
      <c r="B223" s="1143"/>
      <c r="C223" s="1143"/>
      <c r="D223" s="1143"/>
      <c r="E223" s="1143"/>
      <c r="F223" s="1143"/>
      <c r="G223" s="1143"/>
      <c r="H223" s="1143"/>
      <c r="I223" s="1143"/>
      <c r="J223" s="1143"/>
      <c r="K223" s="1144"/>
      <c r="L223" s="1145"/>
      <c r="M223" s="1143"/>
      <c r="N223" s="1143"/>
      <c r="O223" s="1143"/>
      <c r="P223" s="1143"/>
      <c r="Q223" s="1143"/>
      <c r="R223" s="1143"/>
      <c r="S223" s="1143"/>
      <c r="T223" s="1143"/>
    </row>
    <row r="224" spans="1:20">
      <c r="A224" s="1143"/>
      <c r="B224" s="1143"/>
      <c r="C224" s="1143"/>
      <c r="D224" s="1143"/>
      <c r="E224" s="1143"/>
      <c r="F224" s="1143"/>
      <c r="G224" s="1143"/>
      <c r="H224" s="1143"/>
      <c r="I224" s="1143"/>
      <c r="J224" s="1143"/>
      <c r="K224" s="1144"/>
      <c r="L224" s="1145"/>
      <c r="M224" s="1143"/>
      <c r="N224" s="1143"/>
      <c r="O224" s="1143"/>
      <c r="P224" s="1143"/>
      <c r="Q224" s="1143"/>
      <c r="R224" s="1143"/>
      <c r="S224" s="1143"/>
      <c r="T224" s="1143"/>
    </row>
    <row r="225" spans="1:20">
      <c r="A225" s="1143"/>
      <c r="B225" s="1143"/>
      <c r="C225" s="1143"/>
      <c r="D225" s="1143"/>
      <c r="E225" s="1143"/>
      <c r="F225" s="1143"/>
      <c r="G225" s="1143"/>
      <c r="H225" s="1143"/>
      <c r="I225" s="1143"/>
      <c r="J225" s="1143"/>
      <c r="K225" s="1144"/>
      <c r="L225" s="1145"/>
      <c r="M225" s="1143"/>
      <c r="N225" s="1143"/>
      <c r="O225" s="1143"/>
      <c r="P225" s="1143"/>
      <c r="Q225" s="1143"/>
      <c r="R225" s="1143"/>
      <c r="S225" s="1143"/>
      <c r="T225" s="1143"/>
    </row>
    <row r="226" spans="1:20">
      <c r="A226" s="1143"/>
      <c r="B226" s="1143"/>
      <c r="C226" s="1143"/>
      <c r="D226" s="1143"/>
      <c r="E226" s="1143"/>
      <c r="F226" s="1143"/>
      <c r="G226" s="1143"/>
      <c r="H226" s="1143"/>
      <c r="I226" s="1143"/>
      <c r="J226" s="1143"/>
      <c r="K226" s="1144"/>
      <c r="L226" s="1145"/>
      <c r="M226" s="1143"/>
      <c r="N226" s="1143"/>
      <c r="O226" s="1143"/>
      <c r="P226" s="1143"/>
      <c r="Q226" s="1143"/>
      <c r="R226" s="1143"/>
      <c r="S226" s="1143"/>
      <c r="T226" s="1143"/>
    </row>
    <row r="227" spans="1:20">
      <c r="A227" s="1143"/>
      <c r="B227" s="1143"/>
      <c r="C227" s="1143"/>
      <c r="D227" s="1143"/>
      <c r="E227" s="1143"/>
      <c r="F227" s="1143"/>
      <c r="G227" s="1143"/>
      <c r="H227" s="1143"/>
      <c r="I227" s="1143"/>
      <c r="J227" s="1143"/>
      <c r="K227" s="1144"/>
      <c r="L227" s="1145"/>
      <c r="M227" s="1143"/>
      <c r="N227" s="1143"/>
      <c r="O227" s="1143"/>
      <c r="P227" s="1143"/>
      <c r="Q227" s="1143"/>
      <c r="R227" s="1143"/>
      <c r="S227" s="1143"/>
      <c r="T227" s="1143"/>
    </row>
    <row r="228" spans="1:20">
      <c r="A228" s="1143"/>
      <c r="B228" s="1143"/>
      <c r="C228" s="1143"/>
      <c r="D228" s="1143"/>
      <c r="E228" s="1143"/>
      <c r="F228" s="1143"/>
      <c r="G228" s="1143"/>
      <c r="H228" s="1143"/>
      <c r="I228" s="1143"/>
      <c r="J228" s="1143"/>
      <c r="K228" s="1144"/>
      <c r="L228" s="1145"/>
      <c r="M228" s="1143"/>
      <c r="N228" s="1143"/>
      <c r="O228" s="1143"/>
      <c r="P228" s="1143"/>
      <c r="Q228" s="1143"/>
      <c r="R228" s="1143"/>
      <c r="S228" s="1143"/>
      <c r="T228" s="1143"/>
    </row>
    <row r="229" spans="1:20">
      <c r="A229" s="1143"/>
      <c r="B229" s="1143"/>
      <c r="C229" s="1143"/>
      <c r="D229" s="1143"/>
      <c r="E229" s="1143"/>
      <c r="F229" s="1143"/>
      <c r="G229" s="1143"/>
      <c r="H229" s="1143"/>
      <c r="I229" s="1143"/>
      <c r="J229" s="1143"/>
      <c r="K229" s="1144"/>
      <c r="L229" s="1145"/>
      <c r="M229" s="1143"/>
      <c r="N229" s="1143"/>
      <c r="O229" s="1143"/>
      <c r="P229" s="1143"/>
      <c r="Q229" s="1143"/>
      <c r="R229" s="1143"/>
      <c r="S229" s="1143"/>
      <c r="T229" s="1143"/>
    </row>
    <row r="230" spans="1:20">
      <c r="A230" s="1143"/>
      <c r="B230" s="1143"/>
      <c r="C230" s="1143"/>
      <c r="D230" s="1143"/>
      <c r="E230" s="1143"/>
      <c r="F230" s="1143"/>
      <c r="G230" s="1143"/>
      <c r="H230" s="1143"/>
      <c r="I230" s="1143"/>
      <c r="J230" s="1143"/>
      <c r="K230" s="1144"/>
      <c r="L230" s="1145"/>
      <c r="M230" s="1143"/>
      <c r="N230" s="1143"/>
      <c r="O230" s="1143"/>
      <c r="P230" s="1143"/>
      <c r="Q230" s="1143"/>
      <c r="R230" s="1143"/>
      <c r="S230" s="1143"/>
      <c r="T230" s="1143"/>
    </row>
    <row r="231" spans="1:20">
      <c r="A231" s="1143"/>
      <c r="B231" s="1143"/>
      <c r="C231" s="1143"/>
      <c r="D231" s="1143"/>
      <c r="E231" s="1143"/>
      <c r="F231" s="1143"/>
      <c r="G231" s="1143"/>
      <c r="H231" s="1143"/>
      <c r="I231" s="1143"/>
      <c r="J231" s="1143"/>
      <c r="K231" s="1144"/>
      <c r="L231" s="1145"/>
      <c r="M231" s="1143"/>
      <c r="N231" s="1143"/>
      <c r="O231" s="1143"/>
      <c r="P231" s="1143"/>
      <c r="Q231" s="1143"/>
      <c r="R231" s="1143"/>
      <c r="S231" s="1143"/>
      <c r="T231" s="1143"/>
    </row>
    <row r="232" spans="1:20">
      <c r="A232" s="1143"/>
      <c r="B232" s="1143"/>
      <c r="C232" s="1143"/>
      <c r="D232" s="1143"/>
      <c r="E232" s="1143"/>
      <c r="F232" s="1143"/>
      <c r="G232" s="1143"/>
      <c r="H232" s="1143"/>
      <c r="I232" s="1143"/>
      <c r="J232" s="1143"/>
      <c r="K232" s="1144"/>
      <c r="L232" s="1145"/>
      <c r="M232" s="1143"/>
      <c r="N232" s="1143"/>
      <c r="O232" s="1143"/>
      <c r="P232" s="1143"/>
      <c r="Q232" s="1143"/>
      <c r="R232" s="1143"/>
      <c r="S232" s="1143"/>
      <c r="T232" s="1143"/>
    </row>
    <row r="233" spans="1:20">
      <c r="A233" s="1143"/>
      <c r="B233" s="1143"/>
      <c r="C233" s="1143"/>
      <c r="D233" s="1143"/>
      <c r="E233" s="1143"/>
      <c r="F233" s="1143"/>
      <c r="G233" s="1143"/>
      <c r="H233" s="1143"/>
      <c r="I233" s="1143"/>
      <c r="J233" s="1143"/>
      <c r="K233" s="1144"/>
      <c r="L233" s="1145"/>
      <c r="M233" s="1143"/>
      <c r="N233" s="1143"/>
      <c r="O233" s="1143"/>
      <c r="P233" s="1143"/>
      <c r="Q233" s="1143"/>
      <c r="R233" s="1143"/>
      <c r="S233" s="1143"/>
      <c r="T233" s="1143"/>
    </row>
    <row r="234" spans="1:20">
      <c r="A234" s="1143"/>
      <c r="B234" s="1143"/>
      <c r="C234" s="1143"/>
      <c r="D234" s="1143"/>
      <c r="E234" s="1143"/>
      <c r="F234" s="1143"/>
      <c r="G234" s="1143"/>
      <c r="H234" s="1143"/>
      <c r="I234" s="1143"/>
      <c r="J234" s="1143"/>
      <c r="K234" s="1144"/>
      <c r="L234" s="1145"/>
      <c r="M234" s="1143"/>
      <c r="N234" s="1143"/>
      <c r="O234" s="1143"/>
      <c r="P234" s="1143"/>
      <c r="Q234" s="1143"/>
      <c r="R234" s="1143"/>
      <c r="S234" s="1143"/>
      <c r="T234" s="1143"/>
    </row>
    <row r="235" spans="1:20">
      <c r="A235" s="1143"/>
      <c r="B235" s="1143"/>
      <c r="C235" s="1143"/>
      <c r="D235" s="1143"/>
      <c r="E235" s="1143"/>
      <c r="F235" s="1143"/>
      <c r="G235" s="1143"/>
      <c r="H235" s="1143"/>
      <c r="I235" s="1143"/>
      <c r="J235" s="1143"/>
      <c r="K235" s="1144"/>
      <c r="L235" s="1145"/>
      <c r="M235" s="1143"/>
      <c r="N235" s="1143"/>
      <c r="O235" s="1143"/>
      <c r="P235" s="1143"/>
      <c r="Q235" s="1143"/>
      <c r="R235" s="1143"/>
      <c r="S235" s="1143"/>
      <c r="T235" s="1143"/>
    </row>
    <row r="236" spans="1:20">
      <c r="A236" s="1143"/>
      <c r="B236" s="1143"/>
      <c r="C236" s="1143"/>
      <c r="D236" s="1143"/>
      <c r="E236" s="1143"/>
      <c r="F236" s="1143"/>
      <c r="G236" s="1143"/>
      <c r="H236" s="1143"/>
      <c r="I236" s="1143"/>
      <c r="J236" s="1143"/>
      <c r="K236" s="1144"/>
      <c r="L236" s="1145"/>
      <c r="M236" s="1143"/>
      <c r="N236" s="1143"/>
      <c r="O236" s="1143"/>
      <c r="P236" s="1143"/>
      <c r="Q236" s="1143"/>
      <c r="R236" s="1143"/>
      <c r="S236" s="1143"/>
      <c r="T236" s="1143"/>
    </row>
    <row r="237" spans="1:20">
      <c r="A237" s="1143"/>
      <c r="B237" s="1143"/>
      <c r="C237" s="1143"/>
      <c r="D237" s="1143"/>
      <c r="E237" s="1143"/>
      <c r="F237" s="1143"/>
      <c r="G237" s="1143"/>
      <c r="H237" s="1143"/>
      <c r="I237" s="1143"/>
      <c r="J237" s="1143"/>
      <c r="K237" s="1144"/>
      <c r="L237" s="1145"/>
      <c r="M237" s="1143"/>
      <c r="N237" s="1143"/>
      <c r="O237" s="1143"/>
      <c r="P237" s="1143"/>
      <c r="Q237" s="1143"/>
      <c r="R237" s="1143"/>
      <c r="S237" s="1143"/>
      <c r="T237" s="1143"/>
    </row>
    <row r="238" spans="1:20">
      <c r="A238" s="1143"/>
      <c r="B238" s="1143"/>
      <c r="C238" s="1143"/>
      <c r="D238" s="1143"/>
      <c r="E238" s="1143"/>
      <c r="F238" s="1143"/>
      <c r="G238" s="1143"/>
      <c r="H238" s="1143"/>
      <c r="I238" s="1143"/>
      <c r="J238" s="1143"/>
      <c r="K238" s="1144"/>
      <c r="L238" s="1145"/>
      <c r="M238" s="1143"/>
      <c r="N238" s="1143"/>
      <c r="O238" s="1143"/>
      <c r="P238" s="1143"/>
      <c r="Q238" s="1143"/>
      <c r="R238" s="1143"/>
      <c r="S238" s="1143"/>
      <c r="T238" s="1143"/>
    </row>
    <row r="239" spans="1:20">
      <c r="A239" s="1143"/>
      <c r="B239" s="1143"/>
      <c r="C239" s="1143"/>
      <c r="D239" s="1143"/>
      <c r="E239" s="1143"/>
      <c r="F239" s="1143"/>
      <c r="G239" s="1143"/>
      <c r="H239" s="1143"/>
      <c r="I239" s="1143"/>
      <c r="J239" s="1143"/>
      <c r="K239" s="1144"/>
      <c r="L239" s="1145"/>
      <c r="M239" s="1143"/>
      <c r="N239" s="1143"/>
      <c r="O239" s="1143"/>
      <c r="P239" s="1143"/>
      <c r="Q239" s="1143"/>
      <c r="R239" s="1143"/>
      <c r="S239" s="1143"/>
      <c r="T239" s="1143"/>
    </row>
    <row r="240" spans="1:20">
      <c r="A240" s="1143"/>
      <c r="B240" s="1143"/>
      <c r="C240" s="1143"/>
      <c r="D240" s="1143"/>
      <c r="E240" s="1143"/>
      <c r="F240" s="1143"/>
      <c r="G240" s="1143"/>
      <c r="H240" s="1143"/>
      <c r="I240" s="1143"/>
      <c r="J240" s="1143"/>
      <c r="K240" s="1144"/>
      <c r="L240" s="1145"/>
      <c r="M240" s="1143"/>
      <c r="N240" s="1143"/>
      <c r="O240" s="1143"/>
      <c r="P240" s="1143"/>
      <c r="Q240" s="1143"/>
      <c r="R240" s="1143"/>
      <c r="S240" s="1143"/>
      <c r="T240" s="1143"/>
    </row>
    <row r="241" spans="1:20">
      <c r="A241" s="1143"/>
      <c r="B241" s="1143"/>
      <c r="C241" s="1143"/>
      <c r="D241" s="1143"/>
      <c r="E241" s="1143"/>
      <c r="F241" s="1143"/>
      <c r="G241" s="1143"/>
      <c r="H241" s="1143"/>
      <c r="I241" s="1143"/>
      <c r="J241" s="1143"/>
      <c r="K241" s="1144"/>
      <c r="L241" s="1145"/>
      <c r="M241" s="1143"/>
      <c r="N241" s="1143"/>
      <c r="O241" s="1143"/>
      <c r="P241" s="1143"/>
      <c r="Q241" s="1143"/>
      <c r="R241" s="1143"/>
      <c r="S241" s="1143"/>
      <c r="T241" s="114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394" customWidth="1"/>
    <col min="2" max="2" width="15.75" style="394" customWidth="1"/>
    <col min="3" max="3" width="14.375" style="394" customWidth="1"/>
    <col min="4" max="4" width="12.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394"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29" s="389" customFormat="1" ht="28.5" customHeight="1">
      <c r="A1" s="385" t="s">
        <v>2734</v>
      </c>
      <c r="B1" s="386"/>
      <c r="C1" s="387" t="s">
        <v>2784</v>
      </c>
      <c r="D1" s="746"/>
      <c r="E1" s="746"/>
      <c r="F1" s="745" t="s">
        <v>2633</v>
      </c>
      <c r="G1" s="746"/>
      <c r="H1" s="746"/>
      <c r="I1" s="746"/>
      <c r="J1" s="746"/>
      <c r="K1" s="747"/>
      <c r="L1" s="748"/>
      <c r="M1" s="749"/>
      <c r="N1" s="749"/>
      <c r="O1" s="749"/>
      <c r="P1" s="759"/>
      <c r="Q1" s="759"/>
      <c r="R1" s="759"/>
      <c r="S1" s="759"/>
      <c r="T1" s="759"/>
      <c r="U1" s="759"/>
      <c r="V1" s="759"/>
      <c r="W1" s="759"/>
      <c r="X1" s="759"/>
      <c r="Y1" s="759"/>
      <c r="Z1" s="759"/>
      <c r="AA1" s="759"/>
      <c r="AB1" s="759"/>
      <c r="AC1" s="760"/>
    </row>
    <row r="2" spans="1:29" s="389" customFormat="1" ht="28.5" customHeight="1">
      <c r="A2" s="236" t="s">
        <v>2320</v>
      </c>
      <c r="B2" s="662" t="e">
        <f>F61</f>
        <v>#DIV/0!</v>
      </c>
      <c r="C2" s="1113"/>
      <c r="D2" s="1113"/>
      <c r="E2" s="1113"/>
      <c r="F2" s="1114"/>
      <c r="G2" s="1113"/>
      <c r="H2" s="1113"/>
      <c r="I2" s="1113"/>
      <c r="J2" s="1113"/>
      <c r="K2" s="1115"/>
      <c r="L2" s="1116"/>
      <c r="M2" s="1117"/>
      <c r="N2" s="1117"/>
      <c r="O2" s="1117"/>
      <c r="P2" s="759"/>
      <c r="Q2" s="759"/>
      <c r="R2" s="759"/>
      <c r="S2" s="759"/>
      <c r="T2" s="759"/>
      <c r="U2" s="759"/>
      <c r="V2" s="759"/>
      <c r="W2" s="759"/>
      <c r="X2" s="759"/>
      <c r="Y2" s="759"/>
      <c r="Z2" s="759"/>
      <c r="AA2" s="759"/>
      <c r="AB2" s="759"/>
      <c r="AC2" s="760"/>
    </row>
    <row r="3" spans="1:29" s="389" customFormat="1" ht="28.5" customHeight="1" thickBot="1">
      <c r="A3" s="238" t="s">
        <v>2322</v>
      </c>
      <c r="B3" s="600" t="e">
        <f>ROUND(IF(D3="",B2*10000/'数据-汇总表'!E3,B2*10000/D3),0)</f>
        <v>#DIV/0!</v>
      </c>
      <c r="C3" s="238" t="s">
        <v>2736</v>
      </c>
      <c r="D3" s="1570"/>
      <c r="E3" s="1113"/>
      <c r="F3" s="1114"/>
      <c r="G3" s="1113"/>
      <c r="H3" s="1113"/>
      <c r="I3" s="1113"/>
      <c r="J3" s="1113"/>
      <c r="K3" s="1115"/>
      <c r="L3" s="1116"/>
      <c r="M3" s="1117"/>
      <c r="N3" s="1117"/>
      <c r="O3" s="1117"/>
      <c r="P3" s="759"/>
      <c r="Q3" s="759"/>
      <c r="R3" s="759"/>
      <c r="S3" s="759"/>
      <c r="T3" s="759"/>
      <c r="U3" s="759"/>
      <c r="V3" s="759"/>
      <c r="W3" s="759"/>
      <c r="X3" s="759"/>
      <c r="Y3" s="759"/>
      <c r="Z3" s="759"/>
      <c r="AA3" s="759"/>
      <c r="AB3" s="777"/>
      <c r="AC3" s="773"/>
    </row>
    <row r="4" spans="1:29" ht="15">
      <c r="A4" s="392" t="s">
        <v>2635</v>
      </c>
      <c r="B4" s="393"/>
      <c r="C4" s="3286" t="s">
        <v>2636</v>
      </c>
      <c r="D4" s="3287"/>
      <c r="E4" s="3288" t="s">
        <v>2637</v>
      </c>
      <c r="F4" s="3289"/>
      <c r="G4" s="3286" t="s">
        <v>2638</v>
      </c>
      <c r="H4" s="3287"/>
      <c r="I4" s="3286" t="s">
        <v>2639</v>
      </c>
      <c r="J4" s="3287"/>
      <c r="K4" s="601" t="s">
        <v>2640</v>
      </c>
      <c r="L4" s="1118"/>
      <c r="M4" s="1119"/>
      <c r="N4" s="1119"/>
      <c r="O4" s="1119"/>
      <c r="P4" s="3290" t="s">
        <v>2641</v>
      </c>
      <c r="Q4" s="3291"/>
      <c r="R4" s="3273" t="s">
        <v>2637</v>
      </c>
      <c r="S4" s="3274"/>
      <c r="T4" s="3273" t="s">
        <v>2638</v>
      </c>
      <c r="U4" s="3274"/>
      <c r="V4" s="3298" t="s">
        <v>2639</v>
      </c>
      <c r="W4" s="3298"/>
      <c r="X4" s="1800"/>
      <c r="Y4" s="3273" t="s">
        <v>2641</v>
      </c>
      <c r="Z4" s="3274"/>
      <c r="AA4" s="3268" t="s">
        <v>2637</v>
      </c>
      <c r="AB4" s="3269" t="s">
        <v>2638</v>
      </c>
      <c r="AC4" s="3268" t="s">
        <v>2639</v>
      </c>
    </row>
    <row r="5" spans="1:29" ht="15">
      <c r="A5" s="395"/>
      <c r="B5" s="396"/>
      <c r="C5" s="3311" t="s">
        <v>2532</v>
      </c>
      <c r="D5" s="3280"/>
      <c r="E5" s="3347" t="s">
        <v>2533</v>
      </c>
      <c r="F5" s="3278"/>
      <c r="G5" s="3311" t="s">
        <v>2534</v>
      </c>
      <c r="H5" s="3280"/>
      <c r="I5" s="3311" t="s">
        <v>2535</v>
      </c>
      <c r="J5" s="3280"/>
      <c r="K5" s="601"/>
      <c r="L5" s="1118"/>
      <c r="M5" s="1119"/>
      <c r="N5" s="1119"/>
      <c r="O5" s="1119"/>
      <c r="P5" s="3292"/>
      <c r="Q5" s="3293"/>
      <c r="R5" s="3275"/>
      <c r="S5" s="3276"/>
      <c r="T5" s="3275"/>
      <c r="U5" s="3276"/>
      <c r="V5" s="3298"/>
      <c r="W5" s="3298"/>
      <c r="X5" s="1800"/>
      <c r="Y5" s="3275"/>
      <c r="Z5" s="3276"/>
      <c r="AA5" s="3269"/>
      <c r="AB5" s="3269"/>
      <c r="AC5" s="3269"/>
    </row>
    <row r="6" spans="1:29" ht="15.75" thickBot="1">
      <c r="A6" s="397"/>
      <c r="B6" s="398"/>
      <c r="C6" s="3363" t="s">
        <v>2785</v>
      </c>
      <c r="D6" s="3364"/>
      <c r="E6" s="3365" t="s">
        <v>2785</v>
      </c>
      <c r="F6" s="3366"/>
      <c r="G6" s="3363" t="s">
        <v>2785</v>
      </c>
      <c r="H6" s="3364"/>
      <c r="I6" s="3363" t="s">
        <v>2785</v>
      </c>
      <c r="J6" s="3364"/>
      <c r="K6" s="601" t="s">
        <v>2537</v>
      </c>
      <c r="L6" s="1118"/>
      <c r="M6" s="1119"/>
      <c r="N6" s="1119"/>
      <c r="O6" s="1119"/>
      <c r="P6" s="3294"/>
      <c r="Q6" s="3295"/>
      <c r="R6" s="3275"/>
      <c r="S6" s="3276"/>
      <c r="T6" s="3296"/>
      <c r="U6" s="3297"/>
      <c r="V6" s="3298"/>
      <c r="W6" s="3298"/>
      <c r="X6" s="1800"/>
      <c r="Y6" s="3296"/>
      <c r="Z6" s="3297"/>
      <c r="AA6" s="3270"/>
      <c r="AB6" s="3270"/>
      <c r="AC6" s="3270"/>
    </row>
    <row r="7" spans="1:29" s="110" customFormat="1" ht="15.75" thickBot="1">
      <c r="A7" s="399" t="s">
        <v>2538</v>
      </c>
      <c r="B7" s="400"/>
      <c r="C7" s="401">
        <f>'数据-取费表'!B2</f>
        <v>43515</v>
      </c>
      <c r="D7" s="402">
        <v>100</v>
      </c>
      <c r="E7" s="403"/>
      <c r="F7" s="404">
        <f>SUMIF(65:65,YEAR(E7)&amp;"-"&amp;INT((MONTH(E7)+2)/3),66:66)</f>
        <v>0</v>
      </c>
      <c r="G7" s="2684"/>
      <c r="H7" s="402">
        <f>SUMIF(65:65,YEAR(G7)&amp;"-"&amp;INT((MONTH(G7)+2)/3),66:66)</f>
        <v>0</v>
      </c>
      <c r="I7" s="2684"/>
      <c r="J7" s="402">
        <f>SUMIF(65:65,YEAR(I7)&amp;"-"&amp;INT((MONTH(I7)+2)/3),66:66)</f>
        <v>0</v>
      </c>
      <c r="K7" s="602"/>
      <c r="L7" s="1120"/>
      <c r="M7" s="1121"/>
      <c r="N7" s="1121"/>
      <c r="O7" s="1121"/>
      <c r="P7" s="3271" t="s">
        <v>2539</v>
      </c>
      <c r="Q7" s="3299"/>
      <c r="R7" s="761" t="s">
        <v>17</v>
      </c>
      <c r="S7" s="762">
        <f t="shared" ref="S7:S15" si="0">F7</f>
        <v>0</v>
      </c>
      <c r="T7" s="761" t="s">
        <v>17</v>
      </c>
      <c r="U7" s="762">
        <f t="shared" ref="U7:U15" si="1">H7</f>
        <v>0</v>
      </c>
      <c r="V7" s="761" t="s">
        <v>17</v>
      </c>
      <c r="W7" s="762">
        <f t="shared" ref="W7:W15" si="2">J7</f>
        <v>0</v>
      </c>
      <c r="X7" s="763"/>
      <c r="Y7" s="3271" t="s">
        <v>2539</v>
      </c>
      <c r="Z7" s="3272"/>
      <c r="AA7" s="764" t="e">
        <f>D7/F7</f>
        <v>#DIV/0!</v>
      </c>
      <c r="AB7" s="764" t="e">
        <f>D7/H7</f>
        <v>#DIV/0!</v>
      </c>
      <c r="AC7" s="764" t="e">
        <f>D7/J7</f>
        <v>#DIV/0!</v>
      </c>
    </row>
    <row r="8" spans="1:29" s="110" customFormat="1" ht="15.75" thickBot="1">
      <c r="A8" s="399" t="s">
        <v>2540</v>
      </c>
      <c r="B8" s="400"/>
      <c r="C8" s="405" t="s">
        <v>2541</v>
      </c>
      <c r="D8" s="402">
        <v>100</v>
      </c>
      <c r="E8" s="405"/>
      <c r="F8" s="404">
        <f>SUMIF(68:68,E8,69:69)-SUMIF(68:68,C8,69:69)+100</f>
        <v>0</v>
      </c>
      <c r="G8" s="405"/>
      <c r="H8" s="402">
        <f>SUMIF(68:68,G8,69:69)-SUMIF(68:68,C8,69:69)+100</f>
        <v>0</v>
      </c>
      <c r="I8" s="405"/>
      <c r="J8" s="402">
        <f>SUMIF(68:68,I8,69:69)-SUMIF(68:68,C8,69:69)+100</f>
        <v>0</v>
      </c>
      <c r="K8" s="602"/>
      <c r="L8" s="1120"/>
      <c r="M8" s="1121"/>
      <c r="N8" s="1121"/>
      <c r="O8" s="1121"/>
      <c r="P8" s="3271" t="s">
        <v>2542</v>
      </c>
      <c r="Q8" s="3272"/>
      <c r="R8" s="761" t="s">
        <v>17</v>
      </c>
      <c r="S8" s="762">
        <f t="shared" si="0"/>
        <v>0</v>
      </c>
      <c r="T8" s="761" t="s">
        <v>17</v>
      </c>
      <c r="U8" s="762">
        <f t="shared" si="1"/>
        <v>0</v>
      </c>
      <c r="V8" s="761" t="s">
        <v>17</v>
      </c>
      <c r="W8" s="762">
        <f t="shared" si="2"/>
        <v>0</v>
      </c>
      <c r="X8" s="763"/>
      <c r="Y8" s="3271" t="s">
        <v>2542</v>
      </c>
      <c r="Z8" s="3272"/>
      <c r="AA8" s="764" t="e">
        <f t="shared" ref="AA8:AA40" si="3">D8/F8</f>
        <v>#DIV/0!</v>
      </c>
      <c r="AB8" s="764" t="e">
        <f t="shared" ref="AB8:AB40" si="4">D8/H8</f>
        <v>#DIV/0!</v>
      </c>
      <c r="AC8" s="764" t="e">
        <f t="shared" ref="AC8:AC40" si="5">D8/J8</f>
        <v>#DIV/0!</v>
      </c>
    </row>
    <row r="9" spans="1:29" s="110" customFormat="1">
      <c r="A9" s="406" t="s">
        <v>2543</v>
      </c>
      <c r="B9" s="70" t="s">
        <v>2544</v>
      </c>
      <c r="C9" s="2687"/>
      <c r="D9" s="126">
        <v>100</v>
      </c>
      <c r="E9" s="2687"/>
      <c r="F9" s="126">
        <f>SUMIF(70:70,E9,71:71)-SUMIF(70:70,C9,71:71)+100</f>
        <v>100</v>
      </c>
      <c r="G9" s="2687"/>
      <c r="H9" s="126">
        <f>SUMIF(70:70,G9,71:71)-SUMIF(70:70,C9,71:71)+100</f>
        <v>100</v>
      </c>
      <c r="I9" s="2687"/>
      <c r="J9" s="126">
        <f>SUMIF(70:70,I9,71:71)-SUMIF(70:70,C9,71:71)+100</f>
        <v>100</v>
      </c>
      <c r="K9" s="602"/>
      <c r="L9" s="1120"/>
      <c r="M9" s="1121"/>
      <c r="N9" s="1121"/>
      <c r="O9" s="1122"/>
      <c r="P9" s="3285" t="s">
        <v>2545</v>
      </c>
      <c r="Q9" s="1782" t="str">
        <f t="shared" ref="Q9:Q15" si="6">B9</f>
        <v>用途</v>
      </c>
      <c r="R9" s="761" t="s">
        <v>17</v>
      </c>
      <c r="S9" s="762">
        <f t="shared" si="0"/>
        <v>100</v>
      </c>
      <c r="T9" s="761" t="s">
        <v>17</v>
      </c>
      <c r="U9" s="762">
        <f t="shared" si="1"/>
        <v>100</v>
      </c>
      <c r="V9" s="761" t="s">
        <v>17</v>
      </c>
      <c r="W9" s="762">
        <f t="shared" si="2"/>
        <v>100</v>
      </c>
      <c r="X9" s="763"/>
      <c r="Y9" s="3145" t="s">
        <v>2546</v>
      </c>
      <c r="Z9" s="54" t="str">
        <f t="shared" ref="Z9:Z15" si="7">Q9</f>
        <v>用途</v>
      </c>
      <c r="AA9" s="764">
        <f t="shared" si="3"/>
        <v>1</v>
      </c>
      <c r="AB9" s="764">
        <f t="shared" si="4"/>
        <v>1</v>
      </c>
      <c r="AC9" s="764">
        <f t="shared" si="5"/>
        <v>1</v>
      </c>
    </row>
    <row r="10" spans="1:29" s="418" customFormat="1" ht="27">
      <c r="A10" s="412"/>
      <c r="B10" s="413" t="s">
        <v>2547</v>
      </c>
      <c r="C10" s="423"/>
      <c r="D10" s="127">
        <v>100</v>
      </c>
      <c r="E10" s="423"/>
      <c r="F10" s="127">
        <f>ROUND(100/'数据-取费表'!G16,0)</f>
        <v>106</v>
      </c>
      <c r="G10" s="423"/>
      <c r="H10" s="127">
        <f>ROUND(100/'数据-取费表'!G16,0)</f>
        <v>106</v>
      </c>
      <c r="I10" s="423"/>
      <c r="J10" s="127">
        <f>ROUND(100/'数据-取费表'!G16,0)</f>
        <v>106</v>
      </c>
      <c r="K10" s="663"/>
      <c r="L10" s="1123"/>
      <c r="M10" s="1124"/>
      <c r="N10" s="1124"/>
      <c r="O10" s="1125"/>
      <c r="P10" s="3285"/>
      <c r="Q10" s="1782" t="str">
        <f t="shared" si="6"/>
        <v>土地使用年限（年）</v>
      </c>
      <c r="R10" s="761" t="s">
        <v>17</v>
      </c>
      <c r="S10" s="762">
        <f t="shared" si="0"/>
        <v>106</v>
      </c>
      <c r="T10" s="761" t="s">
        <v>17</v>
      </c>
      <c r="U10" s="762">
        <f t="shared" si="1"/>
        <v>106</v>
      </c>
      <c r="V10" s="761" t="s">
        <v>17</v>
      </c>
      <c r="W10" s="762">
        <f t="shared" si="2"/>
        <v>106</v>
      </c>
      <c r="X10" s="763"/>
      <c r="Y10" s="3145"/>
      <c r="Z10" s="54" t="str">
        <f t="shared" si="7"/>
        <v>土地使用年限（年）</v>
      </c>
      <c r="AA10" s="764">
        <f t="shared" si="3"/>
        <v>0.94339622641509435</v>
      </c>
      <c r="AB10" s="764">
        <f t="shared" si="4"/>
        <v>0.94339622641509435</v>
      </c>
      <c r="AC10" s="764">
        <f t="shared" si="5"/>
        <v>0.94339622641509435</v>
      </c>
    </row>
    <row r="11" spans="1:29" ht="15">
      <c r="A11" s="419"/>
      <c r="B11" s="413" t="s">
        <v>2548</v>
      </c>
      <c r="C11" s="420"/>
      <c r="D11" s="127">
        <v>100</v>
      </c>
      <c r="E11" s="420"/>
      <c r="F11" s="127" t="e">
        <f>LOOKUP(E11,75:75,76:76)-LOOKUP(C11,75:75,76:76)+100</f>
        <v>#N/A</v>
      </c>
      <c r="G11" s="421"/>
      <c r="H11" s="127" t="e">
        <f>LOOKUP(G11,75:75,76:76)-LOOKUP(C11,75:75,76:76)+100</f>
        <v>#N/A</v>
      </c>
      <c r="I11" s="420"/>
      <c r="J11" s="127" t="e">
        <f>LOOKUP(I11,75:75,76:76)-LOOKUP(C11,75:75,76:76)+100</f>
        <v>#N/A</v>
      </c>
      <c r="K11" s="664"/>
      <c r="L11" s="1126"/>
      <c r="M11" s="1119"/>
      <c r="N11" s="1119"/>
      <c r="O11" s="1127"/>
      <c r="P11" s="3285"/>
      <c r="Q11" s="1782" t="str">
        <f t="shared" si="6"/>
        <v>容积率</v>
      </c>
      <c r="R11" s="761" t="s">
        <v>17</v>
      </c>
      <c r="S11" s="762" t="e">
        <f t="shared" si="0"/>
        <v>#N/A</v>
      </c>
      <c r="T11" s="761" t="s">
        <v>17</v>
      </c>
      <c r="U11" s="762" t="e">
        <f t="shared" si="1"/>
        <v>#N/A</v>
      </c>
      <c r="V11" s="761" t="s">
        <v>17</v>
      </c>
      <c r="W11" s="762" t="e">
        <f t="shared" si="2"/>
        <v>#N/A</v>
      </c>
      <c r="X11" s="763"/>
      <c r="Y11" s="3145"/>
      <c r="Z11" s="54" t="str">
        <f t="shared" si="7"/>
        <v>容积率</v>
      </c>
      <c r="AA11" s="764" t="e">
        <f t="shared" si="3"/>
        <v>#N/A</v>
      </c>
      <c r="AB11" s="764" t="e">
        <f t="shared" si="4"/>
        <v>#N/A</v>
      </c>
      <c r="AC11" s="764" t="e">
        <f t="shared" si="5"/>
        <v>#N/A</v>
      </c>
    </row>
    <row r="12" spans="1:29" s="110" customFormat="1" ht="15">
      <c r="A12" s="422"/>
      <c r="B12" s="2590">
        <v>111</v>
      </c>
      <c r="C12" s="423"/>
      <c r="D12" s="424">
        <v>100</v>
      </c>
      <c r="E12" s="540"/>
      <c r="F12" s="127">
        <f>SUMIF(77:77,E12,78:78)-SUMIF(77:77,C12,78:78)+100</f>
        <v>100</v>
      </c>
      <c r="G12" s="665"/>
      <c r="H12" s="127">
        <f>SUMIF(77:77,G12,78:78)-SUMIF(77:77,C12,78:78)+100</f>
        <v>100</v>
      </c>
      <c r="I12" s="540"/>
      <c r="J12" s="127">
        <f>SUMIF(77:77,I12,78:78)-SUMIF(77:77,C12,78:78)+100</f>
        <v>100</v>
      </c>
      <c r="K12" s="663"/>
      <c r="L12" s="1120"/>
      <c r="M12" s="1121"/>
      <c r="N12" s="1121"/>
      <c r="O12" s="1122"/>
      <c r="P12" s="3285"/>
      <c r="Q12" s="1782">
        <f t="shared" si="6"/>
        <v>111</v>
      </c>
      <c r="R12" s="761" t="s">
        <v>17</v>
      </c>
      <c r="S12" s="762">
        <f t="shared" si="0"/>
        <v>100</v>
      </c>
      <c r="T12" s="761" t="s">
        <v>17</v>
      </c>
      <c r="U12" s="762">
        <f t="shared" si="1"/>
        <v>100</v>
      </c>
      <c r="V12" s="761" t="s">
        <v>17</v>
      </c>
      <c r="W12" s="762">
        <f t="shared" si="2"/>
        <v>100</v>
      </c>
      <c r="X12" s="763"/>
      <c r="Y12" s="3145"/>
      <c r="Z12" s="54">
        <f t="shared" si="7"/>
        <v>111</v>
      </c>
      <c r="AA12" s="764">
        <f>D12/F12</f>
        <v>1</v>
      </c>
      <c r="AB12" s="764">
        <f>D12/H12</f>
        <v>1</v>
      </c>
      <c r="AC12" s="764">
        <f>D12/J12</f>
        <v>1</v>
      </c>
    </row>
    <row r="13" spans="1:29" ht="15">
      <c r="A13" s="419"/>
      <c r="B13" s="2590">
        <v>111</v>
      </c>
      <c r="C13" s="425"/>
      <c r="D13" s="426">
        <v>100</v>
      </c>
      <c r="E13" s="540"/>
      <c r="F13" s="127">
        <f>SUMIF(79:79,E13,80:80)-SUMIF(79:79,C13,80:80)+100</f>
        <v>100</v>
      </c>
      <c r="G13" s="665"/>
      <c r="H13" s="426">
        <f>SUMIF(79:79,G13,80:80)-SUMIF(79:79,C13,80:80)+100</f>
        <v>100</v>
      </c>
      <c r="I13" s="540"/>
      <c r="J13" s="426">
        <f>SUMIF(79:79,I13,80:80)-SUMIF(79:79,C13,80:80)+100</f>
        <v>100</v>
      </c>
      <c r="K13" s="663"/>
      <c r="L13" s="1128"/>
      <c r="M13" s="1119"/>
      <c r="N13" s="1119"/>
      <c r="O13" s="1127"/>
      <c r="P13" s="3285"/>
      <c r="Q13" s="1782">
        <f t="shared" si="6"/>
        <v>111</v>
      </c>
      <c r="R13" s="761" t="s">
        <v>17</v>
      </c>
      <c r="S13" s="762">
        <f t="shared" si="0"/>
        <v>100</v>
      </c>
      <c r="T13" s="761" t="s">
        <v>17</v>
      </c>
      <c r="U13" s="762">
        <f t="shared" si="1"/>
        <v>100</v>
      </c>
      <c r="V13" s="761" t="s">
        <v>17</v>
      </c>
      <c r="W13" s="762">
        <f t="shared" si="2"/>
        <v>100</v>
      </c>
      <c r="X13" s="763"/>
      <c r="Y13" s="3145"/>
      <c r="Z13" s="54">
        <f t="shared" si="7"/>
        <v>111</v>
      </c>
      <c r="AA13" s="764">
        <f t="shared" si="3"/>
        <v>1</v>
      </c>
      <c r="AB13" s="764">
        <f t="shared" si="4"/>
        <v>1</v>
      </c>
      <c r="AC13" s="764">
        <f t="shared" si="5"/>
        <v>1</v>
      </c>
    </row>
    <row r="14" spans="1:29" ht="15.75" thickBot="1">
      <c r="A14" s="427"/>
      <c r="B14" s="2592">
        <v>111</v>
      </c>
      <c r="C14" s="428"/>
      <c r="D14" s="429">
        <v>100</v>
      </c>
      <c r="E14" s="540"/>
      <c r="F14" s="429">
        <f>SUMIF(81:81,E14,82:82)-SUMIF(81:81,C14,82:82)+100</f>
        <v>100</v>
      </c>
      <c r="G14" s="665"/>
      <c r="H14" s="429">
        <f>SUMIF(81:81,G14,82:82)-SUMIF(81:81,C14,82:82)+100</f>
        <v>100</v>
      </c>
      <c r="I14" s="540"/>
      <c r="J14" s="429">
        <f>SUMIF(81:81,I14,82:82)-SUMIF(81:81,C14,82:82)+100</f>
        <v>100</v>
      </c>
      <c r="K14" s="663"/>
      <c r="L14" s="1128"/>
      <c r="M14" s="1119"/>
      <c r="N14" s="1119"/>
      <c r="O14" s="1127"/>
      <c r="P14" s="3285"/>
      <c r="Q14" s="1782">
        <f t="shared" si="6"/>
        <v>111</v>
      </c>
      <c r="R14" s="761" t="s">
        <v>17</v>
      </c>
      <c r="S14" s="762">
        <f t="shared" si="0"/>
        <v>100</v>
      </c>
      <c r="T14" s="761" t="s">
        <v>17</v>
      </c>
      <c r="U14" s="762">
        <f t="shared" si="1"/>
        <v>100</v>
      </c>
      <c r="V14" s="761" t="s">
        <v>17</v>
      </c>
      <c r="W14" s="762">
        <f t="shared" si="2"/>
        <v>100</v>
      </c>
      <c r="X14" s="763"/>
      <c r="Y14" s="3145"/>
      <c r="Z14" s="54">
        <f t="shared" si="7"/>
        <v>111</v>
      </c>
      <c r="AA14" s="764">
        <f t="shared" si="3"/>
        <v>1</v>
      </c>
      <c r="AB14" s="764">
        <f t="shared" si="4"/>
        <v>1</v>
      </c>
      <c r="AC14" s="764">
        <f t="shared" si="5"/>
        <v>1</v>
      </c>
    </row>
    <row r="15" spans="1:29" ht="15">
      <c r="A15" s="431" t="s">
        <v>2549</v>
      </c>
      <c r="B15" s="620" t="s">
        <v>2786</v>
      </c>
      <c r="C15" s="2681">
        <f>估价对象房地状况!G15</f>
        <v>0</v>
      </c>
      <c r="D15" s="432">
        <v>100</v>
      </c>
      <c r="E15" s="433"/>
      <c r="F15" s="432">
        <f>SUMIF(83:83,E16,84:84)-SUMIF(83:83,C16,84:84)+100</f>
        <v>100</v>
      </c>
      <c r="G15" s="433"/>
      <c r="H15" s="432">
        <f>SUMIF(83:83,G16,84:84)-SUMIF(83:83,C16,84:84)+100</f>
        <v>100</v>
      </c>
      <c r="I15" s="435"/>
      <c r="J15" s="432">
        <f>SUMIF(83:83,I16,84:84)-SUMIF(83:83,C16,84:84)+100</f>
        <v>100</v>
      </c>
      <c r="K15" s="664"/>
      <c r="L15" s="1128"/>
      <c r="M15" s="1119"/>
      <c r="N15" s="1119"/>
      <c r="O15" s="1127"/>
      <c r="P15" s="3300" t="s">
        <v>2550</v>
      </c>
      <c r="Q15" s="1797" t="str">
        <f t="shared" si="6"/>
        <v>产业集聚程度</v>
      </c>
      <c r="R15" s="765" t="s">
        <v>17</v>
      </c>
      <c r="S15" s="766">
        <f t="shared" si="0"/>
        <v>100</v>
      </c>
      <c r="T15" s="765" t="s">
        <v>17</v>
      </c>
      <c r="U15" s="766">
        <f t="shared" si="1"/>
        <v>100</v>
      </c>
      <c r="V15" s="765" t="s">
        <v>17</v>
      </c>
      <c r="W15" s="766">
        <f t="shared" si="2"/>
        <v>100</v>
      </c>
      <c r="X15" s="1800"/>
      <c r="Y15" s="3300" t="s">
        <v>2550</v>
      </c>
      <c r="Z15" s="1801" t="str">
        <f t="shared" si="7"/>
        <v>产业集聚程度</v>
      </c>
      <c r="AA15" s="1798">
        <f t="shared" si="3"/>
        <v>1</v>
      </c>
      <c r="AB15" s="1798">
        <f t="shared" si="4"/>
        <v>1</v>
      </c>
      <c r="AC15" s="1798">
        <f t="shared" si="5"/>
        <v>1</v>
      </c>
    </row>
    <row r="16" spans="1:29" ht="15">
      <c r="A16" s="419"/>
      <c r="B16" s="621"/>
      <c r="C16" s="438"/>
      <c r="D16" s="439"/>
      <c r="E16" s="2601"/>
      <c r="F16" s="439"/>
      <c r="G16" s="2601"/>
      <c r="H16" s="441"/>
      <c r="I16" s="2601"/>
      <c r="J16" s="439"/>
      <c r="K16" s="663"/>
      <c r="L16" s="1128"/>
      <c r="M16" s="1119"/>
      <c r="N16" s="1119"/>
      <c r="O16" s="1127"/>
      <c r="P16" s="3301"/>
      <c r="Q16" s="1797"/>
      <c r="R16" s="765"/>
      <c r="S16" s="766"/>
      <c r="T16" s="765"/>
      <c r="U16" s="766"/>
      <c r="V16" s="765"/>
      <c r="W16" s="766"/>
      <c r="X16" s="1800"/>
      <c r="Y16" s="3301"/>
      <c r="Z16" s="1801"/>
      <c r="AA16" s="1798">
        <v>1</v>
      </c>
      <c r="AB16" s="1798">
        <v>1</v>
      </c>
      <c r="AC16" s="1798">
        <v>1</v>
      </c>
    </row>
    <row r="17" spans="1:29" ht="15">
      <c r="A17" s="419"/>
      <c r="B17" s="622" t="s">
        <v>2699</v>
      </c>
      <c r="C17" s="2597">
        <f>估价对象房地状况!G16</f>
        <v>0</v>
      </c>
      <c r="D17" s="441">
        <v>100</v>
      </c>
      <c r="E17" s="443"/>
      <c r="F17" s="446">
        <f>SUMIF(85:85,E18,86:86)-SUMIF(85:85,C18,86:86)+100</f>
        <v>100</v>
      </c>
      <c r="G17" s="443"/>
      <c r="H17" s="446">
        <f>SUMIF(85:85,G18,86:86)-SUMIF(85:85,C18,86:86)+100</f>
        <v>100</v>
      </c>
      <c r="I17" s="445"/>
      <c r="J17" s="441">
        <f>SUMIF(85:85,I18,86:86)-SUMIF(85:85,C18,86:86)+100</f>
        <v>100</v>
      </c>
      <c r="K17" s="664"/>
      <c r="L17" s="1128"/>
      <c r="M17" s="1119"/>
      <c r="N17" s="1119"/>
      <c r="O17" s="1127"/>
      <c r="P17" s="3301"/>
      <c r="Q17" s="1797" t="str">
        <f>B17</f>
        <v>交通便捷度</v>
      </c>
      <c r="R17" s="765" t="s">
        <v>17</v>
      </c>
      <c r="S17" s="766">
        <f>F17</f>
        <v>100</v>
      </c>
      <c r="T17" s="765" t="s">
        <v>17</v>
      </c>
      <c r="U17" s="766">
        <f>H17</f>
        <v>100</v>
      </c>
      <c r="V17" s="765" t="s">
        <v>17</v>
      </c>
      <c r="W17" s="766">
        <f>J17</f>
        <v>100</v>
      </c>
      <c r="X17" s="1800"/>
      <c r="Y17" s="3301"/>
      <c r="Z17" s="1801" t="str">
        <f>Q17</f>
        <v>交通便捷度</v>
      </c>
      <c r="AA17" s="1798">
        <f t="shared" si="3"/>
        <v>1</v>
      </c>
      <c r="AB17" s="1798">
        <f t="shared" si="4"/>
        <v>1</v>
      </c>
      <c r="AC17" s="1798">
        <f t="shared" si="5"/>
        <v>1</v>
      </c>
    </row>
    <row r="18" spans="1:29" ht="15">
      <c r="A18" s="419"/>
      <c r="B18" s="623"/>
      <c r="C18" s="438"/>
      <c r="D18" s="439"/>
      <c r="E18" s="2595"/>
      <c r="F18" s="439"/>
      <c r="G18" s="2595"/>
      <c r="H18" s="439"/>
      <c r="I18" s="2594"/>
      <c r="J18" s="439"/>
      <c r="K18" s="663"/>
      <c r="L18" s="1128"/>
      <c r="M18" s="1119"/>
      <c r="N18" s="1119"/>
      <c r="O18" s="1127"/>
      <c r="P18" s="3301"/>
      <c r="Q18" s="1797"/>
      <c r="R18" s="765"/>
      <c r="S18" s="766"/>
      <c r="T18" s="765"/>
      <c r="U18" s="766"/>
      <c r="V18" s="765"/>
      <c r="W18" s="766"/>
      <c r="X18" s="1800"/>
      <c r="Y18" s="3301"/>
      <c r="Z18" s="1801"/>
      <c r="AA18" s="1798">
        <v>1</v>
      </c>
      <c r="AB18" s="1798">
        <v>1</v>
      </c>
      <c r="AC18" s="1798">
        <v>1</v>
      </c>
    </row>
    <row r="19" spans="1:29" ht="15">
      <c r="A19" s="419"/>
      <c r="B19" s="622" t="s">
        <v>2737</v>
      </c>
      <c r="C19" s="2597">
        <f>估价对象房地状况!G17</f>
        <v>0</v>
      </c>
      <c r="D19" s="441">
        <v>100</v>
      </c>
      <c r="E19" s="443"/>
      <c r="F19" s="446">
        <f>SUMIF(87:87,E20,88:88)-SUMIF(87:87,C20,88:88)+100</f>
        <v>100</v>
      </c>
      <c r="G19" s="443"/>
      <c r="H19" s="446">
        <f>SUMIF(87:87,G20,88:88)-SUMIF(87:87,C20,88:88)+100</f>
        <v>100</v>
      </c>
      <c r="I19" s="443"/>
      <c r="J19" s="446">
        <f>SUMIF(87:87,I20,88:88)-SUMIF(87:87,C20,88:88)+100</f>
        <v>100</v>
      </c>
      <c r="K19" s="664"/>
      <c r="L19" s="1128"/>
      <c r="M19" s="1119"/>
      <c r="N19" s="1119"/>
      <c r="O19" s="1127"/>
      <c r="P19" s="3301"/>
      <c r="Q19" s="1797" t="str">
        <f t="shared" ref="Q19:Q33" si="8">B19</f>
        <v>区域土地利用方向</v>
      </c>
      <c r="R19" s="765" t="s">
        <v>17</v>
      </c>
      <c r="S19" s="766">
        <f>F19</f>
        <v>100</v>
      </c>
      <c r="T19" s="765" t="s">
        <v>17</v>
      </c>
      <c r="U19" s="766">
        <f>H19</f>
        <v>100</v>
      </c>
      <c r="V19" s="765" t="s">
        <v>17</v>
      </c>
      <c r="W19" s="766">
        <f>J19</f>
        <v>100</v>
      </c>
      <c r="X19" s="1800"/>
      <c r="Y19" s="3301"/>
      <c r="Z19" s="1801" t="str">
        <f>Q19</f>
        <v>区域土地利用方向</v>
      </c>
      <c r="AA19" s="1798">
        <f t="shared" si="3"/>
        <v>1</v>
      </c>
      <c r="AB19" s="1798">
        <f t="shared" si="4"/>
        <v>1</v>
      </c>
      <c r="AC19" s="1798">
        <f t="shared" si="5"/>
        <v>1</v>
      </c>
    </row>
    <row r="20" spans="1:29" ht="15">
      <c r="A20" s="395"/>
      <c r="B20" s="623"/>
      <c r="C20" s="438"/>
      <c r="D20" s="439"/>
      <c r="E20" s="2595"/>
      <c r="F20" s="439"/>
      <c r="G20" s="2595"/>
      <c r="H20" s="439"/>
      <c r="I20" s="2595"/>
      <c r="J20" s="439"/>
      <c r="K20" s="798"/>
      <c r="L20" s="1128"/>
      <c r="M20" s="1119"/>
      <c r="N20" s="1119"/>
      <c r="O20" s="1127"/>
      <c r="P20" s="3301"/>
      <c r="Q20" s="1797"/>
      <c r="R20" s="765"/>
      <c r="S20" s="766"/>
      <c r="T20" s="765"/>
      <c r="U20" s="766"/>
      <c r="V20" s="765"/>
      <c r="W20" s="766"/>
      <c r="X20" s="1800"/>
      <c r="Y20" s="3301"/>
      <c r="Z20" s="1801"/>
      <c r="AA20" s="1798"/>
      <c r="AB20" s="1798"/>
      <c r="AC20" s="1798"/>
    </row>
    <row r="21" spans="1:29" ht="15">
      <c r="A21" s="395"/>
      <c r="B21" s="622" t="s">
        <v>2787</v>
      </c>
      <c r="C21" s="2597">
        <f>估价对象房地状况!G18</f>
        <v>0</v>
      </c>
      <c r="D21" s="441">
        <v>100</v>
      </c>
      <c r="E21" s="443"/>
      <c r="F21" s="441">
        <f>SUMIF(89:89,E22,90:90)-SUMIF(89:89,C22,90:90)+100</f>
        <v>100</v>
      </c>
      <c r="G21" s="443"/>
      <c r="H21" s="441">
        <f>SUMIF(89:89,G22,90:90)-SUMIF(89:89,C22,90:90)+100</f>
        <v>100</v>
      </c>
      <c r="I21" s="445"/>
      <c r="J21" s="441">
        <f>SUMIF(89:89,I22,90:90)-SUMIF(89:89,C22,90:90)+100</f>
        <v>100</v>
      </c>
      <c r="K21" s="664"/>
      <c r="L21" s="1128"/>
      <c r="M21" s="1119"/>
      <c r="N21" s="1119"/>
      <c r="O21" s="1127"/>
      <c r="P21" s="3301"/>
      <c r="Q21" s="1797" t="str">
        <f t="shared" si="8"/>
        <v>环境状况</v>
      </c>
      <c r="R21" s="765" t="s">
        <v>17</v>
      </c>
      <c r="S21" s="766">
        <f>F21</f>
        <v>100</v>
      </c>
      <c r="T21" s="765" t="s">
        <v>17</v>
      </c>
      <c r="U21" s="766">
        <f>H21</f>
        <v>100</v>
      </c>
      <c r="V21" s="765" t="s">
        <v>17</v>
      </c>
      <c r="W21" s="766">
        <f>J21</f>
        <v>100</v>
      </c>
      <c r="X21" s="1800"/>
      <c r="Y21" s="3301"/>
      <c r="Z21" s="1801" t="str">
        <f>Q21</f>
        <v>环境状况</v>
      </c>
      <c r="AA21" s="1798">
        <f t="shared" si="3"/>
        <v>1</v>
      </c>
      <c r="AB21" s="1798">
        <f t="shared" si="4"/>
        <v>1</v>
      </c>
      <c r="AC21" s="1798">
        <f t="shared" si="5"/>
        <v>1</v>
      </c>
    </row>
    <row r="22" spans="1:29" ht="15">
      <c r="A22" s="395"/>
      <c r="B22" s="623"/>
      <c r="C22" s="438"/>
      <c r="D22" s="439"/>
      <c r="E22" s="2601"/>
      <c r="F22" s="439"/>
      <c r="G22" s="2601"/>
      <c r="H22" s="439"/>
      <c r="I22" s="438"/>
      <c r="J22" s="439"/>
      <c r="K22" s="663"/>
      <c r="L22" s="1128"/>
      <c r="M22" s="1119"/>
      <c r="N22" s="1119"/>
      <c r="O22" s="1127"/>
      <c r="P22" s="3301"/>
      <c r="Q22" s="1797"/>
      <c r="R22" s="765"/>
      <c r="S22" s="766"/>
      <c r="T22" s="765"/>
      <c r="U22" s="766"/>
      <c r="V22" s="765"/>
      <c r="W22" s="766"/>
      <c r="X22" s="1800"/>
      <c r="Y22" s="3301"/>
      <c r="Z22" s="1801"/>
      <c r="AA22" s="1798">
        <v>1</v>
      </c>
      <c r="AB22" s="1798">
        <v>1</v>
      </c>
      <c r="AC22" s="1798">
        <v>1</v>
      </c>
    </row>
    <row r="23" spans="1:29" s="110" customFormat="1" ht="15">
      <c r="A23" s="640"/>
      <c r="B23" s="624" t="s">
        <v>2644</v>
      </c>
      <c r="C23" s="2597">
        <f>估价对象房地状况!G19</f>
        <v>0</v>
      </c>
      <c r="D23" s="441">
        <v>100</v>
      </c>
      <c r="E23" s="443"/>
      <c r="F23" s="441">
        <f>SUMIF(91:91,E24,92:92)-SUMIF(91:91,C24,92:92)+100</f>
        <v>100</v>
      </c>
      <c r="G23" s="443"/>
      <c r="H23" s="441">
        <f>SUMIF(91:91,G24,92:92)-SUMIF(91:91,C24,92:92)+100</f>
        <v>100</v>
      </c>
      <c r="I23" s="445"/>
      <c r="J23" s="441">
        <f>SUMIF(91:91,I24,92:92)-SUMIF(91:91,C24,92:92)+100</f>
        <v>100</v>
      </c>
      <c r="K23" s="664"/>
      <c r="L23" s="1120"/>
      <c r="M23" s="1121"/>
      <c r="N23" s="1121"/>
      <c r="O23" s="1122"/>
      <c r="P23" s="3301"/>
      <c r="Q23" s="1782" t="str">
        <f t="shared" si="8"/>
        <v>公共配套设施</v>
      </c>
      <c r="R23" s="761" t="s">
        <v>17</v>
      </c>
      <c r="S23" s="762">
        <f>F23</f>
        <v>100</v>
      </c>
      <c r="T23" s="761" t="s">
        <v>17</v>
      </c>
      <c r="U23" s="762">
        <f>H23</f>
        <v>100</v>
      </c>
      <c r="V23" s="761" t="s">
        <v>17</v>
      </c>
      <c r="W23" s="762">
        <f>J23</f>
        <v>100</v>
      </c>
      <c r="X23" s="763"/>
      <c r="Y23" s="3301"/>
      <c r="Z23" s="54" t="str">
        <f>Q23</f>
        <v>公共配套设施</v>
      </c>
      <c r="AA23" s="1798">
        <f>D23/F23</f>
        <v>1</v>
      </c>
      <c r="AB23" s="1798">
        <f>D23/H23</f>
        <v>1</v>
      </c>
      <c r="AC23" s="1798">
        <f>D23/J23</f>
        <v>1</v>
      </c>
    </row>
    <row r="24" spans="1:29" s="110" customFormat="1" ht="15">
      <c r="A24" s="640"/>
      <c r="B24" s="623"/>
      <c r="C24" s="2688"/>
      <c r="D24" s="439"/>
      <c r="E24" s="2601"/>
      <c r="F24" s="439"/>
      <c r="G24" s="2601"/>
      <c r="H24" s="439"/>
      <c r="I24" s="438"/>
      <c r="J24" s="439"/>
      <c r="K24" s="663"/>
      <c r="L24" s="1120"/>
      <c r="M24" s="1121"/>
      <c r="N24" s="1121"/>
      <c r="O24" s="1122"/>
      <c r="P24" s="3301"/>
      <c r="Q24" s="1782"/>
      <c r="R24" s="761"/>
      <c r="S24" s="762"/>
      <c r="T24" s="761"/>
      <c r="U24" s="762"/>
      <c r="V24" s="761"/>
      <c r="W24" s="762"/>
      <c r="X24" s="763"/>
      <c r="Y24" s="3301"/>
      <c r="Z24" s="54"/>
      <c r="AA24" s="764">
        <v>1</v>
      </c>
      <c r="AB24" s="764">
        <v>1</v>
      </c>
      <c r="AC24" s="764">
        <v>1</v>
      </c>
    </row>
    <row r="25" spans="1:29" s="110" customFormat="1" ht="15">
      <c r="A25" s="640"/>
      <c r="B25" s="624" t="s">
        <v>2645</v>
      </c>
      <c r="C25" s="2597">
        <f>估价对象房地状况!G20</f>
        <v>0</v>
      </c>
      <c r="D25" s="441">
        <v>100</v>
      </c>
      <c r="E25" s="443"/>
      <c r="F25" s="441">
        <f>SUMIF(93:93,E26,94:94)-SUMIF(93:93,C26,94:94)+100</f>
        <v>100</v>
      </c>
      <c r="G25" s="443"/>
      <c r="H25" s="441">
        <f>SUMIF(93:93,G26,94:94)-SUMIF(93:93,C26,94:94)+100</f>
        <v>100</v>
      </c>
      <c r="I25" s="445"/>
      <c r="J25" s="441">
        <f>SUMIF(93:93,I26,94:94)-SUMIF(93:93,C26,94:94)+100</f>
        <v>100</v>
      </c>
      <c r="K25" s="664"/>
      <c r="L25" s="1120"/>
      <c r="M25" s="1121"/>
      <c r="N25" s="1121"/>
      <c r="O25" s="1122"/>
      <c r="P25" s="3301"/>
      <c r="Q25" s="1782" t="str">
        <f t="shared" ref="Q25" si="9">B25</f>
        <v>基础设施水平</v>
      </c>
      <c r="R25" s="761" t="s">
        <v>17</v>
      </c>
      <c r="S25" s="762">
        <f>F25</f>
        <v>100</v>
      </c>
      <c r="T25" s="761" t="s">
        <v>17</v>
      </c>
      <c r="U25" s="762">
        <f>H25</f>
        <v>100</v>
      </c>
      <c r="V25" s="761" t="s">
        <v>17</v>
      </c>
      <c r="W25" s="762">
        <f>J25</f>
        <v>100</v>
      </c>
      <c r="X25" s="763"/>
      <c r="Y25" s="3301"/>
      <c r="Z25" s="54" t="str">
        <f>Q25</f>
        <v>基础设施水平</v>
      </c>
      <c r="AA25" s="1798">
        <f>D25/F25</f>
        <v>1</v>
      </c>
      <c r="AB25" s="1798">
        <f>D25/H25</f>
        <v>1</v>
      </c>
      <c r="AC25" s="1798">
        <f>D25/J25</f>
        <v>1</v>
      </c>
    </row>
    <row r="26" spans="1:29" s="110" customFormat="1" ht="15">
      <c r="A26" s="640"/>
      <c r="B26" s="623"/>
      <c r="C26" s="2688"/>
      <c r="D26" s="439"/>
      <c r="E26" s="2689"/>
      <c r="F26" s="439"/>
      <c r="G26" s="2689"/>
      <c r="H26" s="439"/>
      <c r="I26" s="2689"/>
      <c r="J26" s="439"/>
      <c r="K26" s="663"/>
      <c r="L26" s="1120"/>
      <c r="M26" s="1121"/>
      <c r="N26" s="1121"/>
      <c r="O26" s="1122"/>
      <c r="P26" s="3301"/>
      <c r="Q26" s="1782"/>
      <c r="R26" s="761"/>
      <c r="S26" s="762"/>
      <c r="T26" s="761"/>
      <c r="U26" s="762"/>
      <c r="V26" s="761"/>
      <c r="W26" s="762"/>
      <c r="X26" s="763"/>
      <c r="Y26" s="3301"/>
      <c r="Z26" s="54"/>
      <c r="AA26" s="764">
        <v>1</v>
      </c>
      <c r="AB26" s="764">
        <v>1</v>
      </c>
      <c r="AC26" s="764">
        <v>1</v>
      </c>
    </row>
    <row r="27" spans="1:29" ht="15">
      <c r="A27" s="419"/>
      <c r="B27" s="623" t="s">
        <v>2646</v>
      </c>
      <c r="C27" s="607"/>
      <c r="D27" s="426">
        <v>100</v>
      </c>
      <c r="E27" s="625"/>
      <c r="F27" s="426">
        <f>SUMIF(95:95,E27,96:96)-SUMIF(95:95,C27,96:96)+100</f>
        <v>100</v>
      </c>
      <c r="G27" s="625"/>
      <c r="H27" s="426">
        <f>SUMIF(95:95,G27,96:96)-SUMIF(95:95,C27,96:96)+100</f>
        <v>100</v>
      </c>
      <c r="I27" s="625"/>
      <c r="J27" s="426">
        <f>SUMIF(95:95,I27,96:96)-SUMIF(95:95,C27,96:96)+100</f>
        <v>100</v>
      </c>
      <c r="K27" s="664"/>
      <c r="L27" s="1128"/>
      <c r="M27" s="1119"/>
      <c r="N27" s="1119"/>
      <c r="O27" s="1127"/>
      <c r="P27" s="3301"/>
      <c r="Q27" s="1797" t="str">
        <f t="shared" si="8"/>
        <v>临街状况</v>
      </c>
      <c r="R27" s="765" t="s">
        <v>17</v>
      </c>
      <c r="S27" s="766">
        <f t="shared" ref="S27:S40" si="10">F27</f>
        <v>100</v>
      </c>
      <c r="T27" s="765" t="s">
        <v>17</v>
      </c>
      <c r="U27" s="766">
        <f t="shared" ref="U27:U40" si="11">H27</f>
        <v>100</v>
      </c>
      <c r="V27" s="765" t="s">
        <v>17</v>
      </c>
      <c r="W27" s="766">
        <f t="shared" ref="W27:W40" si="12">J27</f>
        <v>100</v>
      </c>
      <c r="X27" s="1800"/>
      <c r="Y27" s="3301"/>
      <c r="Z27" s="1801" t="str">
        <f t="shared" ref="Z27:Z40" si="13">Q27</f>
        <v>临街状况</v>
      </c>
      <c r="AA27" s="1798">
        <f t="shared" si="3"/>
        <v>1</v>
      </c>
      <c r="AB27" s="1798">
        <f t="shared" si="4"/>
        <v>1</v>
      </c>
      <c r="AC27" s="1798">
        <f t="shared" si="5"/>
        <v>1</v>
      </c>
    </row>
    <row r="28" spans="1:29" ht="27">
      <c r="A28" s="419"/>
      <c r="B28" s="624" t="s">
        <v>2681</v>
      </c>
      <c r="C28" s="2701">
        <f>估价对象房地状况!G22</f>
        <v>0</v>
      </c>
      <c r="D28" s="441">
        <v>100</v>
      </c>
      <c r="E28" s="443"/>
      <c r="F28" s="441">
        <f>SUMIF(97:97,E29,98:98)-SUMIF(97:97,C29,98:98)+100</f>
        <v>100</v>
      </c>
      <c r="G28" s="443"/>
      <c r="H28" s="441">
        <f>SUMIF(97:97,G29,98:98)-SUMIF(97:97,C29,98:98)+100</f>
        <v>100</v>
      </c>
      <c r="I28" s="445"/>
      <c r="J28" s="441">
        <f>SUMIF(97:97,I29,98:98)-SUMIF(97:97,C29,98:98)+100</f>
        <v>100</v>
      </c>
      <c r="K28" s="664"/>
      <c r="L28" s="1128"/>
      <c r="M28" s="1119"/>
      <c r="N28" s="1119"/>
      <c r="O28" s="1127"/>
      <c r="P28" s="3301"/>
      <c r="Q28" s="1797" t="str">
        <f t="shared" si="8"/>
        <v>毗邻道路的类型与等级</v>
      </c>
      <c r="R28" s="765" t="s">
        <v>17</v>
      </c>
      <c r="S28" s="766">
        <f t="shared" si="10"/>
        <v>100</v>
      </c>
      <c r="T28" s="765" t="s">
        <v>17</v>
      </c>
      <c r="U28" s="766">
        <f t="shared" si="11"/>
        <v>100</v>
      </c>
      <c r="V28" s="765" t="s">
        <v>17</v>
      </c>
      <c r="W28" s="766">
        <f t="shared" si="12"/>
        <v>100</v>
      </c>
      <c r="X28" s="1800"/>
      <c r="Y28" s="3301"/>
      <c r="Z28" s="1801" t="str">
        <f t="shared" si="13"/>
        <v>毗邻道路的类型与等级</v>
      </c>
      <c r="AA28" s="1798">
        <f t="shared" si="3"/>
        <v>1</v>
      </c>
      <c r="AB28" s="1798">
        <f t="shared" si="4"/>
        <v>1</v>
      </c>
      <c r="AC28" s="1798">
        <f t="shared" si="5"/>
        <v>1</v>
      </c>
    </row>
    <row r="29" spans="1:29" ht="15">
      <c r="A29" s="419"/>
      <c r="B29" s="623"/>
      <c r="C29" s="438"/>
      <c r="D29" s="439"/>
      <c r="E29" s="2601"/>
      <c r="F29" s="439"/>
      <c r="G29" s="2601"/>
      <c r="H29" s="439"/>
      <c r="I29" s="2601"/>
      <c r="J29" s="439"/>
      <c r="K29" s="604"/>
      <c r="L29" s="1128"/>
      <c r="M29" s="1119"/>
      <c r="N29" s="1119"/>
      <c r="O29" s="1127"/>
      <c r="P29" s="3301"/>
      <c r="Q29" s="1797"/>
      <c r="R29" s="765"/>
      <c r="S29" s="766"/>
      <c r="T29" s="765"/>
      <c r="U29" s="766"/>
      <c r="V29" s="765"/>
      <c r="W29" s="766"/>
      <c r="X29" s="1800"/>
      <c r="Y29" s="3301"/>
      <c r="Z29" s="1801"/>
      <c r="AA29" s="1798">
        <v>1</v>
      </c>
      <c r="AB29" s="1798">
        <v>1</v>
      </c>
      <c r="AC29" s="1798">
        <v>1</v>
      </c>
    </row>
    <row r="30" spans="1:29" ht="15">
      <c r="A30" s="419"/>
      <c r="B30" s="645" t="s">
        <v>2739</v>
      </c>
      <c r="C30" s="1377">
        <f>估价对象房地状况!G23</f>
        <v>0</v>
      </c>
      <c r="D30" s="426">
        <v>100</v>
      </c>
      <c r="E30" s="625"/>
      <c r="F30" s="426">
        <f>SUMIF(99:99,E30,100:100)-SUMIF(99:99,C30,100:100)+100</f>
        <v>100</v>
      </c>
      <c r="G30" s="625"/>
      <c r="H30" s="426">
        <f>SUMIF(99:99,G30,100:100)-SUMIF(99:99,C30,100:100)+100</f>
        <v>100</v>
      </c>
      <c r="I30" s="625"/>
      <c r="J30" s="426">
        <f>SUMIF(99:99,I30,100:100)-SUMIF(99:99,C30,100:100)+100</f>
        <v>100</v>
      </c>
      <c r="K30" s="603"/>
      <c r="L30" s="1128"/>
      <c r="M30" s="1119"/>
      <c r="N30" s="1119"/>
      <c r="O30" s="1127"/>
      <c r="P30" s="3301"/>
      <c r="Q30" s="1797" t="str">
        <f t="shared" si="8"/>
        <v>土地级别</v>
      </c>
      <c r="R30" s="765" t="s">
        <v>17</v>
      </c>
      <c r="S30" s="766">
        <f t="shared" si="10"/>
        <v>100</v>
      </c>
      <c r="T30" s="765" t="s">
        <v>17</v>
      </c>
      <c r="U30" s="766">
        <f t="shared" si="11"/>
        <v>100</v>
      </c>
      <c r="V30" s="765" t="s">
        <v>17</v>
      </c>
      <c r="W30" s="766">
        <f t="shared" si="12"/>
        <v>100</v>
      </c>
      <c r="X30" s="1800"/>
      <c r="Y30" s="3301"/>
      <c r="Z30" s="1801" t="str">
        <f t="shared" si="13"/>
        <v>土地级别</v>
      </c>
      <c r="AA30" s="1798">
        <f t="shared" si="3"/>
        <v>1</v>
      </c>
      <c r="AB30" s="1798">
        <f t="shared" si="4"/>
        <v>1</v>
      </c>
      <c r="AC30" s="1798">
        <f t="shared" si="5"/>
        <v>1</v>
      </c>
    </row>
    <row r="31" spans="1:29" ht="15">
      <c r="A31" s="395"/>
      <c r="B31" s="2666">
        <v>111</v>
      </c>
      <c r="C31" s="665"/>
      <c r="D31" s="426">
        <v>100</v>
      </c>
      <c r="E31" s="468"/>
      <c r="F31" s="426">
        <f>SUMIF(101:101,E31,102:102)-SUMIF(101:101,C31,102:102)+100</f>
        <v>100</v>
      </c>
      <c r="G31" s="468"/>
      <c r="H31" s="426">
        <f>SUMIF(101:101,G31,102:102)-SUMIF(101:101,C31,102:102)+100</f>
        <v>100</v>
      </c>
      <c r="I31" s="540"/>
      <c r="J31" s="426">
        <f>SUMIF(101:101,I31,102:102)-SUMIF(101:101,C31,102:102)+100</f>
        <v>100</v>
      </c>
      <c r="K31" s="604"/>
      <c r="L31" s="1128"/>
      <c r="M31" s="1119"/>
      <c r="N31" s="1119"/>
      <c r="O31" s="1127"/>
      <c r="P31" s="3301"/>
      <c r="Q31" s="1797">
        <f t="shared" si="8"/>
        <v>111</v>
      </c>
      <c r="R31" s="765" t="s">
        <v>17</v>
      </c>
      <c r="S31" s="766">
        <f t="shared" si="10"/>
        <v>100</v>
      </c>
      <c r="T31" s="765" t="s">
        <v>17</v>
      </c>
      <c r="U31" s="766">
        <f t="shared" si="11"/>
        <v>100</v>
      </c>
      <c r="V31" s="765" t="s">
        <v>17</v>
      </c>
      <c r="W31" s="766">
        <f t="shared" si="12"/>
        <v>100</v>
      </c>
      <c r="X31" s="1800"/>
      <c r="Y31" s="3301"/>
      <c r="Z31" s="1801">
        <f t="shared" si="13"/>
        <v>111</v>
      </c>
      <c r="AA31" s="1798">
        <f t="shared" si="3"/>
        <v>1</v>
      </c>
      <c r="AB31" s="1798">
        <f t="shared" si="4"/>
        <v>1</v>
      </c>
      <c r="AC31" s="1798">
        <f t="shared" si="5"/>
        <v>1</v>
      </c>
    </row>
    <row r="32" spans="1:29" ht="15">
      <c r="A32" s="666"/>
      <c r="B32" s="2702">
        <v>111</v>
      </c>
      <c r="C32" s="665"/>
      <c r="D32" s="426">
        <v>100</v>
      </c>
      <c r="E32" s="468"/>
      <c r="F32" s="426">
        <f>SUMIF(103:103,E33,104:104)-SUMIF(103:103,C33,104:104)+100</f>
        <v>100</v>
      </c>
      <c r="G32" s="468"/>
      <c r="H32" s="426">
        <f>SUMIF(103:103,G32,104:104)-SUMIF(103:103,C32,104:104)+100</f>
        <v>100</v>
      </c>
      <c r="I32" s="665"/>
      <c r="J32" s="426">
        <f>SUMIF(103:103,I32,104:104)-SUMIF(103:103,C32,104:104)+100</f>
        <v>100</v>
      </c>
      <c r="K32" s="604"/>
      <c r="L32" s="1128"/>
      <c r="M32" s="1119"/>
      <c r="N32" s="1119"/>
      <c r="O32" s="1127"/>
      <c r="P32" s="3302" t="s">
        <v>2555</v>
      </c>
      <c r="Q32" s="1797">
        <f t="shared" si="8"/>
        <v>111</v>
      </c>
      <c r="R32" s="765" t="s">
        <v>17</v>
      </c>
      <c r="S32" s="766">
        <f t="shared" si="10"/>
        <v>100</v>
      </c>
      <c r="T32" s="765" t="s">
        <v>17</v>
      </c>
      <c r="U32" s="766">
        <f t="shared" si="11"/>
        <v>100</v>
      </c>
      <c r="V32" s="765" t="s">
        <v>17</v>
      </c>
      <c r="W32" s="766">
        <f t="shared" si="12"/>
        <v>100</v>
      </c>
      <c r="X32" s="1800"/>
      <c r="Y32" s="3303" t="s">
        <v>2555</v>
      </c>
      <c r="Z32" s="1801">
        <f t="shared" si="13"/>
        <v>111</v>
      </c>
      <c r="AA32" s="1798">
        <f t="shared" si="3"/>
        <v>1</v>
      </c>
      <c r="AB32" s="1798">
        <f t="shared" si="4"/>
        <v>1</v>
      </c>
      <c r="AC32" s="1798">
        <f t="shared" si="5"/>
        <v>1</v>
      </c>
    </row>
    <row r="33" spans="1:29" s="462" customFormat="1" ht="15.75" thickBot="1">
      <c r="A33" s="667"/>
      <c r="B33" s="2703">
        <v>111</v>
      </c>
      <c r="C33" s="669"/>
      <c r="D33" s="128">
        <v>100</v>
      </c>
      <c r="E33" s="692"/>
      <c r="F33" s="429">
        <f>SUMIF(105:105,E33,106:106)-SUMIF(105:105,C33,106:106)+100</f>
        <v>100</v>
      </c>
      <c r="G33" s="692"/>
      <c r="H33" s="429">
        <f>SUMIF(105:105,G33,106:106)-SUMIF(105:105,C33,106:106)+100</f>
        <v>100</v>
      </c>
      <c r="I33" s="669"/>
      <c r="J33" s="429">
        <f>SUMIF(105:105,I33,106:106)-SUMIF(105:105,C33,106:106)+100</f>
        <v>100</v>
      </c>
      <c r="K33" s="604"/>
      <c r="L33" s="1126"/>
      <c r="M33" s="1129"/>
      <c r="N33" s="1129"/>
      <c r="O33" s="1130"/>
      <c r="P33" s="3303"/>
      <c r="Q33" s="1797">
        <f t="shared" si="8"/>
        <v>111</v>
      </c>
      <c r="R33" s="768" t="s">
        <v>17</v>
      </c>
      <c r="S33" s="769">
        <f t="shared" si="10"/>
        <v>100</v>
      </c>
      <c r="T33" s="768" t="s">
        <v>17</v>
      </c>
      <c r="U33" s="769">
        <f t="shared" si="11"/>
        <v>100</v>
      </c>
      <c r="V33" s="768" t="s">
        <v>17</v>
      </c>
      <c r="W33" s="769">
        <f t="shared" si="12"/>
        <v>100</v>
      </c>
      <c r="X33" s="770"/>
      <c r="Y33" s="3303"/>
      <c r="Z33" s="771">
        <f t="shared" si="13"/>
        <v>111</v>
      </c>
      <c r="AA33" s="1798">
        <f t="shared" si="3"/>
        <v>1</v>
      </c>
      <c r="AB33" s="1798">
        <f t="shared" si="4"/>
        <v>1</v>
      </c>
      <c r="AC33" s="1798">
        <f t="shared" si="5"/>
        <v>1</v>
      </c>
    </row>
    <row r="34" spans="1:29" ht="15">
      <c r="A34" s="431" t="s">
        <v>2553</v>
      </c>
      <c r="B34" s="447" t="s">
        <v>2740</v>
      </c>
      <c r="C34" s="670"/>
      <c r="D34" s="458">
        <v>100</v>
      </c>
      <c r="E34" s="670"/>
      <c r="F34" s="458" t="e">
        <f>LOOKUP(E34,108:108,109:109)-LOOKUP(C34,108:108,109:109)+100</f>
        <v>#N/A</v>
      </c>
      <c r="G34" s="670"/>
      <c r="H34" s="458" t="e">
        <f>LOOKUP(G34,108:108,109:109)-LOOKUP(C34,108:108,109:109)+100</f>
        <v>#N/A</v>
      </c>
      <c r="I34" s="521"/>
      <c r="J34" s="458" t="e">
        <f>LOOKUP(I34,108:108,109:109)-LOOKUP(C34,108:108,109:109)+100</f>
        <v>#N/A</v>
      </c>
      <c r="K34" s="604"/>
      <c r="L34" s="1128"/>
      <c r="M34" s="1119"/>
      <c r="N34" s="1119"/>
      <c r="O34" s="1127"/>
      <c r="P34" s="3303"/>
      <c r="Q34" s="1797" t="str">
        <f>B34</f>
        <v>宗地面积</v>
      </c>
      <c r="R34" s="765" t="s">
        <v>17</v>
      </c>
      <c r="S34" s="766" t="e">
        <f t="shared" si="10"/>
        <v>#N/A</v>
      </c>
      <c r="T34" s="765" t="s">
        <v>17</v>
      </c>
      <c r="U34" s="766" t="e">
        <f t="shared" si="11"/>
        <v>#N/A</v>
      </c>
      <c r="V34" s="765" t="s">
        <v>17</v>
      </c>
      <c r="W34" s="766" t="e">
        <f t="shared" si="12"/>
        <v>#N/A</v>
      </c>
      <c r="X34" s="1800"/>
      <c r="Y34" s="3303"/>
      <c r="Z34" s="1801" t="str">
        <f t="shared" si="13"/>
        <v>宗地面积</v>
      </c>
      <c r="AA34" s="1798" t="e">
        <f t="shared" si="3"/>
        <v>#N/A</v>
      </c>
      <c r="AB34" s="1798" t="e">
        <f t="shared" si="4"/>
        <v>#N/A</v>
      </c>
      <c r="AC34" s="1798" t="e">
        <f t="shared" si="5"/>
        <v>#N/A</v>
      </c>
    </row>
    <row r="35" spans="1:29" ht="15">
      <c r="A35" s="463"/>
      <c r="B35" s="413" t="s">
        <v>2741</v>
      </c>
      <c r="C35" s="2603"/>
      <c r="D35" s="426">
        <v>100</v>
      </c>
      <c r="E35" s="2603"/>
      <c r="F35" s="426">
        <f>SUMIF(110:110,E35,111:111)-SUMIF(110:110,C35,111:111)+100</f>
        <v>100</v>
      </c>
      <c r="G35" s="2603"/>
      <c r="H35" s="426">
        <f>SUMIF(110:110,G35,111:111)-SUMIF(110:110,C35,111:111)+100</f>
        <v>100</v>
      </c>
      <c r="I35" s="2603"/>
      <c r="J35" s="426">
        <f>SUMIF(110:110,I35,111:111)-SUMIF(110:110,C35,111:111)+100</f>
        <v>100</v>
      </c>
      <c r="K35" s="603"/>
      <c r="L35" s="1128"/>
      <c r="M35" s="1119"/>
      <c r="N35" s="1119"/>
      <c r="O35" s="1127"/>
      <c r="P35" s="3303"/>
      <c r="Q35" s="1797" t="str">
        <f t="shared" ref="Q35:Q40" si="14">B35</f>
        <v>宗地形状</v>
      </c>
      <c r="R35" s="765" t="s">
        <v>17</v>
      </c>
      <c r="S35" s="766">
        <f t="shared" si="10"/>
        <v>100</v>
      </c>
      <c r="T35" s="765" t="s">
        <v>17</v>
      </c>
      <c r="U35" s="766">
        <f t="shared" si="11"/>
        <v>100</v>
      </c>
      <c r="V35" s="765" t="s">
        <v>17</v>
      </c>
      <c r="W35" s="766">
        <f t="shared" si="12"/>
        <v>100</v>
      </c>
      <c r="X35" s="1800"/>
      <c r="Y35" s="3303"/>
      <c r="Z35" s="1801" t="str">
        <f t="shared" si="13"/>
        <v>宗地形状</v>
      </c>
      <c r="AA35" s="1798">
        <f t="shared" si="3"/>
        <v>1</v>
      </c>
      <c r="AB35" s="1798">
        <f t="shared" si="4"/>
        <v>1</v>
      </c>
      <c r="AC35" s="1798">
        <f t="shared" si="5"/>
        <v>1</v>
      </c>
    </row>
    <row r="36" spans="1:29" s="110" customFormat="1" ht="15">
      <c r="A36" s="464"/>
      <c r="B36" s="413" t="s">
        <v>2743</v>
      </c>
      <c r="C36" s="2690"/>
      <c r="D36" s="127">
        <v>100</v>
      </c>
      <c r="E36" s="2690"/>
      <c r="F36" s="426">
        <f>SUMIF(112:112,E36,113:113)-SUMIF(112:112,C36,113:113)+100</f>
        <v>100</v>
      </c>
      <c r="G36" s="2690"/>
      <c r="H36" s="426">
        <f>SUMIF(112:112,G36,113:113)-SUMIF(112:112,C36,113:113)+100</f>
        <v>100</v>
      </c>
      <c r="I36" s="2690"/>
      <c r="J36" s="426">
        <f>SUMIF(112:112,I36,113:113)-SUMIF(112:112,C36,113:113)+100</f>
        <v>100</v>
      </c>
      <c r="K36" s="603"/>
      <c r="L36" s="1120"/>
      <c r="M36" s="1121"/>
      <c r="N36" s="1121"/>
      <c r="O36" s="1122"/>
      <c r="P36" s="3303"/>
      <c r="Q36" s="1797" t="str">
        <f t="shared" si="14"/>
        <v>宗地开发程度</v>
      </c>
      <c r="R36" s="761" t="s">
        <v>17</v>
      </c>
      <c r="S36" s="762">
        <f t="shared" si="10"/>
        <v>100</v>
      </c>
      <c r="T36" s="761" t="s">
        <v>17</v>
      </c>
      <c r="U36" s="762">
        <f t="shared" si="11"/>
        <v>100</v>
      </c>
      <c r="V36" s="761" t="s">
        <v>17</v>
      </c>
      <c r="W36" s="762">
        <f t="shared" si="12"/>
        <v>100</v>
      </c>
      <c r="X36" s="763"/>
      <c r="Y36" s="3303"/>
      <c r="Z36" s="54" t="str">
        <f t="shared" si="13"/>
        <v>宗地开发程度</v>
      </c>
      <c r="AA36" s="764">
        <f t="shared" si="3"/>
        <v>1</v>
      </c>
      <c r="AB36" s="764">
        <f t="shared" si="4"/>
        <v>1</v>
      </c>
      <c r="AC36" s="764">
        <f t="shared" si="5"/>
        <v>1</v>
      </c>
    </row>
    <row r="37" spans="1:29" ht="15">
      <c r="A37" s="463"/>
      <c r="B37" s="413" t="s">
        <v>2744</v>
      </c>
      <c r="C37" s="2603"/>
      <c r="D37" s="426">
        <v>100</v>
      </c>
      <c r="E37" s="2603"/>
      <c r="F37" s="426">
        <f>SUMIF(114:114,E37,115:115)-SUMIF(114:114,C37,115:115)+100</f>
        <v>100</v>
      </c>
      <c r="G37" s="2603"/>
      <c r="H37" s="426">
        <f>SUMIF(114:114,G37,115:115)-SUMIF(114:114,C37,115:115)+100</f>
        <v>100</v>
      </c>
      <c r="I37" s="2603"/>
      <c r="J37" s="426">
        <f>SUMIF(114:114,I37,115:115)-SUMIF(114:114,C37,115:115)+100</f>
        <v>100</v>
      </c>
      <c r="K37" s="603"/>
      <c r="L37" s="1128"/>
      <c r="M37" s="1119"/>
      <c r="N37" s="1119"/>
      <c r="O37" s="1127"/>
      <c r="P37" s="3303" t="s">
        <v>2555</v>
      </c>
      <c r="Q37" s="1797" t="str">
        <f t="shared" si="14"/>
        <v>工程地质条件</v>
      </c>
      <c r="R37" s="765" t="s">
        <v>17</v>
      </c>
      <c r="S37" s="766">
        <f t="shared" si="10"/>
        <v>100</v>
      </c>
      <c r="T37" s="765" t="s">
        <v>17</v>
      </c>
      <c r="U37" s="766">
        <f t="shared" si="11"/>
        <v>100</v>
      </c>
      <c r="V37" s="765" t="s">
        <v>17</v>
      </c>
      <c r="W37" s="766">
        <f t="shared" si="12"/>
        <v>100</v>
      </c>
      <c r="X37" s="1800"/>
      <c r="Y37" s="3303" t="s">
        <v>2555</v>
      </c>
      <c r="Z37" s="1801" t="str">
        <f t="shared" si="13"/>
        <v>工程地质条件</v>
      </c>
      <c r="AA37" s="1798">
        <f t="shared" si="3"/>
        <v>1</v>
      </c>
      <c r="AB37" s="1798">
        <f t="shared" si="4"/>
        <v>1</v>
      </c>
      <c r="AC37" s="1798">
        <f t="shared" si="5"/>
        <v>1</v>
      </c>
    </row>
    <row r="38" spans="1:29" ht="15">
      <c r="A38" s="463"/>
      <c r="B38" s="1375">
        <v>111</v>
      </c>
      <c r="C38" s="665"/>
      <c r="D38" s="426">
        <v>100</v>
      </c>
      <c r="E38" s="665"/>
      <c r="F38" s="426">
        <f>SUMIF(116:116,E38,117:117)-SUMIF(116:116,C38,117:117)+100</f>
        <v>100</v>
      </c>
      <c r="G38" s="665"/>
      <c r="H38" s="426">
        <f>SUMIF(116:116,G38,117:117)-SUMIF(116:116,C38,117:117)+100</f>
        <v>100</v>
      </c>
      <c r="I38" s="540"/>
      <c r="J38" s="426">
        <f>SUMIF(116:116,I38,117:117)-SUMIF(116:116,C38,117:117)+100</f>
        <v>100</v>
      </c>
      <c r="K38" s="604"/>
      <c r="L38" s="1128"/>
      <c r="M38" s="1119"/>
      <c r="N38" s="1119"/>
      <c r="O38" s="1127"/>
      <c r="P38" s="3303"/>
      <c r="Q38" s="1797">
        <f t="shared" si="14"/>
        <v>111</v>
      </c>
      <c r="R38" s="765" t="s">
        <v>17</v>
      </c>
      <c r="S38" s="766">
        <f t="shared" si="10"/>
        <v>100</v>
      </c>
      <c r="T38" s="765" t="s">
        <v>17</v>
      </c>
      <c r="U38" s="766">
        <f t="shared" si="11"/>
        <v>100</v>
      </c>
      <c r="V38" s="765" t="s">
        <v>17</v>
      </c>
      <c r="W38" s="766">
        <f t="shared" si="12"/>
        <v>100</v>
      </c>
      <c r="X38" s="1800"/>
      <c r="Y38" s="3303"/>
      <c r="Z38" s="1801">
        <f t="shared" si="13"/>
        <v>111</v>
      </c>
      <c r="AA38" s="1798">
        <f t="shared" si="3"/>
        <v>1</v>
      </c>
      <c r="AB38" s="1798">
        <f t="shared" si="4"/>
        <v>1</v>
      </c>
      <c r="AC38" s="1798">
        <f t="shared" si="5"/>
        <v>1</v>
      </c>
    </row>
    <row r="39" spans="1:29" ht="15">
      <c r="A39" s="463"/>
      <c r="B39" s="1375">
        <v>111</v>
      </c>
      <c r="C39" s="665"/>
      <c r="D39" s="426">
        <v>100</v>
      </c>
      <c r="E39" s="665"/>
      <c r="F39" s="426">
        <f>SUMIF(118:118,E39,119:119)-SUMIF(118:118,C39,119:119)+100</f>
        <v>100</v>
      </c>
      <c r="G39" s="665"/>
      <c r="H39" s="426">
        <f>SUMIF(118:118,G39,119:119)-SUMIF(118:118,C39,119:119)+100</f>
        <v>100</v>
      </c>
      <c r="I39" s="540"/>
      <c r="J39" s="426">
        <f>SUMIF(118:118,I39,119:119)-SUMIF(118:118,C39,119:119)+100</f>
        <v>100</v>
      </c>
      <c r="K39" s="604"/>
      <c r="L39" s="1128"/>
      <c r="M39" s="1119"/>
      <c r="N39" s="1119"/>
      <c r="O39" s="1127"/>
      <c r="P39" s="3303"/>
      <c r="Q39" s="1797">
        <f t="shared" si="14"/>
        <v>111</v>
      </c>
      <c r="R39" s="765" t="s">
        <v>17</v>
      </c>
      <c r="S39" s="766">
        <f t="shared" si="10"/>
        <v>100</v>
      </c>
      <c r="T39" s="765" t="s">
        <v>17</v>
      </c>
      <c r="U39" s="766">
        <f t="shared" si="11"/>
        <v>100</v>
      </c>
      <c r="V39" s="765" t="s">
        <v>17</v>
      </c>
      <c r="W39" s="766">
        <f t="shared" si="12"/>
        <v>100</v>
      </c>
      <c r="X39" s="1800"/>
      <c r="Y39" s="3303"/>
      <c r="Z39" s="1801">
        <f t="shared" si="13"/>
        <v>111</v>
      </c>
      <c r="AA39" s="1798">
        <f t="shared" si="3"/>
        <v>1</v>
      </c>
      <c r="AB39" s="1798">
        <f t="shared" si="4"/>
        <v>1</v>
      </c>
      <c r="AC39" s="1798">
        <f t="shared" si="5"/>
        <v>1</v>
      </c>
    </row>
    <row r="40" spans="1:29" s="462" customFormat="1" ht="15.75" thickBot="1">
      <c r="A40" s="459"/>
      <c r="B40" s="1375">
        <v>111</v>
      </c>
      <c r="C40" s="2691"/>
      <c r="D40" s="128">
        <v>100</v>
      </c>
      <c r="E40" s="665"/>
      <c r="F40" s="429">
        <f>SUMIF(120:120,E40,121:121)-SUMIF(120:120,C40,121:121)+100</f>
        <v>100</v>
      </c>
      <c r="G40" s="665"/>
      <c r="H40" s="429">
        <f>SUMIF(120:120,G40,121:121)-SUMIF(120:120,C40,121:121)+100</f>
        <v>100</v>
      </c>
      <c r="I40" s="540"/>
      <c r="J40" s="429">
        <f>SUMIF(120:120,I40,121:121)-SUMIF(120:120,C40,121:121)+100</f>
        <v>100</v>
      </c>
      <c r="K40" s="672"/>
      <c r="L40" s="1126"/>
      <c r="M40" s="1129"/>
      <c r="N40" s="1129"/>
      <c r="O40" s="1130"/>
      <c r="P40" s="3303"/>
      <c r="Q40" s="1797">
        <f t="shared" si="14"/>
        <v>111</v>
      </c>
      <c r="R40" s="768" t="s">
        <v>17</v>
      </c>
      <c r="S40" s="769">
        <f t="shared" si="10"/>
        <v>100</v>
      </c>
      <c r="T40" s="768" t="s">
        <v>17</v>
      </c>
      <c r="U40" s="769">
        <f t="shared" si="11"/>
        <v>100</v>
      </c>
      <c r="V40" s="768" t="s">
        <v>17</v>
      </c>
      <c r="W40" s="769">
        <f t="shared" si="12"/>
        <v>100</v>
      </c>
      <c r="X40" s="770"/>
      <c r="Y40" s="3303"/>
      <c r="Z40" s="771">
        <f t="shared" si="13"/>
        <v>111</v>
      </c>
      <c r="AA40" s="1798">
        <f t="shared" si="3"/>
        <v>1</v>
      </c>
      <c r="AB40" s="1798">
        <f t="shared" si="4"/>
        <v>1</v>
      </c>
      <c r="AC40" s="1798">
        <f t="shared" si="5"/>
        <v>1</v>
      </c>
    </row>
    <row r="41" spans="1:29" ht="15">
      <c r="A41" s="470" t="s">
        <v>2710</v>
      </c>
      <c r="B41" s="2692" t="s">
        <v>2788</v>
      </c>
      <c r="C41" s="673" t="s">
        <v>1</v>
      </c>
      <c r="D41" s="472"/>
      <c r="E41" s="473"/>
      <c r="F41" s="474"/>
      <c r="G41" s="475"/>
      <c r="H41" s="476"/>
      <c r="I41" s="473"/>
      <c r="J41" s="476"/>
      <c r="K41" s="774"/>
      <c r="L41" s="1131"/>
      <c r="M41" s="1119"/>
      <c r="N41" s="1119"/>
      <c r="O41" s="1132"/>
      <c r="P41" s="3285" t="str">
        <f>A41</f>
        <v>成交单价</v>
      </c>
      <c r="Q41" s="3285"/>
      <c r="R41" s="3298">
        <f>E41</f>
        <v>0</v>
      </c>
      <c r="S41" s="3298"/>
      <c r="T41" s="3298">
        <f>G41</f>
        <v>0</v>
      </c>
      <c r="U41" s="3298"/>
      <c r="V41" s="3298">
        <f>I41</f>
        <v>0</v>
      </c>
      <c r="W41" s="3298"/>
      <c r="X41" s="750"/>
      <c r="Y41" s="772"/>
      <c r="Z41" s="750"/>
      <c r="AA41" s="750"/>
      <c r="AB41" s="750"/>
      <c r="AC41" s="750"/>
    </row>
    <row r="42" spans="1:29" ht="15.75" thickBot="1">
      <c r="A42" s="477" t="s">
        <v>2659</v>
      </c>
      <c r="B42" s="674"/>
      <c r="C42" s="481" t="e">
        <f>R43</f>
        <v>#DIV/0!</v>
      </c>
      <c r="D42" s="480"/>
      <c r="E42" s="481" t="e">
        <f>R42</f>
        <v>#DIV/0!</v>
      </c>
      <c r="F42" s="482"/>
      <c r="G42" s="479" t="e">
        <f>T42</f>
        <v>#DIV/0!</v>
      </c>
      <c r="H42" s="480"/>
      <c r="I42" s="481" t="e">
        <f>V42</f>
        <v>#DIV/0!</v>
      </c>
      <c r="J42" s="480"/>
      <c r="K42" s="775"/>
      <c r="L42" s="1131"/>
      <c r="M42" s="1119"/>
      <c r="N42" s="1119"/>
      <c r="O42" s="1132"/>
      <c r="P42" s="3285" t="str">
        <f>A42</f>
        <v>比较价值（元/平方米）</v>
      </c>
      <c r="Q42" s="3285"/>
      <c r="R42" s="3304" t="e">
        <f>ROUND(PRODUCT(R41,AA7:AA40),0)</f>
        <v>#DIV/0!</v>
      </c>
      <c r="S42" s="3304"/>
      <c r="T42" s="3304" t="e">
        <f>ROUND(PRODUCT(T41,AB7:AB40),0)</f>
        <v>#DIV/0!</v>
      </c>
      <c r="U42" s="3304"/>
      <c r="V42" s="3304" t="e">
        <f>ROUND(PRODUCT(V41,AC7:AC40),0)</f>
        <v>#DIV/0!</v>
      </c>
      <c r="W42" s="3304"/>
      <c r="X42" s="750"/>
      <c r="Y42" s="750"/>
      <c r="Z42" s="750"/>
      <c r="AA42" s="750"/>
      <c r="AB42" s="750"/>
      <c r="AC42" s="750"/>
    </row>
    <row r="43" spans="1:29" ht="15.75" thickBot="1">
      <c r="A43" s="483" t="s">
        <v>2660</v>
      </c>
      <c r="B43" s="484"/>
      <c r="C43" s="485" t="e">
        <f>R43</f>
        <v>#DIV/0!</v>
      </c>
      <c r="D43" s="485"/>
      <c r="E43" s="485"/>
      <c r="F43" s="485"/>
      <c r="G43" s="485"/>
      <c r="H43" s="485"/>
      <c r="I43" s="485"/>
      <c r="J43" s="485"/>
      <c r="K43" s="776"/>
      <c r="L43" s="1131"/>
      <c r="M43" s="1119"/>
      <c r="N43" s="1119"/>
      <c r="O43" s="1132"/>
      <c r="P43" s="3305" t="str">
        <f>A43</f>
        <v>估价对象XX用房的比较价值（楼面单价，元/平方米）</v>
      </c>
      <c r="Q43" s="3306"/>
      <c r="R43" s="3307" t="e">
        <f>ROUND(AVERAGE(R42:V42),0)</f>
        <v>#DIV/0!</v>
      </c>
      <c r="S43" s="3307"/>
      <c r="T43" s="3307"/>
      <c r="U43" s="3307"/>
      <c r="V43" s="3307"/>
      <c r="W43" s="3307"/>
      <c r="X43" s="750"/>
      <c r="Y43" s="750"/>
      <c r="Z43" s="750"/>
      <c r="AA43" s="750"/>
      <c r="AB43" s="750"/>
      <c r="AC43" s="750"/>
    </row>
    <row r="44" spans="1:29">
      <c r="A44" s="1132"/>
      <c r="B44" s="1132"/>
      <c r="C44" s="1132"/>
      <c r="D44" s="1132"/>
      <c r="E44" s="1132"/>
      <c r="F44" s="1132"/>
      <c r="G44" s="1135"/>
      <c r="H44" s="1132"/>
      <c r="I44" s="1132"/>
      <c r="J44" s="1132"/>
      <c r="K44" s="1093"/>
      <c r="L44" s="1094"/>
      <c r="M44" s="1119"/>
      <c r="N44" s="1119"/>
      <c r="O44" s="1132"/>
    </row>
    <row r="45" spans="1:29">
      <c r="A45" s="1132"/>
      <c r="B45" s="1132"/>
      <c r="C45" s="1132"/>
      <c r="D45" s="1132"/>
      <c r="E45" s="1132"/>
      <c r="F45" s="1132"/>
      <c r="G45" s="1132"/>
      <c r="H45" s="1132"/>
      <c r="I45" s="1132"/>
      <c r="J45" s="1132"/>
      <c r="K45" s="1093"/>
      <c r="L45" s="1094"/>
      <c r="M45" s="1119"/>
      <c r="N45" s="1119"/>
      <c r="O45" s="1132"/>
    </row>
    <row r="46" spans="1:29" ht="13.5" customHeight="1">
      <c r="A46" s="1132"/>
      <c r="B46" s="1132"/>
      <c r="C46" s="488" t="s">
        <v>2661</v>
      </c>
      <c r="D46" s="489"/>
      <c r="E46" s="490" t="e">
        <f>IF(E41&lt;E42,E42/E41-1,E41/E42-1)</f>
        <v>#DIV/0!</v>
      </c>
      <c r="F46" s="491" t="e">
        <f>IF(OR(E46&gt;=0.3,E46&lt;=-0.3),"超过30%","")</f>
        <v>#DIV/0!</v>
      </c>
      <c r="G46" s="490" t="e">
        <f>IF(G41&lt;G42,G42/G41-1,G41/G42-1)</f>
        <v>#DIV/0!</v>
      </c>
      <c r="H46" s="491" t="e">
        <f>IF(OR(G46&gt;=0.3,G46&lt;=-0.3),"超过30%","")</f>
        <v>#DIV/0!</v>
      </c>
      <c r="I46" s="490" t="e">
        <f>IF(I41&lt;I42,I42/I41-1,I41/I42-1)</f>
        <v>#DIV/0!</v>
      </c>
      <c r="J46" s="491" t="e">
        <f>IF(OR(I46&gt;=0.3,I46&lt;=-0.3),"超过30%","")</f>
        <v>#DIV/0!</v>
      </c>
      <c r="K46" s="1093"/>
      <c r="L46" s="1094"/>
      <c r="M46" s="1119"/>
      <c r="N46" s="1119"/>
      <c r="O46" s="1132"/>
    </row>
    <row r="47" spans="1:29" ht="13.5" customHeight="1">
      <c r="A47" s="1132"/>
      <c r="B47" s="1132"/>
      <c r="C47" s="488" t="s">
        <v>2662</v>
      </c>
      <c r="D47" s="492"/>
      <c r="E47" s="490" t="e">
        <f>IF(E42&lt;G42,G42/E42-1,E42/G42-1)</f>
        <v>#DIV/0!</v>
      </c>
      <c r="F47" s="491" t="e">
        <f>IF(OR(E47&gt;=0.2,E47&lt;=-0.2),"超过20%","")</f>
        <v>#DIV/0!</v>
      </c>
      <c r="G47" s="490" t="e">
        <f>IF(G42&lt;I42,I42/G42-1,G42/I42-1)</f>
        <v>#DIV/0!</v>
      </c>
      <c r="H47" s="491" t="e">
        <f>IF(OR(G47&gt;=0.2,G47&lt;=-0.2),"超过20%","")</f>
        <v>#DIV/0!</v>
      </c>
      <c r="I47" s="490" t="e">
        <f>IF(I42&lt;E42,E42/I42-1,I42/E42-1)</f>
        <v>#DIV/0!</v>
      </c>
      <c r="J47" s="491" t="e">
        <f>IF(OR(I47&gt;=0.2,I47&lt;=-0.2),"超过20%","")</f>
        <v>#DIV/0!</v>
      </c>
      <c r="K47" s="1093"/>
      <c r="L47" s="1094"/>
      <c r="M47" s="1132"/>
      <c r="N47" s="1132"/>
      <c r="O47" s="1132"/>
    </row>
    <row r="48" spans="1:29" s="493" customFormat="1" ht="13.5" customHeight="1">
      <c r="A48" s="1133"/>
      <c r="B48" s="1133"/>
      <c r="C48" s="488" t="s">
        <v>2663</v>
      </c>
      <c r="D48" s="492"/>
      <c r="E48" s="490" t="e">
        <f>IF(E41&lt;G41,G41/E41-1,E41/G41-1)</f>
        <v>#DIV/0!</v>
      </c>
      <c r="F48" s="491" t="e">
        <f>IF(OR(E48&gt;=0.3,E48&lt;=-0.3),"超过30%","")</f>
        <v>#DIV/0!</v>
      </c>
      <c r="G48" s="490" t="e">
        <f>IF(G41&lt;I41,I41/G41-1,G41/I41-1)</f>
        <v>#DIV/0!</v>
      </c>
      <c r="H48" s="491" t="e">
        <f>IF(OR(G48&gt;=0.3,G48&lt;=-0.3),"超过30%","")</f>
        <v>#DIV/0!</v>
      </c>
      <c r="I48" s="490" t="e">
        <f>IF(I41&lt;E41,E41/I41-1,I41/E41-1)</f>
        <v>#DIV/0!</v>
      </c>
      <c r="J48" s="491" t="e">
        <f>IF(OR(I48&gt;=0.3,I48&lt;=-0.3),"超过30%","")</f>
        <v>#DIV/0!</v>
      </c>
      <c r="K48" s="1136"/>
      <c r="L48" s="1137"/>
      <c r="M48" s="1133"/>
      <c r="N48" s="1133"/>
      <c r="O48" s="1133"/>
    </row>
    <row r="49" spans="1:17" s="493" customFormat="1" ht="15" thickBot="1">
      <c r="A49" s="1133"/>
      <c r="B49" s="1134"/>
      <c r="C49" s="753"/>
      <c r="D49" s="751"/>
      <c r="E49" s="751"/>
      <c r="F49" s="751"/>
      <c r="G49" s="751"/>
      <c r="H49" s="751"/>
      <c r="I49" s="751"/>
      <c r="J49" s="751"/>
      <c r="K49" s="1136"/>
      <c r="L49" s="1137"/>
      <c r="M49" s="1133"/>
      <c r="N49" s="1133"/>
      <c r="O49" s="1133"/>
    </row>
    <row r="50" spans="1:17" ht="27">
      <c r="A50" s="675" t="s">
        <v>2747</v>
      </c>
      <c r="B50" s="676" t="s">
        <v>2748</v>
      </c>
      <c r="C50" s="2693" t="s">
        <v>2749</v>
      </c>
      <c r="D50" s="2694" t="s">
        <v>2750</v>
      </c>
      <c r="E50" s="677" t="s">
        <v>2751</v>
      </c>
      <c r="F50" s="678" t="s">
        <v>2752</v>
      </c>
      <c r="G50" s="3286" t="s">
        <v>2753</v>
      </c>
      <c r="H50" s="3308"/>
      <c r="I50" s="1801" t="s">
        <v>2789</v>
      </c>
      <c r="J50" s="1801">
        <f>项目基本情况!F35</f>
        <v>0</v>
      </c>
      <c r="K50" s="2696" t="s">
        <v>2755</v>
      </c>
      <c r="L50" s="1094"/>
      <c r="M50" s="1132"/>
      <c r="N50" s="1132"/>
      <c r="O50" s="1132"/>
    </row>
    <row r="51" spans="1:17" s="683" customFormat="1">
      <c r="A51" s="679" t="s">
        <v>2756</v>
      </c>
      <c r="B51" s="680" t="e">
        <f>C43</f>
        <v>#DIV/0!</v>
      </c>
      <c r="C51" s="681">
        <v>1</v>
      </c>
      <c r="D51" s="1151">
        <v>1</v>
      </c>
      <c r="E51" s="681">
        <f>'数据-汇总表'!E8+'数据-汇总表'!E9</f>
        <v>20428.607999999997</v>
      </c>
      <c r="F51" s="682" t="e">
        <f t="shared" ref="F51:F60" si="15">ROUND(B51*E51/10000,0)</f>
        <v>#DIV/0!</v>
      </c>
      <c r="G51" s="3309"/>
      <c r="H51" s="3285"/>
      <c r="I51" s="931">
        <v>1</v>
      </c>
      <c r="J51" s="931">
        <v>1</v>
      </c>
      <c r="K51" s="1133"/>
      <c r="L51" s="930"/>
      <c r="M51" s="930"/>
      <c r="N51" s="930"/>
      <c r="O51" s="930"/>
    </row>
    <row r="52" spans="1:17" s="683" customFormat="1">
      <c r="A52" s="684" t="s">
        <v>2757</v>
      </c>
      <c r="B52" s="253" t="e">
        <f>ROUND($C$43*C52*D52,0)</f>
        <v>#DIV/0!</v>
      </c>
      <c r="C52" s="191">
        <f t="shared" ref="C52:C60" si="16">IF($C$50="北京市系数",I52,J52)</f>
        <v>0</v>
      </c>
      <c r="D52" s="1152">
        <v>0.25</v>
      </c>
      <c r="E52" s="685"/>
      <c r="F52" s="682" t="e">
        <f t="shared" si="15"/>
        <v>#DIV/0!</v>
      </c>
      <c r="G52" s="3310" t="s">
        <v>2758</v>
      </c>
      <c r="H52" s="1092">
        <f>项目基本情况!B37</f>
        <v>0</v>
      </c>
      <c r="I52" s="931">
        <f>SUMIF(修正!A45:A56,H52,修正!B45:B56)</f>
        <v>0</v>
      </c>
      <c r="J52" s="932"/>
      <c r="K52" s="1132"/>
      <c r="L52" s="930"/>
      <c r="M52" s="930"/>
      <c r="N52" s="930"/>
      <c r="O52" s="930"/>
    </row>
    <row r="53" spans="1:17" s="683" customFormat="1">
      <c r="A53" s="684" t="s">
        <v>2759</v>
      </c>
      <c r="B53" s="253" t="e">
        <f t="shared" ref="B53:B60" si="17">ROUND($C$43*C53*D53,0)</f>
        <v>#DIV/0!</v>
      </c>
      <c r="C53" s="191">
        <f t="shared" si="16"/>
        <v>0</v>
      </c>
      <c r="D53" s="1152">
        <v>0.25</v>
      </c>
      <c r="E53" s="685"/>
      <c r="F53" s="682" t="e">
        <f t="shared" si="15"/>
        <v>#DIV/0!</v>
      </c>
      <c r="G53" s="3310"/>
      <c r="H53" s="1092">
        <f>项目基本情况!B37</f>
        <v>0</v>
      </c>
      <c r="I53" s="931">
        <f>SUMIF(修正!A45:A56,H53,修正!C45:C56)</f>
        <v>0</v>
      </c>
      <c r="J53" s="932"/>
      <c r="K53" s="1133"/>
      <c r="L53" s="930"/>
      <c r="M53" s="930"/>
      <c r="N53" s="930"/>
      <c r="O53" s="930"/>
    </row>
    <row r="54" spans="1:17" s="683" customFormat="1">
      <c r="A54" s="684" t="s">
        <v>2760</v>
      </c>
      <c r="B54" s="253" t="e">
        <f t="shared" si="17"/>
        <v>#DIV/0!</v>
      </c>
      <c r="C54" s="191">
        <f t="shared" si="16"/>
        <v>0</v>
      </c>
      <c r="D54" s="1152">
        <v>0.25</v>
      </c>
      <c r="E54" s="685"/>
      <c r="F54" s="682" t="e">
        <f t="shared" si="15"/>
        <v>#DIV/0!</v>
      </c>
      <c r="G54" s="3310"/>
      <c r="H54" s="1092">
        <f>项目基本情况!B37</f>
        <v>0</v>
      </c>
      <c r="I54" s="931">
        <f>SUMIF(修正!A45:A56,H54,修正!D45:D56)</f>
        <v>0</v>
      </c>
      <c r="J54" s="932"/>
      <c r="K54" s="1132"/>
      <c r="L54" s="930"/>
      <c r="M54" s="930"/>
      <c r="N54" s="930"/>
      <c r="O54" s="930"/>
    </row>
    <row r="55" spans="1:17" s="683" customFormat="1">
      <c r="A55" s="684" t="s">
        <v>2761</v>
      </c>
      <c r="B55" s="253" t="e">
        <f t="shared" si="17"/>
        <v>#DIV/0!</v>
      </c>
      <c r="C55" s="191">
        <f t="shared" si="16"/>
        <v>0</v>
      </c>
      <c r="D55" s="1152">
        <v>0.25</v>
      </c>
      <c r="E55" s="685"/>
      <c r="F55" s="682" t="e">
        <f t="shared" si="15"/>
        <v>#DIV/0!</v>
      </c>
      <c r="G55" s="3310"/>
      <c r="H55" s="1092">
        <f>项目基本情况!B37</f>
        <v>0</v>
      </c>
      <c r="I55" s="931">
        <f>SUMIF(修正!A45:A56,H55,修正!E45:E56)</f>
        <v>0</v>
      </c>
      <c r="J55" s="932"/>
      <c r="K55" s="1133"/>
      <c r="L55" s="930"/>
      <c r="M55" s="930"/>
      <c r="N55" s="930"/>
      <c r="O55" s="930"/>
    </row>
    <row r="56" spans="1:17" s="683" customFormat="1">
      <c r="A56" s="684" t="s">
        <v>2762</v>
      </c>
      <c r="B56" s="253" t="e">
        <f t="shared" si="17"/>
        <v>#DIV/0!</v>
      </c>
      <c r="C56" s="191">
        <f t="shared" si="16"/>
        <v>0</v>
      </c>
      <c r="D56" s="1152">
        <v>0.25</v>
      </c>
      <c r="E56" s="252">
        <f>'数据-汇总表'!E11</f>
        <v>0</v>
      </c>
      <c r="F56" s="682" t="e">
        <f t="shared" si="15"/>
        <v>#DIV/0!</v>
      </c>
      <c r="G56" s="2697" t="s">
        <v>2763</v>
      </c>
      <c r="H56" s="1092">
        <f>项目基本情况!C37</f>
        <v>0</v>
      </c>
      <c r="I56" s="931">
        <f>SUMIF(修正!A45:A56,H56,修正!F45:F56)</f>
        <v>0</v>
      </c>
      <c r="J56" s="932"/>
      <c r="K56" s="1132"/>
      <c r="L56" s="930"/>
      <c r="M56" s="930"/>
      <c r="N56" s="930"/>
      <c r="O56" s="930"/>
    </row>
    <row r="57" spans="1:17" s="683" customFormat="1">
      <c r="A57" s="684" t="s">
        <v>2764</v>
      </c>
      <c r="B57" s="253" t="e">
        <f t="shared" si="17"/>
        <v>#DIV/0!</v>
      </c>
      <c r="C57" s="191">
        <f t="shared" si="16"/>
        <v>0</v>
      </c>
      <c r="D57" s="1152">
        <v>0.25</v>
      </c>
      <c r="E57" s="252">
        <f>'数据-汇总表'!E12</f>
        <v>0</v>
      </c>
      <c r="F57" s="682" t="e">
        <f t="shared" si="15"/>
        <v>#DIV/0!</v>
      </c>
      <c r="G57" s="1097" t="s">
        <v>2765</v>
      </c>
      <c r="H57" s="1092">
        <f>IF(G57="商业",项目基本情况!B37,IF(G57="办公",项目基本情况!C37,IF(G57="住宅",项目基本情况!D37,项目基本情况!E37)))</f>
        <v>0</v>
      </c>
      <c r="I57" s="931">
        <f>SUMIF(修正!A45:A56,H57,修正!G45:G56)</f>
        <v>0</v>
      </c>
      <c r="J57" s="932"/>
      <c r="K57" s="1133"/>
      <c r="L57" s="930"/>
      <c r="M57" s="930"/>
      <c r="N57" s="930"/>
      <c r="O57" s="930"/>
    </row>
    <row r="58" spans="1:17" s="683" customFormat="1">
      <c r="A58" s="684" t="s">
        <v>2766</v>
      </c>
      <c r="B58" s="253" t="e">
        <f t="shared" si="17"/>
        <v>#DIV/0!</v>
      </c>
      <c r="C58" s="191">
        <f t="shared" si="16"/>
        <v>0</v>
      </c>
      <c r="D58" s="1152">
        <v>0.25</v>
      </c>
      <c r="E58" s="252">
        <f>'数据-汇总表'!E13</f>
        <v>0</v>
      </c>
      <c r="F58" s="682" t="e">
        <f t="shared" si="15"/>
        <v>#DIV/0!</v>
      </c>
      <c r="G58" s="1097" t="s">
        <v>2767</v>
      </c>
      <c r="H58" s="1092">
        <f>IF(G58="商业",项目基本情况!B37,IF(G58="办公",项目基本情况!C37,IF(G58="住宅",项目基本情况!D37,项目基本情况!E37)))</f>
        <v>0</v>
      </c>
      <c r="I58" s="931">
        <f>SUMIF(修正!A45:A56,H58,修正!H45:H56)</f>
        <v>0</v>
      </c>
      <c r="J58" s="932"/>
      <c r="K58" s="1132"/>
      <c r="L58" s="930"/>
      <c r="M58" s="930"/>
      <c r="N58" s="930"/>
      <c r="O58" s="930"/>
    </row>
    <row r="59" spans="1:17" s="683" customFormat="1">
      <c r="A59" s="684" t="s">
        <v>2768</v>
      </c>
      <c r="B59" s="253" t="e">
        <f t="shared" si="17"/>
        <v>#DIV/0!</v>
      </c>
      <c r="C59" s="191">
        <f t="shared" si="16"/>
        <v>0</v>
      </c>
      <c r="D59" s="1152">
        <v>0.25</v>
      </c>
      <c r="E59" s="252">
        <f>'数据-汇总表'!E14</f>
        <v>0</v>
      </c>
      <c r="F59" s="682" t="e">
        <f t="shared" si="15"/>
        <v>#DIV/0!</v>
      </c>
      <c r="G59" s="2697" t="s">
        <v>2758</v>
      </c>
      <c r="H59" s="1092">
        <f>项目基本情况!B37</f>
        <v>0</v>
      </c>
      <c r="I59" s="931">
        <f>SUMIF(修正!A45:A56,H59,修正!H45:H56)</f>
        <v>0</v>
      </c>
      <c r="J59" s="932"/>
      <c r="K59" s="1133"/>
      <c r="L59" s="930"/>
      <c r="M59" s="930"/>
      <c r="N59" s="930"/>
      <c r="O59" s="930"/>
    </row>
    <row r="60" spans="1:17" s="683" customFormat="1" ht="15" thickBot="1">
      <c r="A60" s="684" t="s">
        <v>2769</v>
      </c>
      <c r="B60" s="253" t="e">
        <f t="shared" si="17"/>
        <v>#DIV/0!</v>
      </c>
      <c r="C60" s="191">
        <f t="shared" si="16"/>
        <v>0</v>
      </c>
      <c r="D60" s="1152">
        <v>0.25</v>
      </c>
      <c r="E60" s="252">
        <f>'数据-汇总表'!E15</f>
        <v>0</v>
      </c>
      <c r="F60" s="682" t="e">
        <f t="shared" si="15"/>
        <v>#DIV/0!</v>
      </c>
      <c r="G60" s="2698" t="s">
        <v>2763</v>
      </c>
      <c r="H60" s="1102">
        <f>项目基本情况!C37</f>
        <v>0</v>
      </c>
      <c r="I60" s="931">
        <f>SUMIF(修正!A45:A56,H60,修正!H45:H56)</f>
        <v>0</v>
      </c>
      <c r="J60" s="932"/>
      <c r="K60" s="1132"/>
      <c r="L60" s="930"/>
      <c r="M60" s="930"/>
      <c r="N60" s="930"/>
      <c r="O60" s="930"/>
    </row>
    <row r="61" spans="1:17" s="683" customFormat="1" ht="15" thickBot="1">
      <c r="A61" s="686" t="s">
        <v>2770</v>
      </c>
      <c r="B61" s="687" t="s">
        <v>28</v>
      </c>
      <c r="C61" s="687" t="s">
        <v>29</v>
      </c>
      <c r="D61" s="687" t="s">
        <v>1029</v>
      </c>
      <c r="E61" s="687">
        <f>IF(B41="楼面地价",SUM(E51:E60),'数据-汇总表'!D3)</f>
        <v>8573.39</v>
      </c>
      <c r="F61" s="688" t="e">
        <f>IF(B41="楼面地价",SUM(F51:F60),ROUND(C43*E61/10000,0))</f>
        <v>#DIV/0!</v>
      </c>
      <c r="G61" s="1146"/>
      <c r="H61" s="1146"/>
      <c r="I61" s="1146"/>
      <c r="J61" s="1146"/>
      <c r="K61" s="1093"/>
      <c r="L61" s="930"/>
      <c r="M61" s="930"/>
      <c r="N61" s="930"/>
      <c r="O61" s="930"/>
    </row>
    <row r="62" spans="1:17">
      <c r="A62" s="1132"/>
      <c r="B62" s="1134"/>
      <c r="C62" s="1138"/>
      <c r="D62" s="1132"/>
      <c r="E62" s="1132"/>
      <c r="F62" s="1132"/>
      <c r="G62" s="1132"/>
      <c r="H62" s="1132"/>
      <c r="I62" s="1132"/>
      <c r="J62" s="1132"/>
      <c r="K62" s="1093"/>
      <c r="L62" s="1094"/>
      <c r="M62" s="1132"/>
      <c r="N62" s="1132"/>
      <c r="O62" s="1132"/>
    </row>
    <row r="63" spans="1:17">
      <c r="A63" s="1132"/>
      <c r="B63" s="1134"/>
      <c r="C63" s="752" t="str">
        <f>YEAR(C7)&amp;"-"&amp;MONTH(C7)&amp;"-1"</f>
        <v>2019-2-1</v>
      </c>
      <c r="D63" s="752">
        <f>EDATE(C63,-3)</f>
        <v>43405</v>
      </c>
      <c r="E63" s="752">
        <f>EDATE(D63,-3)</f>
        <v>43313</v>
      </c>
      <c r="F63" s="752">
        <f t="shared" ref="F63:O63" si="18">EDATE(E63,-3)</f>
        <v>43221</v>
      </c>
      <c r="G63" s="752">
        <f t="shared" si="18"/>
        <v>43132</v>
      </c>
      <c r="H63" s="752">
        <f t="shared" si="18"/>
        <v>43040</v>
      </c>
      <c r="I63" s="752">
        <f t="shared" si="18"/>
        <v>42948</v>
      </c>
      <c r="J63" s="752">
        <f t="shared" si="18"/>
        <v>42856</v>
      </c>
      <c r="K63" s="752">
        <f t="shared" si="18"/>
        <v>42767</v>
      </c>
      <c r="L63" s="752">
        <f t="shared" si="18"/>
        <v>42675</v>
      </c>
      <c r="M63" s="752">
        <f t="shared" si="18"/>
        <v>42583</v>
      </c>
      <c r="N63" s="752">
        <f t="shared" si="18"/>
        <v>42491</v>
      </c>
      <c r="O63" s="752">
        <f t="shared" si="18"/>
        <v>42401</v>
      </c>
    </row>
    <row r="64" spans="1:17" ht="21.75" thickBot="1">
      <c r="A64" s="754" t="s">
        <v>2664</v>
      </c>
      <c r="B64" s="750"/>
      <c r="C64" s="755"/>
      <c r="D64" s="755"/>
      <c r="E64" s="755"/>
      <c r="F64" s="756"/>
      <c r="G64" s="756"/>
      <c r="H64" s="755"/>
      <c r="I64" s="755"/>
      <c r="J64" s="755"/>
      <c r="K64" s="757"/>
      <c r="L64" s="758"/>
      <c r="M64" s="755"/>
      <c r="N64" s="755"/>
      <c r="O64" s="1147"/>
      <c r="P64" s="494"/>
      <c r="Q64" s="495"/>
    </row>
    <row r="65" spans="1:17" s="499" customFormat="1" ht="15">
      <c r="A65" s="2699" t="s">
        <v>2771</v>
      </c>
      <c r="B65" s="1347"/>
      <c r="C65" s="1559" t="str">
        <f>YEAR(C63)&amp;"-"&amp;ROUNDUP(MONTH(C63)/3,0)</f>
        <v>2019-1</v>
      </c>
      <c r="D65" s="1559" t="str">
        <f t="shared" ref="D65:O65" si="19">YEAR(D63)&amp;"-"&amp;ROUNDUP(MONTH(D63)/3,0)</f>
        <v>2018-4</v>
      </c>
      <c r="E65" s="1559" t="str">
        <f t="shared" si="19"/>
        <v>2018-3</v>
      </c>
      <c r="F65" s="1559" t="str">
        <f t="shared" si="19"/>
        <v>2018-2</v>
      </c>
      <c r="G65" s="1559" t="str">
        <f t="shared" si="19"/>
        <v>2018-1</v>
      </c>
      <c r="H65" s="1559" t="str">
        <f t="shared" si="19"/>
        <v>2017-4</v>
      </c>
      <c r="I65" s="1559" t="str">
        <f t="shared" si="19"/>
        <v>2017-3</v>
      </c>
      <c r="J65" s="1559" t="str">
        <f t="shared" si="19"/>
        <v>2017-2</v>
      </c>
      <c r="K65" s="1559" t="str">
        <f t="shared" si="19"/>
        <v>2017-1</v>
      </c>
      <c r="L65" s="1559" t="str">
        <f t="shared" si="19"/>
        <v>2016-4</v>
      </c>
      <c r="M65" s="1559" t="str">
        <f t="shared" si="19"/>
        <v>2016-3</v>
      </c>
      <c r="N65" s="1559" t="str">
        <f t="shared" si="19"/>
        <v>2016-2</v>
      </c>
      <c r="O65" s="1559" t="str">
        <f t="shared" si="19"/>
        <v>2016-1</v>
      </c>
      <c r="P65" s="498"/>
    </row>
    <row r="66" spans="1:17" s="110" customFormat="1" ht="30.75" customHeight="1">
      <c r="A66" s="2704" t="s">
        <v>2790</v>
      </c>
      <c r="B66" s="323" t="str">
        <f>"北京市平均增长率"&amp;TEXT(基准地价修正!P24,"0.00%")</f>
        <v>北京市平均增长率0.00%</v>
      </c>
      <c r="C66" s="594">
        <v>100</v>
      </c>
      <c r="D66" s="586"/>
      <c r="E66" s="586"/>
      <c r="F66" s="586"/>
      <c r="G66" s="586"/>
      <c r="H66" s="586"/>
      <c r="I66" s="586"/>
      <c r="J66" s="586"/>
      <c r="K66" s="586"/>
      <c r="L66" s="586"/>
      <c r="M66" s="1555"/>
      <c r="N66" s="1555"/>
      <c r="O66" s="1556"/>
      <c r="P66" s="495"/>
    </row>
    <row r="67" spans="1:17" s="110" customFormat="1" ht="15.75" thickBot="1">
      <c r="A67" s="506" t="s">
        <v>2575</v>
      </c>
      <c r="B67" s="507"/>
      <c r="C67" s="508"/>
      <c r="D67" s="509"/>
      <c r="E67" s="509"/>
      <c r="F67" s="509"/>
      <c r="G67" s="509"/>
      <c r="H67" s="509"/>
      <c r="I67" s="509"/>
      <c r="J67" s="509"/>
      <c r="K67" s="509"/>
      <c r="L67" s="509"/>
      <c r="M67" s="510"/>
      <c r="N67" s="510"/>
      <c r="O67" s="511"/>
      <c r="P67" s="495"/>
      <c r="Q67" s="495"/>
    </row>
    <row r="68" spans="1:17" s="110" customFormat="1" ht="15">
      <c r="A68" s="512" t="s">
        <v>2540</v>
      </c>
      <c r="B68" s="501"/>
      <c r="C68" s="513" t="s">
        <v>2642</v>
      </c>
      <c r="D68" s="514"/>
      <c r="E68" s="514"/>
      <c r="F68" s="514"/>
      <c r="G68" s="514"/>
      <c r="H68" s="514"/>
      <c r="I68" s="514"/>
      <c r="J68" s="514"/>
      <c r="K68" s="514"/>
      <c r="L68" s="515"/>
      <c r="M68" s="516"/>
      <c r="N68" s="1139"/>
      <c r="O68" s="1139"/>
      <c r="P68" s="517"/>
      <c r="Q68" s="495"/>
    </row>
    <row r="69" spans="1:17" s="110" customFormat="1" ht="15.75" thickBot="1">
      <c r="A69" s="512"/>
      <c r="B69" s="501"/>
      <c r="C69" s="630">
        <v>100</v>
      </c>
      <c r="D69" s="503"/>
      <c r="E69" s="503"/>
      <c r="F69" s="503"/>
      <c r="G69" s="503"/>
      <c r="H69" s="503"/>
      <c r="I69" s="503"/>
      <c r="J69" s="503"/>
      <c r="K69" s="503"/>
      <c r="L69" s="503"/>
      <c r="M69" s="505"/>
      <c r="N69" s="1139"/>
      <c r="O69" s="1139"/>
      <c r="P69" s="495"/>
      <c r="Q69" s="495"/>
    </row>
    <row r="70" spans="1:17">
      <c r="A70" s="518" t="s">
        <v>2578</v>
      </c>
      <c r="B70" s="519" t="s">
        <v>2544</v>
      </c>
      <c r="C70" s="521"/>
      <c r="D70" s="521"/>
      <c r="E70" s="521"/>
      <c r="F70" s="521"/>
      <c r="G70" s="521"/>
      <c r="H70" s="521"/>
      <c r="I70" s="521"/>
      <c r="J70" s="521"/>
      <c r="K70" s="522"/>
      <c r="L70" s="523"/>
      <c r="M70" s="524"/>
      <c r="N70" s="1140"/>
      <c r="O70" s="1140"/>
      <c r="P70" s="45"/>
      <c r="Q70" s="495"/>
    </row>
    <row r="71" spans="1:17" ht="15.75" thickBot="1">
      <c r="A71" s="525"/>
      <c r="B71" s="526"/>
      <c r="C71" s="527"/>
      <c r="D71" s="527"/>
      <c r="E71" s="527"/>
      <c r="F71" s="527"/>
      <c r="G71" s="527"/>
      <c r="H71" s="527"/>
      <c r="I71" s="527"/>
      <c r="J71" s="527"/>
      <c r="K71" s="527"/>
      <c r="L71" s="527"/>
      <c r="M71" s="528"/>
      <c r="N71" s="1141"/>
      <c r="O71" s="1141"/>
      <c r="P71" s="45"/>
      <c r="Q71" s="495"/>
    </row>
    <row r="72" spans="1:17" ht="27.75" thickTop="1">
      <c r="A72" s="525"/>
      <c r="B72" s="529" t="s">
        <v>2547</v>
      </c>
      <c r="C72" s="530"/>
      <c r="D72" s="530"/>
      <c r="E72" s="530"/>
      <c r="F72" s="530"/>
      <c r="G72" s="530"/>
      <c r="H72" s="530"/>
      <c r="I72" s="530"/>
      <c r="J72" s="530"/>
      <c r="K72" s="531"/>
      <c r="L72" s="532"/>
      <c r="M72" s="533"/>
      <c r="N72" s="1140"/>
      <c r="O72" s="1140"/>
      <c r="P72" s="45"/>
      <c r="Q72" s="495"/>
    </row>
    <row r="73" spans="1:17" ht="15.75" thickBot="1">
      <c r="A73" s="525"/>
      <c r="B73" s="534"/>
      <c r="C73" s="535"/>
      <c r="D73" s="535"/>
      <c r="E73" s="535"/>
      <c r="F73" s="535"/>
      <c r="G73" s="535"/>
      <c r="H73" s="535"/>
      <c r="I73" s="535"/>
      <c r="J73" s="535"/>
      <c r="K73" s="535"/>
      <c r="L73" s="535"/>
      <c r="M73" s="536"/>
      <c r="N73" s="1141"/>
      <c r="O73" s="1141"/>
      <c r="P73" s="45"/>
      <c r="Q73" s="495"/>
    </row>
    <row r="74" spans="1:17" ht="15.75" thickTop="1">
      <c r="A74" s="525"/>
      <c r="B74" s="537" t="s">
        <v>2548</v>
      </c>
      <c r="C74" s="538" t="str">
        <f>C75&amp;"（含）"&amp;"-"&amp;D75</f>
        <v>（含）-</v>
      </c>
      <c r="D74" s="538" t="str">
        <f t="shared" ref="D74:L74" si="20">D75&amp;"（含）"&amp;"-"&amp;E75</f>
        <v>（含）-</v>
      </c>
      <c r="E74" s="538" t="str">
        <f t="shared" si="20"/>
        <v>（含）-</v>
      </c>
      <c r="F74" s="538" t="str">
        <f t="shared" si="20"/>
        <v>（含）-</v>
      </c>
      <c r="G74" s="538" t="str">
        <f t="shared" si="20"/>
        <v>（含）-</v>
      </c>
      <c r="H74" s="538" t="str">
        <f t="shared" si="20"/>
        <v>（含）-</v>
      </c>
      <c r="I74" s="538" t="str">
        <f t="shared" si="20"/>
        <v>（含）-</v>
      </c>
      <c r="J74" s="538" t="str">
        <f t="shared" si="20"/>
        <v>（含）-</v>
      </c>
      <c r="K74" s="538" t="str">
        <f t="shared" si="20"/>
        <v>（含）-</v>
      </c>
      <c r="L74" s="538" t="str">
        <f t="shared" si="20"/>
        <v>（含）-</v>
      </c>
      <c r="M74" s="439" t="str">
        <f>M75&amp;"（含）"&amp;"-"&amp;P75</f>
        <v>（含）-</v>
      </c>
      <c r="N74" s="1141"/>
      <c r="O74" s="1141"/>
      <c r="P74" s="45"/>
      <c r="Q74" s="495"/>
    </row>
    <row r="75" spans="1:17" ht="15">
      <c r="A75" s="525"/>
      <c r="B75" s="539"/>
      <c r="C75" s="540"/>
      <c r="D75" s="540"/>
      <c r="E75" s="540"/>
      <c r="F75" s="540"/>
      <c r="G75" s="540"/>
      <c r="H75" s="540"/>
      <c r="I75" s="540"/>
      <c r="J75" s="540"/>
      <c r="K75" s="541"/>
      <c r="L75" s="542"/>
      <c r="M75" s="543"/>
      <c r="N75" s="1140"/>
      <c r="O75" s="1140"/>
      <c r="P75" s="45"/>
      <c r="Q75" s="495"/>
    </row>
    <row r="76" spans="1:17" ht="15.75" thickBot="1">
      <c r="A76" s="525"/>
      <c r="B76" s="526"/>
      <c r="C76" s="535">
        <v>100</v>
      </c>
      <c r="D76" s="535">
        <f>IF($B$41="单位面积地价",C76+$K11,C76-$K11)</f>
        <v>100</v>
      </c>
      <c r="E76" s="535">
        <f t="shared" ref="E76:M76" si="21">IF($B$41="单位面积地价",D76+$K11,D76-$K11)</f>
        <v>100</v>
      </c>
      <c r="F76" s="535">
        <f t="shared" si="21"/>
        <v>100</v>
      </c>
      <c r="G76" s="535">
        <f t="shared" si="21"/>
        <v>100</v>
      </c>
      <c r="H76" s="535">
        <f t="shared" si="21"/>
        <v>100</v>
      </c>
      <c r="I76" s="535">
        <f t="shared" si="21"/>
        <v>100</v>
      </c>
      <c r="J76" s="535">
        <f t="shared" si="21"/>
        <v>100</v>
      </c>
      <c r="K76" s="535">
        <f t="shared" si="21"/>
        <v>100</v>
      </c>
      <c r="L76" s="535">
        <f t="shared" si="21"/>
        <v>100</v>
      </c>
      <c r="M76" s="535">
        <f t="shared" si="21"/>
        <v>100</v>
      </c>
      <c r="N76" s="1141"/>
      <c r="O76" s="1141"/>
      <c r="P76" s="45"/>
      <c r="Q76" s="495"/>
    </row>
    <row r="77" spans="1:17" s="462" customFormat="1" ht="15.75" thickTop="1">
      <c r="A77" s="544"/>
      <c r="B77" s="529">
        <f>B12</f>
        <v>111</v>
      </c>
      <c r="C77" s="545"/>
      <c r="D77" s="545"/>
      <c r="E77" s="545"/>
      <c r="F77" s="545"/>
      <c r="G77" s="545"/>
      <c r="H77" s="546"/>
      <c r="I77" s="546"/>
      <c r="J77" s="546"/>
      <c r="K77" s="546"/>
      <c r="L77" s="547"/>
      <c r="M77" s="548"/>
      <c r="N77" s="1142"/>
      <c r="O77" s="1142"/>
      <c r="P77" s="549"/>
      <c r="Q77" s="550"/>
    </row>
    <row r="78" spans="1:17" s="462" customFormat="1" ht="15.75" thickBot="1">
      <c r="A78" s="544"/>
      <c r="B78" s="534"/>
      <c r="C78" s="551"/>
      <c r="D78" s="527"/>
      <c r="E78" s="527"/>
      <c r="F78" s="527"/>
      <c r="G78" s="527"/>
      <c r="H78" s="527"/>
      <c r="I78" s="527"/>
      <c r="J78" s="527"/>
      <c r="K78" s="527"/>
      <c r="L78" s="527"/>
      <c r="M78" s="528"/>
      <c r="N78" s="1141"/>
      <c r="O78" s="1141"/>
      <c r="P78" s="549"/>
      <c r="Q78" s="550"/>
    </row>
    <row r="79" spans="1:17" s="462" customFormat="1" ht="15.75" thickTop="1">
      <c r="A79" s="544"/>
      <c r="B79" s="529">
        <f>B13</f>
        <v>111</v>
      </c>
      <c r="C79" s="545"/>
      <c r="D79" s="545"/>
      <c r="E79" s="545"/>
      <c r="F79" s="545"/>
      <c r="G79" s="545"/>
      <c r="H79" s="546"/>
      <c r="I79" s="546"/>
      <c r="J79" s="546"/>
      <c r="K79" s="546"/>
      <c r="L79" s="547"/>
      <c r="M79" s="548"/>
      <c r="N79" s="1142"/>
      <c r="O79" s="1142"/>
      <c r="P79" s="461"/>
      <c r="Q79" s="552"/>
    </row>
    <row r="80" spans="1:17" s="462" customFormat="1" ht="15.75" thickBot="1">
      <c r="A80" s="544"/>
      <c r="B80" s="534"/>
      <c r="C80" s="551"/>
      <c r="D80" s="551"/>
      <c r="E80" s="551"/>
      <c r="F80" s="551"/>
      <c r="G80" s="551"/>
      <c r="H80" s="553"/>
      <c r="I80" s="553"/>
      <c r="J80" s="553"/>
      <c r="K80" s="553"/>
      <c r="L80" s="553"/>
      <c r="M80" s="554"/>
      <c r="N80" s="1142"/>
      <c r="O80" s="1142"/>
      <c r="P80" s="549"/>
      <c r="Q80" s="550"/>
    </row>
    <row r="81" spans="1:17" s="462" customFormat="1" ht="15.75" thickTop="1">
      <c r="A81" s="544"/>
      <c r="B81" s="537">
        <f>B14</f>
        <v>111</v>
      </c>
      <c r="C81" s="514"/>
      <c r="D81" s="514"/>
      <c r="E81" s="514"/>
      <c r="F81" s="514"/>
      <c r="G81" s="514"/>
      <c r="H81" s="555"/>
      <c r="I81" s="555"/>
      <c r="J81" s="555"/>
      <c r="K81" s="555"/>
      <c r="L81" s="556"/>
      <c r="M81" s="557"/>
      <c r="N81" s="1142"/>
      <c r="O81" s="1142"/>
      <c r="P81" s="558"/>
      <c r="Q81" s="550"/>
    </row>
    <row r="82" spans="1:17" s="462" customFormat="1" ht="15.75" thickBot="1">
      <c r="A82" s="559"/>
      <c r="B82" s="560"/>
      <c r="C82" s="561"/>
      <c r="D82" s="561"/>
      <c r="E82" s="561"/>
      <c r="F82" s="561"/>
      <c r="G82" s="561"/>
      <c r="H82" s="562"/>
      <c r="I82" s="562"/>
      <c r="J82" s="562"/>
      <c r="K82" s="562"/>
      <c r="L82" s="562"/>
      <c r="M82" s="563"/>
      <c r="N82" s="1142"/>
      <c r="O82" s="1142"/>
      <c r="P82" s="549"/>
      <c r="Q82" s="550"/>
    </row>
    <row r="83" spans="1:17">
      <c r="A83" s="518" t="s">
        <v>2549</v>
      </c>
      <c r="B83" s="519" t="s">
        <v>2695</v>
      </c>
      <c r="C83" s="564" t="s">
        <v>2587</v>
      </c>
      <c r="D83" s="564" t="s">
        <v>2588</v>
      </c>
      <c r="E83" s="564" t="s">
        <v>2589</v>
      </c>
      <c r="F83" s="564" t="s">
        <v>2590</v>
      </c>
      <c r="G83" s="564" t="s">
        <v>2591</v>
      </c>
      <c r="H83" s="520"/>
      <c r="I83" s="520"/>
      <c r="J83" s="520"/>
      <c r="K83" s="565"/>
      <c r="L83" s="566"/>
      <c r="M83" s="567"/>
      <c r="N83" s="1140"/>
      <c r="O83" s="1140"/>
      <c r="P83" s="568"/>
      <c r="Q83" s="495"/>
    </row>
    <row r="84" spans="1:17" ht="15.75" thickBot="1">
      <c r="A84" s="525"/>
      <c r="B84" s="534"/>
      <c r="C84" s="535">
        <v>100</v>
      </c>
      <c r="D84" s="535">
        <f>C84-$K15</f>
        <v>100</v>
      </c>
      <c r="E84" s="535">
        <f>D84-$K15</f>
        <v>100</v>
      </c>
      <c r="F84" s="535">
        <f>E84-$K15</f>
        <v>100</v>
      </c>
      <c r="G84" s="535">
        <f>F84-$K15</f>
        <v>100</v>
      </c>
      <c r="H84" s="535"/>
      <c r="I84" s="535"/>
      <c r="J84" s="535"/>
      <c r="K84" s="535"/>
      <c r="L84" s="535"/>
      <c r="M84" s="536"/>
      <c r="N84" s="1141"/>
      <c r="O84" s="1141"/>
      <c r="P84" s="45"/>
      <c r="Q84" s="495"/>
    </row>
    <row r="85" spans="1:17" ht="15.75" thickTop="1">
      <c r="A85" s="525"/>
      <c r="B85" s="529" t="s">
        <v>2592</v>
      </c>
      <c r="C85" s="569" t="s">
        <v>2587</v>
      </c>
      <c r="D85" s="569" t="s">
        <v>2588</v>
      </c>
      <c r="E85" s="569" t="s">
        <v>2589</v>
      </c>
      <c r="F85" s="569" t="s">
        <v>2590</v>
      </c>
      <c r="G85" s="569" t="s">
        <v>2591</v>
      </c>
      <c r="H85" s="530"/>
      <c r="I85" s="530"/>
      <c r="J85" s="530"/>
      <c r="K85" s="531"/>
      <c r="L85" s="532"/>
      <c r="M85" s="533"/>
      <c r="N85" s="1140"/>
      <c r="O85" s="1140"/>
      <c r="P85" s="45"/>
      <c r="Q85" s="495"/>
    </row>
    <row r="86" spans="1:17" ht="15.75" thickBot="1">
      <c r="A86" s="525"/>
      <c r="B86" s="534"/>
      <c r="C86" s="535">
        <v>100</v>
      </c>
      <c r="D86" s="535">
        <f>C86-$K17</f>
        <v>100</v>
      </c>
      <c r="E86" s="535">
        <f>D86-$K17</f>
        <v>100</v>
      </c>
      <c r="F86" s="535">
        <f>E86-$K17</f>
        <v>100</v>
      </c>
      <c r="G86" s="535">
        <f>F86-$K17</f>
        <v>100</v>
      </c>
      <c r="H86" s="535"/>
      <c r="I86" s="535"/>
      <c r="J86" s="535"/>
      <c r="K86" s="535"/>
      <c r="L86" s="535"/>
      <c r="M86" s="536"/>
      <c r="N86" s="1141"/>
      <c r="O86" s="1141"/>
      <c r="P86" s="45"/>
      <c r="Q86" s="495"/>
    </row>
    <row r="87" spans="1:17" s="110" customFormat="1" ht="15.75" thickTop="1">
      <c r="A87" s="570"/>
      <c r="B87" s="529" t="s">
        <v>2773</v>
      </c>
      <c r="C87" s="564" t="s">
        <v>2587</v>
      </c>
      <c r="D87" s="564" t="s">
        <v>2588</v>
      </c>
      <c r="E87" s="564" t="s">
        <v>2589</v>
      </c>
      <c r="F87" s="564" t="s">
        <v>2590</v>
      </c>
      <c r="G87" s="564" t="s">
        <v>2591</v>
      </c>
      <c r="H87" s="569"/>
      <c r="I87" s="569"/>
      <c r="J87" s="569"/>
      <c r="K87" s="569"/>
      <c r="L87" s="689"/>
      <c r="M87" s="613"/>
      <c r="N87" s="1139"/>
      <c r="O87" s="1139"/>
      <c r="P87" s="45"/>
      <c r="Q87" s="495"/>
    </row>
    <row r="88" spans="1:17" s="110" customFormat="1" ht="15.75" thickBot="1">
      <c r="A88" s="570"/>
      <c r="B88" s="534"/>
      <c r="C88" s="573">
        <v>100</v>
      </c>
      <c r="D88" s="535">
        <f>C88-$K19</f>
        <v>100</v>
      </c>
      <c r="E88" s="535">
        <f>D88-$K19</f>
        <v>100</v>
      </c>
      <c r="F88" s="535">
        <f>E88-$K19</f>
        <v>100</v>
      </c>
      <c r="G88" s="535">
        <f>F88-$K19</f>
        <v>100</v>
      </c>
      <c r="H88" s="535"/>
      <c r="I88" s="535"/>
      <c r="J88" s="535"/>
      <c r="K88" s="535"/>
      <c r="L88" s="535"/>
      <c r="M88" s="536"/>
      <c r="N88" s="1141"/>
      <c r="O88" s="1141"/>
      <c r="P88" s="45"/>
      <c r="Q88" s="495"/>
    </row>
    <row r="89" spans="1:17" s="110" customFormat="1" ht="27.75" thickTop="1">
      <c r="A89" s="570"/>
      <c r="B89" s="529" t="s">
        <v>2774</v>
      </c>
      <c r="C89" s="564" t="s">
        <v>2587</v>
      </c>
      <c r="D89" s="564" t="s">
        <v>2588</v>
      </c>
      <c r="E89" s="564" t="s">
        <v>2589</v>
      </c>
      <c r="F89" s="564" t="s">
        <v>2590</v>
      </c>
      <c r="G89" s="564" t="s">
        <v>2591</v>
      </c>
      <c r="H89" s="569"/>
      <c r="I89" s="569"/>
      <c r="J89" s="569"/>
      <c r="K89" s="569"/>
      <c r="L89" s="569"/>
      <c r="M89" s="613"/>
      <c r="N89" s="1139"/>
      <c r="O89" s="1139"/>
      <c r="P89" s="45"/>
      <c r="Q89" s="495"/>
    </row>
    <row r="90" spans="1:17" s="110" customFormat="1" ht="15.75" thickBot="1">
      <c r="A90" s="570"/>
      <c r="B90" s="534"/>
      <c r="C90" s="535">
        <v>100</v>
      </c>
      <c r="D90" s="535">
        <f>C90-$K21</f>
        <v>100</v>
      </c>
      <c r="E90" s="535">
        <f>D90-$K21</f>
        <v>100</v>
      </c>
      <c r="F90" s="535">
        <f>E90-$K21</f>
        <v>100</v>
      </c>
      <c r="G90" s="535">
        <f>F90-$K21</f>
        <v>100</v>
      </c>
      <c r="H90" s="535"/>
      <c r="I90" s="535"/>
      <c r="J90" s="535"/>
      <c r="K90" s="535"/>
      <c r="L90" s="535"/>
      <c r="M90" s="536"/>
      <c r="N90" s="1141"/>
      <c r="O90" s="1141"/>
      <c r="P90" s="45"/>
      <c r="Q90" s="495"/>
    </row>
    <row r="91" spans="1:17" s="462" customFormat="1" ht="15.75" thickTop="1">
      <c r="A91" s="544"/>
      <c r="B91" s="529" t="s">
        <v>2644</v>
      </c>
      <c r="C91" s="564" t="s">
        <v>2587</v>
      </c>
      <c r="D91" s="564" t="s">
        <v>2588</v>
      </c>
      <c r="E91" s="564" t="s">
        <v>2589</v>
      </c>
      <c r="F91" s="564" t="s">
        <v>2590</v>
      </c>
      <c r="G91" s="564" t="s">
        <v>2591</v>
      </c>
      <c r="H91" s="591"/>
      <c r="I91" s="591"/>
      <c r="J91" s="591"/>
      <c r="K91" s="591"/>
      <c r="L91" s="592"/>
      <c r="M91" s="593"/>
      <c r="N91" s="1142"/>
      <c r="O91" s="1142"/>
      <c r="P91" s="549"/>
      <c r="Q91" s="550"/>
    </row>
    <row r="92" spans="1:17" s="462" customFormat="1" ht="15.75" thickBot="1">
      <c r="A92" s="544"/>
      <c r="B92" s="534"/>
      <c r="C92" s="535">
        <v>100</v>
      </c>
      <c r="D92" s="535">
        <f>C92-$K23</f>
        <v>100</v>
      </c>
      <c r="E92" s="535">
        <f>D92-$K23</f>
        <v>100</v>
      </c>
      <c r="F92" s="535">
        <f>E92-$K23</f>
        <v>100</v>
      </c>
      <c r="G92" s="535">
        <f>F92-$K23</f>
        <v>100</v>
      </c>
      <c r="H92" s="598"/>
      <c r="I92" s="598"/>
      <c r="J92" s="598"/>
      <c r="K92" s="598"/>
      <c r="L92" s="598"/>
      <c r="M92" s="599"/>
      <c r="N92" s="1142"/>
      <c r="O92" s="1142"/>
      <c r="P92" s="549"/>
      <c r="Q92" s="550"/>
    </row>
    <row r="93" spans="1:17" s="462" customFormat="1" ht="15.75" thickTop="1">
      <c r="A93" s="544"/>
      <c r="B93" s="537" t="s">
        <v>2791</v>
      </c>
      <c r="C93" s="651" t="s">
        <v>2665</v>
      </c>
      <c r="D93" s="651" t="s">
        <v>2666</v>
      </c>
      <c r="E93" s="651" t="s">
        <v>2667</v>
      </c>
      <c r="F93" s="651" t="s">
        <v>2668</v>
      </c>
      <c r="G93" s="651" t="s">
        <v>2669</v>
      </c>
      <c r="H93" s="591"/>
      <c r="I93" s="591"/>
      <c r="J93" s="591"/>
      <c r="K93" s="591"/>
      <c r="L93" s="591"/>
      <c r="M93" s="593"/>
      <c r="N93" s="1142"/>
      <c r="O93" s="1142"/>
      <c r="P93" s="549"/>
      <c r="Q93" s="550"/>
    </row>
    <row r="94" spans="1:17" s="462" customFormat="1" ht="15.75" thickBot="1">
      <c r="A94" s="544"/>
      <c r="B94" s="537"/>
      <c r="C94" s="535">
        <v>100</v>
      </c>
      <c r="D94" s="535">
        <f>C94-$K25</f>
        <v>100</v>
      </c>
      <c r="E94" s="535">
        <f>D94-$K25</f>
        <v>100</v>
      </c>
      <c r="F94" s="535">
        <f>E94-$K25</f>
        <v>100</v>
      </c>
      <c r="G94" s="535">
        <f>F94-$K25</f>
        <v>100</v>
      </c>
      <c r="H94" s="539"/>
      <c r="I94" s="539"/>
      <c r="J94" s="539"/>
      <c r="K94" s="539"/>
      <c r="L94" s="539"/>
      <c r="M94" s="1373"/>
      <c r="N94" s="1142"/>
      <c r="O94" s="1142"/>
      <c r="P94" s="549"/>
      <c r="Q94" s="550"/>
    </row>
    <row r="95" spans="1:17" ht="15.75" thickTop="1">
      <c r="A95" s="525"/>
      <c r="B95" s="529" t="str">
        <f>B27</f>
        <v>临街状况</v>
      </c>
      <c r="C95" s="530" t="s">
        <v>2775</v>
      </c>
      <c r="D95" s="530" t="s">
        <v>2776</v>
      </c>
      <c r="E95" s="530" t="s">
        <v>2777</v>
      </c>
      <c r="F95" s="530" t="s">
        <v>2778</v>
      </c>
      <c r="G95" s="530"/>
      <c r="H95" s="530"/>
      <c r="I95" s="530"/>
      <c r="J95" s="530"/>
      <c r="K95" s="531"/>
      <c r="L95" s="532"/>
      <c r="M95" s="533"/>
      <c r="N95" s="1140"/>
      <c r="O95" s="1140"/>
      <c r="P95" s="45"/>
      <c r="Q95" s="495"/>
    </row>
    <row r="96" spans="1:17" ht="15.75" thickBot="1">
      <c r="A96" s="525"/>
      <c r="B96" s="534"/>
      <c r="C96" s="535">
        <v>100</v>
      </c>
      <c r="D96" s="535">
        <f t="shared" ref="D96:M96" si="22">C96-$K27</f>
        <v>100</v>
      </c>
      <c r="E96" s="535">
        <f t="shared" si="22"/>
        <v>100</v>
      </c>
      <c r="F96" s="535">
        <f t="shared" si="22"/>
        <v>100</v>
      </c>
      <c r="G96" s="535">
        <f t="shared" si="22"/>
        <v>100</v>
      </c>
      <c r="H96" s="535">
        <f t="shared" si="22"/>
        <v>100</v>
      </c>
      <c r="I96" s="535">
        <f t="shared" si="22"/>
        <v>100</v>
      </c>
      <c r="J96" s="535">
        <f t="shared" si="22"/>
        <v>100</v>
      </c>
      <c r="K96" s="535">
        <f t="shared" si="22"/>
        <v>100</v>
      </c>
      <c r="L96" s="535">
        <f t="shared" si="22"/>
        <v>100</v>
      </c>
      <c r="M96" s="535">
        <f t="shared" si="22"/>
        <v>100</v>
      </c>
      <c r="N96" s="1141"/>
      <c r="O96" s="1141"/>
      <c r="P96" s="45"/>
      <c r="Q96" s="495"/>
    </row>
    <row r="97" spans="1:17" ht="27.75" thickTop="1">
      <c r="A97" s="525"/>
      <c r="B97" s="529" t="s">
        <v>2681</v>
      </c>
      <c r="C97" s="545"/>
      <c r="D97" s="545"/>
      <c r="E97" s="545"/>
      <c r="F97" s="545"/>
      <c r="G97" s="545"/>
      <c r="H97" s="574"/>
      <c r="I97" s="574"/>
      <c r="J97" s="574"/>
      <c r="K97" s="575"/>
      <c r="L97" s="576"/>
      <c r="M97" s="577"/>
      <c r="N97" s="1140"/>
      <c r="O97" s="1140"/>
      <c r="P97" s="45"/>
      <c r="Q97" s="495"/>
    </row>
    <row r="98" spans="1:17" ht="15.75" thickBot="1">
      <c r="A98" s="525"/>
      <c r="B98" s="534"/>
      <c r="C98" s="535">
        <v>100</v>
      </c>
      <c r="D98" s="535">
        <f t="shared" ref="D98:M98" si="23">C98-$K28</f>
        <v>100</v>
      </c>
      <c r="E98" s="535">
        <f t="shared" si="23"/>
        <v>100</v>
      </c>
      <c r="F98" s="535">
        <f t="shared" si="23"/>
        <v>100</v>
      </c>
      <c r="G98" s="535">
        <f t="shared" si="23"/>
        <v>100</v>
      </c>
      <c r="H98" s="535">
        <f t="shared" si="23"/>
        <v>100</v>
      </c>
      <c r="I98" s="535">
        <f t="shared" si="23"/>
        <v>100</v>
      </c>
      <c r="J98" s="535">
        <f t="shared" si="23"/>
        <v>100</v>
      </c>
      <c r="K98" s="535">
        <f t="shared" si="23"/>
        <v>100</v>
      </c>
      <c r="L98" s="535">
        <f t="shared" si="23"/>
        <v>100</v>
      </c>
      <c r="M98" s="535">
        <f t="shared" si="23"/>
        <v>100</v>
      </c>
      <c r="N98" s="1141"/>
      <c r="O98" s="1141"/>
      <c r="P98" s="45"/>
      <c r="Q98" s="495"/>
    </row>
    <row r="99" spans="1:17" ht="15.75" thickTop="1">
      <c r="A99" s="525"/>
      <c r="B99" s="529" t="s">
        <v>2739</v>
      </c>
      <c r="C99" s="574"/>
      <c r="D99" s="574"/>
      <c r="E99" s="574"/>
      <c r="F99" s="574"/>
      <c r="G99" s="574"/>
      <c r="H99" s="574"/>
      <c r="I99" s="574"/>
      <c r="J99" s="574"/>
      <c r="K99" s="575"/>
      <c r="L99" s="576"/>
      <c r="M99" s="577"/>
      <c r="N99" s="1140"/>
      <c r="O99" s="1140"/>
      <c r="P99" s="45"/>
      <c r="Q99" s="495"/>
    </row>
    <row r="100" spans="1:17" ht="15.75" thickBot="1">
      <c r="A100" s="525"/>
      <c r="B100" s="534"/>
      <c r="C100" s="535">
        <v>100</v>
      </c>
      <c r="D100" s="535">
        <f t="shared" ref="D100:M100" si="24">C100-$K30</f>
        <v>100</v>
      </c>
      <c r="E100" s="535">
        <f t="shared" si="24"/>
        <v>100</v>
      </c>
      <c r="F100" s="535">
        <f t="shared" si="24"/>
        <v>100</v>
      </c>
      <c r="G100" s="535">
        <f t="shared" si="24"/>
        <v>100</v>
      </c>
      <c r="H100" s="535">
        <f t="shared" si="24"/>
        <v>100</v>
      </c>
      <c r="I100" s="535">
        <f t="shared" si="24"/>
        <v>100</v>
      </c>
      <c r="J100" s="535">
        <f t="shared" si="24"/>
        <v>100</v>
      </c>
      <c r="K100" s="535">
        <f t="shared" si="24"/>
        <v>100</v>
      </c>
      <c r="L100" s="535">
        <f t="shared" si="24"/>
        <v>100</v>
      </c>
      <c r="M100" s="535">
        <f t="shared" si="24"/>
        <v>100</v>
      </c>
      <c r="N100" s="1141"/>
      <c r="O100" s="1141"/>
      <c r="P100" s="45"/>
      <c r="Q100" s="495"/>
    </row>
    <row r="101" spans="1:17" ht="15.75" thickTop="1">
      <c r="A101" s="525"/>
      <c r="B101" s="537">
        <f>B31</f>
        <v>111</v>
      </c>
      <c r="C101" s="545"/>
      <c r="D101" s="545"/>
      <c r="E101" s="545"/>
      <c r="F101" s="545"/>
      <c r="G101" s="578"/>
      <c r="H101" s="578"/>
      <c r="I101" s="578"/>
      <c r="J101" s="578"/>
      <c r="K101" s="579"/>
      <c r="L101" s="580"/>
      <c r="M101" s="581"/>
      <c r="N101" s="1140"/>
      <c r="O101" s="1140"/>
      <c r="P101" s="45"/>
      <c r="Q101" s="495"/>
    </row>
    <row r="102" spans="1:17" ht="15.75" thickBot="1">
      <c r="A102" s="525"/>
      <c r="B102" s="560"/>
      <c r="C102" s="551"/>
      <c r="D102" s="527"/>
      <c r="E102" s="527"/>
      <c r="F102" s="527"/>
      <c r="G102" s="582"/>
      <c r="H102" s="582"/>
      <c r="I102" s="582"/>
      <c r="J102" s="582"/>
      <c r="K102" s="582"/>
      <c r="L102" s="582"/>
      <c r="M102" s="583"/>
      <c r="N102" s="1141"/>
      <c r="O102" s="1141"/>
      <c r="P102" s="45"/>
      <c r="Q102" s="495"/>
    </row>
    <row r="103" spans="1:17" ht="15" thickTop="1">
      <c r="A103" s="666"/>
      <c r="B103" s="529">
        <f>B32</f>
        <v>111</v>
      </c>
      <c r="C103" s="545"/>
      <c r="D103" s="545"/>
      <c r="E103" s="545"/>
      <c r="F103" s="545"/>
      <c r="G103" s="574"/>
      <c r="H103" s="574"/>
      <c r="I103" s="574"/>
      <c r="J103" s="574"/>
      <c r="K103" s="575"/>
      <c r="L103" s="576"/>
      <c r="M103" s="577"/>
      <c r="N103" s="1140"/>
      <c r="O103" s="1140"/>
      <c r="P103" s="45"/>
      <c r="Q103" s="495"/>
    </row>
    <row r="104" spans="1:17" ht="15.75" thickBot="1">
      <c r="A104" s="525"/>
      <c r="B104" s="534"/>
      <c r="C104" s="551"/>
      <c r="D104" s="551"/>
      <c r="E104" s="551"/>
      <c r="F104" s="551"/>
      <c r="G104" s="527"/>
      <c r="H104" s="527"/>
      <c r="I104" s="527"/>
      <c r="J104" s="527"/>
      <c r="K104" s="527"/>
      <c r="L104" s="527"/>
      <c r="M104" s="528"/>
      <c r="N104" s="1141"/>
      <c r="O104" s="1141"/>
      <c r="P104" s="45"/>
      <c r="Q104" s="495"/>
    </row>
    <row r="105" spans="1:17" s="462" customFormat="1" ht="15" thickTop="1">
      <c r="A105" s="584"/>
      <c r="B105" s="585">
        <f>B33</f>
        <v>111</v>
      </c>
      <c r="C105" s="514"/>
      <c r="D105" s="514"/>
      <c r="E105" s="514"/>
      <c r="F105" s="514"/>
      <c r="G105" s="586"/>
      <c r="H105" s="586"/>
      <c r="I105" s="586"/>
      <c r="J105" s="587"/>
      <c r="K105" s="587"/>
      <c r="L105" s="588"/>
      <c r="M105" s="589"/>
      <c r="N105" s="1142"/>
      <c r="O105" s="1142"/>
      <c r="P105" s="549"/>
      <c r="Q105" s="550"/>
    </row>
    <row r="106" spans="1:17" s="462" customFormat="1" ht="15.75" thickBot="1">
      <c r="A106" s="544"/>
      <c r="B106" s="537"/>
      <c r="C106" s="561"/>
      <c r="D106" s="561"/>
      <c r="E106" s="561"/>
      <c r="F106" s="561"/>
      <c r="G106" s="668"/>
      <c r="H106" s="668"/>
      <c r="I106" s="668"/>
      <c r="J106" s="668"/>
      <c r="K106" s="668"/>
      <c r="L106" s="668"/>
      <c r="M106" s="690"/>
      <c r="N106" s="1141"/>
      <c r="O106" s="1141"/>
      <c r="P106" s="549"/>
      <c r="Q106" s="550"/>
    </row>
    <row r="107" spans="1:17">
      <c r="A107" s="518" t="s">
        <v>2553</v>
      </c>
      <c r="B107" s="519" t="s">
        <v>2779</v>
      </c>
      <c r="C107" s="520" t="str">
        <f t="shared" ref="C107:L107" si="25">C108&amp;"(含)"&amp;"-"&amp;D108</f>
        <v>(含)-</v>
      </c>
      <c r="D107" s="520" t="str">
        <f t="shared" si="25"/>
        <v>(含)-</v>
      </c>
      <c r="E107" s="520" t="str">
        <f t="shared" si="25"/>
        <v>(含)-</v>
      </c>
      <c r="F107" s="520" t="str">
        <f t="shared" si="25"/>
        <v>(含)-</v>
      </c>
      <c r="G107" s="520" t="str">
        <f t="shared" si="25"/>
        <v>(含)-</v>
      </c>
      <c r="H107" s="520" t="str">
        <f t="shared" si="25"/>
        <v>(含)-</v>
      </c>
      <c r="I107" s="520" t="str">
        <f t="shared" si="25"/>
        <v>(含)-</v>
      </c>
      <c r="J107" s="520" t="str">
        <f t="shared" si="25"/>
        <v>(含)-</v>
      </c>
      <c r="K107" s="1753" t="str">
        <f t="shared" si="25"/>
        <v>(含)-</v>
      </c>
      <c r="L107" s="1753" t="str">
        <f t="shared" si="25"/>
        <v>(含)-</v>
      </c>
      <c r="M107" s="1754" t="str">
        <f>M108&amp;"(含)"&amp;"-"&amp;P108</f>
        <v>(含)-</v>
      </c>
      <c r="N107" s="1140"/>
      <c r="O107" s="1140"/>
      <c r="P107" s="45"/>
      <c r="Q107" s="495"/>
    </row>
    <row r="108" spans="1:17" ht="15">
      <c r="A108" s="525"/>
      <c r="B108" s="537"/>
      <c r="C108" s="586"/>
      <c r="D108" s="586"/>
      <c r="E108" s="586"/>
      <c r="F108" s="586"/>
      <c r="G108" s="586"/>
      <c r="H108" s="586"/>
      <c r="I108" s="586"/>
      <c r="J108" s="587"/>
      <c r="K108" s="587"/>
      <c r="L108" s="588"/>
      <c r="M108" s="589"/>
      <c r="N108" s="1140"/>
      <c r="O108" s="1140"/>
      <c r="P108" s="45"/>
      <c r="Q108" s="495"/>
    </row>
    <row r="109" spans="1:17" ht="15.75" thickBot="1">
      <c r="A109" s="525"/>
      <c r="B109" s="534"/>
      <c r="C109" s="561"/>
      <c r="D109" s="582"/>
      <c r="E109" s="582"/>
      <c r="F109" s="582"/>
      <c r="G109" s="582"/>
      <c r="H109" s="582"/>
      <c r="I109" s="582"/>
      <c r="J109" s="582"/>
      <c r="K109" s="582"/>
      <c r="L109" s="582"/>
      <c r="M109" s="583"/>
      <c r="N109" s="1141"/>
      <c r="O109" s="1141"/>
      <c r="P109" s="45"/>
      <c r="Q109" s="495"/>
    </row>
    <row r="110" spans="1:17" ht="15" thickTop="1">
      <c r="A110" s="590"/>
      <c r="B110" s="529" t="s">
        <v>2780</v>
      </c>
      <c r="C110" s="574"/>
      <c r="D110" s="574"/>
      <c r="E110" s="574"/>
      <c r="F110" s="574"/>
      <c r="G110" s="574"/>
      <c r="H110" s="574"/>
      <c r="I110" s="574"/>
      <c r="J110" s="574"/>
      <c r="K110" s="575"/>
      <c r="L110" s="576"/>
      <c r="M110" s="577"/>
      <c r="N110" s="1140"/>
      <c r="O110" s="1140"/>
      <c r="P110" s="45"/>
      <c r="Q110" s="495"/>
    </row>
    <row r="111" spans="1:17" ht="15.75" thickBot="1">
      <c r="A111" s="525"/>
      <c r="B111" s="534"/>
      <c r="C111" s="535">
        <v>100</v>
      </c>
      <c r="D111" s="535">
        <f t="shared" ref="D111:M111" si="26">C111-$K35</f>
        <v>100</v>
      </c>
      <c r="E111" s="535">
        <f t="shared" si="26"/>
        <v>100</v>
      </c>
      <c r="F111" s="535">
        <f t="shared" si="26"/>
        <v>100</v>
      </c>
      <c r="G111" s="535">
        <f t="shared" si="26"/>
        <v>100</v>
      </c>
      <c r="H111" s="535">
        <f t="shared" si="26"/>
        <v>100</v>
      </c>
      <c r="I111" s="535">
        <f t="shared" si="26"/>
        <v>100</v>
      </c>
      <c r="J111" s="535">
        <f t="shared" si="26"/>
        <v>100</v>
      </c>
      <c r="K111" s="535">
        <f t="shared" si="26"/>
        <v>100</v>
      </c>
      <c r="L111" s="535">
        <f t="shared" si="26"/>
        <v>100</v>
      </c>
      <c r="M111" s="536">
        <f t="shared" si="26"/>
        <v>100</v>
      </c>
      <c r="N111" s="1141"/>
      <c r="O111" s="1141"/>
      <c r="P111" s="45"/>
      <c r="Q111" s="495"/>
    </row>
    <row r="112" spans="1:17" s="462" customFormat="1" ht="15" thickTop="1">
      <c r="A112" s="584"/>
      <c r="B112" s="529" t="s">
        <v>2782</v>
      </c>
      <c r="C112" s="545"/>
      <c r="D112" s="545"/>
      <c r="E112" s="545"/>
      <c r="F112" s="545"/>
      <c r="G112" s="545"/>
      <c r="H112" s="574"/>
      <c r="I112" s="574"/>
      <c r="J112" s="574"/>
      <c r="K112" s="575"/>
      <c r="L112" s="576"/>
      <c r="M112" s="577"/>
      <c r="N112" s="1142"/>
      <c r="O112" s="1142"/>
      <c r="P112" s="549"/>
      <c r="Q112" s="550"/>
    </row>
    <row r="113" spans="1:17" s="462" customFormat="1" ht="15.75" thickBot="1">
      <c r="A113" s="544"/>
      <c r="B113" s="534"/>
      <c r="C113" s="535">
        <v>100</v>
      </c>
      <c r="D113" s="535">
        <f t="shared" ref="D113:M113" si="27">C113-$K36</f>
        <v>100</v>
      </c>
      <c r="E113" s="535">
        <f t="shared" si="27"/>
        <v>100</v>
      </c>
      <c r="F113" s="535">
        <f t="shared" si="27"/>
        <v>100</v>
      </c>
      <c r="G113" s="535">
        <f t="shared" si="27"/>
        <v>100</v>
      </c>
      <c r="H113" s="535">
        <f t="shared" si="27"/>
        <v>100</v>
      </c>
      <c r="I113" s="535">
        <f t="shared" si="27"/>
        <v>100</v>
      </c>
      <c r="J113" s="535">
        <f t="shared" si="27"/>
        <v>100</v>
      </c>
      <c r="K113" s="535">
        <f t="shared" si="27"/>
        <v>100</v>
      </c>
      <c r="L113" s="535">
        <f t="shared" si="27"/>
        <v>100</v>
      </c>
      <c r="M113" s="536">
        <f t="shared" si="27"/>
        <v>100</v>
      </c>
      <c r="N113" s="1142"/>
      <c r="O113" s="1142"/>
      <c r="P113" s="549"/>
      <c r="Q113" s="550"/>
    </row>
    <row r="114" spans="1:17" ht="15" thickTop="1">
      <c r="A114" s="590"/>
      <c r="B114" s="529" t="s">
        <v>2783</v>
      </c>
      <c r="C114" s="545"/>
      <c r="D114" s="545"/>
      <c r="E114" s="574"/>
      <c r="F114" s="574"/>
      <c r="G114" s="574"/>
      <c r="H114" s="574"/>
      <c r="I114" s="574"/>
      <c r="J114" s="574"/>
      <c r="K114" s="575"/>
      <c r="L114" s="576"/>
      <c r="M114" s="577"/>
      <c r="N114" s="1140"/>
      <c r="O114" s="1140"/>
      <c r="P114" s="45"/>
      <c r="Q114" s="495"/>
    </row>
    <row r="115" spans="1:17" ht="15.75" thickBot="1">
      <c r="A115" s="525"/>
      <c r="B115" s="534"/>
      <c r="C115" s="535">
        <v>100</v>
      </c>
      <c r="D115" s="535">
        <f t="shared" ref="D115:M115" si="28">C115-$K37</f>
        <v>100</v>
      </c>
      <c r="E115" s="535">
        <f t="shared" si="28"/>
        <v>100</v>
      </c>
      <c r="F115" s="535">
        <f t="shared" si="28"/>
        <v>100</v>
      </c>
      <c r="G115" s="535">
        <f t="shared" si="28"/>
        <v>100</v>
      </c>
      <c r="H115" s="535">
        <f t="shared" si="28"/>
        <v>100</v>
      </c>
      <c r="I115" s="535">
        <f t="shared" si="28"/>
        <v>100</v>
      </c>
      <c r="J115" s="535">
        <f t="shared" si="28"/>
        <v>100</v>
      </c>
      <c r="K115" s="535">
        <f t="shared" si="28"/>
        <v>100</v>
      </c>
      <c r="L115" s="535">
        <f t="shared" si="28"/>
        <v>100</v>
      </c>
      <c r="M115" s="536">
        <f t="shared" si="28"/>
        <v>100</v>
      </c>
      <c r="N115" s="1141"/>
      <c r="O115" s="1141"/>
      <c r="P115" s="45"/>
      <c r="Q115" s="495"/>
    </row>
    <row r="116" spans="1:17" ht="15" thickTop="1">
      <c r="A116" s="590"/>
      <c r="B116" s="529">
        <f>B38</f>
        <v>111</v>
      </c>
      <c r="C116" s="545"/>
      <c r="D116" s="545"/>
      <c r="E116" s="545"/>
      <c r="F116" s="545"/>
      <c r="G116" s="545"/>
      <c r="H116" s="574"/>
      <c r="I116" s="574"/>
      <c r="J116" s="574"/>
      <c r="K116" s="575"/>
      <c r="L116" s="576"/>
      <c r="M116" s="577"/>
      <c r="N116" s="1140"/>
      <c r="O116" s="1140"/>
      <c r="P116" s="45"/>
      <c r="Q116" s="495"/>
    </row>
    <row r="117" spans="1:17" ht="15.75" thickBot="1">
      <c r="A117" s="525"/>
      <c r="B117" s="534"/>
      <c r="C117" s="551"/>
      <c r="D117" s="527"/>
      <c r="E117" s="527"/>
      <c r="F117" s="527"/>
      <c r="G117" s="527"/>
      <c r="H117" s="527"/>
      <c r="I117" s="527"/>
      <c r="J117" s="527"/>
      <c r="K117" s="527"/>
      <c r="L117" s="527"/>
      <c r="M117" s="528"/>
      <c r="N117" s="1141"/>
      <c r="O117" s="1141"/>
      <c r="P117" s="45"/>
      <c r="Q117" s="495"/>
    </row>
    <row r="118" spans="1:17" ht="15" thickTop="1">
      <c r="A118" s="590"/>
      <c r="B118" s="529">
        <f>B39</f>
        <v>111</v>
      </c>
      <c r="C118" s="545"/>
      <c r="D118" s="545"/>
      <c r="E118" s="545"/>
      <c r="F118" s="545"/>
      <c r="G118" s="574"/>
      <c r="H118" s="574"/>
      <c r="I118" s="574"/>
      <c r="J118" s="574"/>
      <c r="K118" s="575"/>
      <c r="L118" s="576"/>
      <c r="M118" s="577"/>
      <c r="N118" s="1140"/>
      <c r="O118" s="1140"/>
      <c r="P118" s="45"/>
      <c r="Q118" s="495"/>
    </row>
    <row r="119" spans="1:17" ht="15.75" thickBot="1">
      <c r="A119" s="525"/>
      <c r="B119" s="534"/>
      <c r="C119" s="551"/>
      <c r="D119" s="551"/>
      <c r="E119" s="551"/>
      <c r="F119" s="551"/>
      <c r="G119" s="527"/>
      <c r="H119" s="527"/>
      <c r="I119" s="527"/>
      <c r="J119" s="527"/>
      <c r="K119" s="527"/>
      <c r="L119" s="527"/>
      <c r="M119" s="528"/>
      <c r="N119" s="1141"/>
      <c r="O119" s="1141"/>
      <c r="P119" s="45"/>
      <c r="Q119" s="495"/>
    </row>
    <row r="120" spans="1:17" s="462" customFormat="1" ht="15" thickTop="1">
      <c r="A120" s="584"/>
      <c r="B120" s="529">
        <f>B40</f>
        <v>111</v>
      </c>
      <c r="C120" s="514"/>
      <c r="D120" s="514"/>
      <c r="E120" s="514"/>
      <c r="F120" s="514"/>
      <c r="G120" s="546"/>
      <c r="H120" s="546"/>
      <c r="I120" s="546"/>
      <c r="J120" s="546"/>
      <c r="K120" s="546"/>
      <c r="L120" s="547"/>
      <c r="M120" s="548"/>
      <c r="N120" s="1142"/>
      <c r="O120" s="1142"/>
      <c r="P120" s="549"/>
      <c r="Q120" s="550"/>
    </row>
    <row r="121" spans="1:17" s="462" customFormat="1" ht="15.75" thickBot="1">
      <c r="A121" s="559"/>
      <c r="B121" s="691"/>
      <c r="C121" s="561"/>
      <c r="D121" s="561"/>
      <c r="E121" s="561"/>
      <c r="F121" s="561"/>
      <c r="G121" s="582"/>
      <c r="H121" s="582"/>
      <c r="I121" s="582"/>
      <c r="J121" s="582"/>
      <c r="K121" s="582"/>
      <c r="L121" s="582"/>
      <c r="M121" s="583"/>
      <c r="N121" s="1142"/>
      <c r="O121" s="1142"/>
      <c r="P121" s="549"/>
      <c r="Q121" s="550"/>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84" customWidth="1"/>
    <col min="2" max="2" width="19.25" style="2890" customWidth="1"/>
    <col min="3" max="4" width="12" style="2708"/>
    <col min="5" max="5" width="14.625" style="2708" customWidth="1"/>
    <col min="6" max="8" width="12" style="2708"/>
    <col min="9" max="9" width="12.25" style="2708" bestFit="1" customWidth="1"/>
    <col min="10" max="10" width="12" style="2708"/>
    <col min="11" max="11" width="8.125" style="2776" customWidth="1"/>
    <col min="12" max="12" width="12" style="2708"/>
    <col min="13" max="13" width="8.5" style="2708" customWidth="1"/>
    <col min="14" max="14" width="9.75" style="2708" customWidth="1"/>
    <col min="15" max="25" width="12" style="2708"/>
    <col min="26" max="26" width="9.375" style="2784" customWidth="1"/>
    <col min="27" max="32" width="9.375" style="1360" customWidth="1"/>
    <col min="33" max="36" width="9.375" style="2784" customWidth="1"/>
    <col min="37" max="38" width="9.375" style="2708" customWidth="1"/>
    <col min="39" max="16384" width="12" style="2708"/>
  </cols>
  <sheetData>
    <row r="1" spans="1:36" ht="28.5">
      <c r="A1" s="231" t="s">
        <v>2792</v>
      </c>
      <c r="B1" s="232"/>
      <c r="C1" s="236" t="s">
        <v>2793</v>
      </c>
      <c r="D1" s="379">
        <f>SUM(D29:D30,D33:D39)</f>
        <v>0</v>
      </c>
      <c r="E1" s="2705"/>
      <c r="F1" s="2705"/>
      <c r="G1" s="2705"/>
      <c r="H1" s="2705"/>
      <c r="I1" s="2705"/>
      <c r="J1" s="2705"/>
      <c r="K1" s="1358"/>
      <c r="L1" s="2706" t="s">
        <v>2794</v>
      </c>
      <c r="M1" s="1068">
        <f>SUMPRODUCT((区片价!B5:B9=I2)*(区片价!C3:F3=E2)*(区片价!C5:F9))</f>
        <v>0</v>
      </c>
      <c r="N1" s="1071">
        <f>SUMPRODUCT((因素修正幅度!B5:B9=I2)*(因素修正幅度!C3:F3=E2)*(因素修正幅度!C5:F9))</f>
        <v>0</v>
      </c>
      <c r="O1" s="2707"/>
      <c r="P1" s="2707"/>
      <c r="Q1" s="1358"/>
      <c r="R1" s="1589" t="s">
        <v>2795</v>
      </c>
      <c r="S1" s="1589" t="s">
        <v>2796</v>
      </c>
      <c r="T1" s="1589" t="s">
        <v>2797</v>
      </c>
      <c r="U1" s="1589" t="s">
        <v>2798</v>
      </c>
      <c r="V1" s="1589" t="s">
        <v>2799</v>
      </c>
      <c r="W1" s="1593"/>
      <c r="X1" s="1593"/>
      <c r="Y1" s="1593"/>
      <c r="Z1" s="1593"/>
      <c r="AA1" s="1593"/>
      <c r="AB1" s="1593"/>
      <c r="AC1" s="1594"/>
      <c r="AD1" s="1595"/>
      <c r="AE1" s="1595"/>
      <c r="AF1" s="1595"/>
      <c r="AG1" s="1595"/>
      <c r="AH1" s="1595"/>
      <c r="AI1" s="1595"/>
      <c r="AJ1" s="1596"/>
    </row>
    <row r="2" spans="1:36" ht="15.75">
      <c r="A2" s="236" t="s">
        <v>2800</v>
      </c>
      <c r="B2" s="239" t="e">
        <f>C26</f>
        <v>#DIV/0!</v>
      </c>
      <c r="C2" s="2709" t="s">
        <v>2801</v>
      </c>
      <c r="D2" s="2710" t="s">
        <v>2802</v>
      </c>
      <c r="E2" s="2711"/>
      <c r="F2" s="2710" t="s">
        <v>2803</v>
      </c>
      <c r="G2" s="2712">
        <f>IF(E2="商业",项目基本情况!B37,IF(E2="办公",项目基本情况!C37,IF(E2="住宅",项目基本情况!D37,项目基本情况!E37)))</f>
        <v>0</v>
      </c>
      <c r="H2" s="2710" t="s">
        <v>2804</v>
      </c>
      <c r="I2" s="2712">
        <f>IF(E2="商业",项目基本情况!B38,IF(E2="办公",项目基本情况!C38,IF(E2="住宅",项目基本情况!D38,项目基本情况!E38)))</f>
        <v>0</v>
      </c>
      <c r="J2" s="2713"/>
      <c r="K2" s="1358"/>
      <c r="L2" s="2714" t="s">
        <v>2805</v>
      </c>
      <c r="M2" s="1069">
        <f>SUMPRODUCT((区片价!B10:B28=I2)*(区片价!C3:F3=E2)*(区片价!C10:F28))</f>
        <v>0</v>
      </c>
      <c r="N2" s="1071">
        <f>SUMPRODUCT((因素修正幅度!B10:B28=I2)*(因素修正幅度!C3:F3=E2)*(因素修正幅度!C10:F28))</f>
        <v>0</v>
      </c>
      <c r="O2" s="1358"/>
      <c r="P2" s="1358"/>
      <c r="Q2" s="1358"/>
      <c r="R2" s="1589">
        <v>1</v>
      </c>
      <c r="S2" s="1589">
        <f>ROUND(IF(G3&gt;1,IF(R2&lt;7,SUMPRODUCT((B93:B98=R2)*(C92:N92=G2)*(C93:N98)),SUMIF(C92:N92,G2,C100:N100)),IF(R2&lt;7,SUMPRODUCT((B102:B107=R2)*(C92:N92=G2)*(C102:N107)),SUMIF(C92:N92,G2,C109:N109))),4)</f>
        <v>0</v>
      </c>
      <c r="T2" s="1589" t="e">
        <f>ROUND($C$5*$C$18*$C$19*$C$20*S2*$C$24,0)</f>
        <v>#DIV/0!</v>
      </c>
      <c r="U2" s="1590"/>
      <c r="V2" s="1589" t="e">
        <f>ROUND(T2*U2/10000,0)</f>
        <v>#DIV/0!</v>
      </c>
      <c r="W2" s="1593"/>
      <c r="X2" s="1593"/>
      <c r="Y2" s="1593"/>
      <c r="Z2" s="1593"/>
      <c r="AA2" s="1593"/>
      <c r="AB2" s="1593"/>
      <c r="AC2" s="1594"/>
      <c r="AD2" s="1595"/>
      <c r="AE2" s="1595"/>
      <c r="AF2" s="1595"/>
      <c r="AG2" s="1595"/>
      <c r="AH2" s="1595"/>
      <c r="AI2" s="1595"/>
      <c r="AJ2" s="1596"/>
    </row>
    <row r="3" spans="1:36" ht="15.75">
      <c r="A3" s="238" t="s">
        <v>2806</v>
      </c>
      <c r="B3" s="239" t="e">
        <f>ROUND(B2*10000/D1,0)</f>
        <v>#DIV/0!</v>
      </c>
      <c r="C3" s="2709" t="s">
        <v>2807</v>
      </c>
      <c r="D3" s="2710" t="s">
        <v>2808</v>
      </c>
      <c r="E3" s="2715"/>
      <c r="F3" s="2716" t="s">
        <v>2809</v>
      </c>
      <c r="G3" s="902">
        <f>IF(F3="宗地容积率",'数据-汇总表'!I4,IF(F3="估价对象容积率",'数据-汇总表'!I6,'数据-汇总表'!I7))</f>
        <v>2.38</v>
      </c>
      <c r="H3" s="189" t="s">
        <v>2810</v>
      </c>
      <c r="I3" s="933"/>
      <c r="J3" s="2713" t="s">
        <v>2811</v>
      </c>
      <c r="K3" s="1358"/>
      <c r="L3" s="2714" t="s">
        <v>2812</v>
      </c>
      <c r="M3" s="1069">
        <f>SUMPRODUCT((区片价!B29:B48=I2)*(区片价!C3:F3=E2)*(区片价!C29:F48))</f>
        <v>0</v>
      </c>
      <c r="N3" s="1071">
        <f>SUMPRODUCT((因素修正幅度!B29:B48=I2)*(因素修正幅度!C3:F3=E2)*(因素修正幅度!C29:F48))</f>
        <v>0</v>
      </c>
      <c r="O3" s="1358"/>
      <c r="P3" s="1358"/>
      <c r="Q3" s="1358"/>
      <c r="R3" s="1589">
        <v>2</v>
      </c>
      <c r="S3" s="1589">
        <f>ROUND(IF(G3&gt;1,IF(R3&lt;7,SUMPRODUCT((B93:B98=R3)*(C92:N92=G2)*(C93:N98)),SUMIF(C92:N92,G2,C100:N100)),IF(R3&lt;7,SUMPRODUCT((B102:B107=R3)*(C92:N92=G2)*(C102:N107)),SUMIF(C92:N92,G2,C109:N109))),4)</f>
        <v>0</v>
      </c>
      <c r="T3" s="1589" t="e">
        <f t="shared" ref="T3:T16" si="0">ROUND($C$5*$C$18*$C$19*$C$20*S3*$C$24,0)</f>
        <v>#DIV/0!</v>
      </c>
      <c r="U3" s="1590"/>
      <c r="V3" s="1589" t="e">
        <f t="shared" ref="V3:V16" si="1">ROUND(T3*U3/10000,0)</f>
        <v>#DIV/0!</v>
      </c>
      <c r="W3" s="1593"/>
      <c r="X3" s="1593"/>
      <c r="Y3" s="1593"/>
      <c r="Z3" s="1593"/>
      <c r="AA3" s="1593"/>
      <c r="AB3" s="1593"/>
      <c r="AC3" s="1594"/>
      <c r="AD3" s="1595"/>
      <c r="AE3" s="1595"/>
      <c r="AF3" s="1595"/>
      <c r="AG3" s="1595"/>
      <c r="AH3" s="1595"/>
      <c r="AI3" s="1595"/>
      <c r="AJ3" s="1596"/>
    </row>
    <row r="4" spans="1:36" ht="15.75">
      <c r="A4" s="3381"/>
      <c r="B4" s="3382"/>
      <c r="C4" s="3382"/>
      <c r="D4" s="3383"/>
      <c r="E4" s="3383"/>
      <c r="F4" s="3383"/>
      <c r="G4" s="3383"/>
      <c r="H4" s="3383"/>
      <c r="I4" s="3383"/>
      <c r="J4" s="3384"/>
      <c r="K4" s="1358"/>
      <c r="L4" s="2714" t="s">
        <v>2813</v>
      </c>
      <c r="M4" s="1069">
        <f>SUMPRODUCT((区片价!B49:B75=I2)*(区片价!C3:F3=E2)*(区片价!C49:F75))</f>
        <v>0</v>
      </c>
      <c r="N4" s="1071">
        <f>SUMPRODUCT((因素修正幅度!B49:B75=I2)*(因素修正幅度!C3:F3=E2)*(因素修正幅度!C49:F75))</f>
        <v>0</v>
      </c>
      <c r="O4" s="1358"/>
      <c r="P4" s="1358"/>
      <c r="Q4" s="1358"/>
      <c r="R4" s="1589">
        <v>3</v>
      </c>
      <c r="S4" s="1589">
        <f>ROUND(IF(G3&gt;1,IF(R4&lt;7,SUMPRODUCT((B93:B98=R4)*(C92:N92=G2)*(C93:N98)),SUMIF(C92:N92,G2,C100:N100)),IF(R4&lt;7,SUMPRODUCT((B102:B107=R4)*(C92:N92=G2)*(C102:N107)),SUMIF(C92:N92,G2,C109:N109))),4)</f>
        <v>0</v>
      </c>
      <c r="T4" s="1589" t="e">
        <f t="shared" si="0"/>
        <v>#DIV/0!</v>
      </c>
      <c r="U4" s="1590"/>
      <c r="V4" s="1589" t="e">
        <f t="shared" si="1"/>
        <v>#DIV/0!</v>
      </c>
      <c r="W4" s="1593"/>
      <c r="X4" s="1593"/>
      <c r="Y4" s="1593"/>
      <c r="Z4" s="1593"/>
      <c r="AA4" s="1593"/>
      <c r="AB4" s="1593"/>
      <c r="AC4" s="1594"/>
      <c r="AD4" s="1595"/>
      <c r="AE4" s="1595"/>
      <c r="AF4" s="1595"/>
      <c r="AG4" s="1595"/>
      <c r="AH4" s="1595"/>
      <c r="AI4" s="1595"/>
      <c r="AJ4" s="1596"/>
    </row>
    <row r="5" spans="1:36" s="2726" customFormat="1" ht="15.75" thickBot="1">
      <c r="A5" s="2717" t="s">
        <v>807</v>
      </c>
      <c r="B5" s="2718" t="s">
        <v>2814</v>
      </c>
      <c r="C5" s="903" t="e">
        <f>ROUND(IF(E2="商业",IF(F16="增加",C6*C7+C16,C6*C7-C16),IF(E2="住宅",IF(F16="增加",C6*C12+C16,C6*C12-C16),IF(F16="增加",C6+C16,C6-C16))),0)</f>
        <v>#DIV/0!</v>
      </c>
      <c r="D5" s="1774">
        <f>ROUND(IF(E2="商业",IF(F16="增加",C6+C16,C6-C16)),0)</f>
        <v>0</v>
      </c>
      <c r="E5" s="2719"/>
      <c r="F5" s="2719"/>
      <c r="G5" s="2720"/>
      <c r="H5" s="2720"/>
      <c r="I5" s="2720"/>
      <c r="J5" s="2721"/>
      <c r="K5" s="2722"/>
      <c r="L5" s="2714" t="s">
        <v>2815</v>
      </c>
      <c r="M5" s="1069">
        <f>SUMPRODUCT((区片价!B76:B109=I2)*(区片价!C3:F3=E2)*(区片价!C76:F109))</f>
        <v>0</v>
      </c>
      <c r="N5" s="1071">
        <f>SUMPRODUCT((因素修正幅度!B76:B109=I2)*(因素修正幅度!C3:F3=E2)*(因素修正幅度!C76:F109))</f>
        <v>0</v>
      </c>
      <c r="O5" s="1358"/>
      <c r="P5" s="1358"/>
      <c r="Q5" s="1358"/>
      <c r="R5" s="1589">
        <v>4</v>
      </c>
      <c r="S5" s="1589">
        <f>ROUND(IF(G3&gt;1,IF(R5&lt;7,SUMPRODUCT((B93:B98=R5)*(C92:N92=G2)*(C93:N98)),SUMIF(C92:N92,G2,C100:N100)),IF(R5&lt;7,SUMPRODUCT((B102:B107=R5)*(C92:N92=G2)*(C102:N107)),SUMIF(C92:N92,G2,C109:N109))),4)</f>
        <v>0</v>
      </c>
      <c r="T5" s="1589" t="e">
        <f t="shared" si="0"/>
        <v>#DIV/0!</v>
      </c>
      <c r="U5" s="1590"/>
      <c r="V5" s="1589" t="e">
        <f t="shared" si="1"/>
        <v>#DIV/0!</v>
      </c>
      <c r="W5" s="1593"/>
      <c r="X5" s="1593"/>
      <c r="Y5" s="1593"/>
      <c r="Z5" s="1593"/>
      <c r="AA5" s="1593"/>
      <c r="AB5" s="1593"/>
      <c r="AC5" s="2723"/>
      <c r="AD5" s="2724"/>
      <c r="AE5" s="2724"/>
      <c r="AF5" s="2724"/>
      <c r="AG5" s="2724"/>
      <c r="AH5" s="2724"/>
      <c r="AI5" s="2724"/>
      <c r="AJ5" s="2725"/>
    </row>
    <row r="6" spans="1:36" ht="15.75" thickBot="1">
      <c r="A6" s="2727" t="s">
        <v>2816</v>
      </c>
      <c r="B6" s="2728" t="s">
        <v>2817</v>
      </c>
      <c r="C6" s="904">
        <f>SUMIF(L1:L12,G2,M1:M12)</f>
        <v>0</v>
      </c>
      <c r="D6" s="2729" t="s">
        <v>2818</v>
      </c>
      <c r="E6" s="2730"/>
      <c r="F6" s="2730"/>
      <c r="G6" s="2731"/>
      <c r="H6" s="2731"/>
      <c r="I6" s="2731"/>
      <c r="J6" s="2732"/>
      <c r="K6" s="1829"/>
      <c r="L6" s="2714" t="s">
        <v>2819</v>
      </c>
      <c r="M6" s="1069">
        <f>SUMPRODUCT((区片价!B110:B157=I2)*(区片价!C3:F3=E2)*(区片价!C110:F157))</f>
        <v>0</v>
      </c>
      <c r="N6" s="1071">
        <f>SUMPRODUCT((因素修正幅度!B110:B157=I2)*(因素修正幅度!C3:F3=E2)*(因素修正幅度!C110:F157))</f>
        <v>0</v>
      </c>
      <c r="O6" s="1358"/>
      <c r="P6" s="1358"/>
      <c r="Q6" s="1358"/>
      <c r="R6" s="1589">
        <v>5</v>
      </c>
      <c r="S6" s="1589">
        <f>ROUND(IF(G3&gt;1,IF(R6&lt;7,SUMPRODUCT((B93:B98=R6)*(C92:N92=G2)*(C93:N98)),SUMIF(C92:N92,G2,C100:N100)),IF(R6&lt;7,SUMPRODUCT((B102:B107=R6)*(C92:N92=G2)*(C102:N107)),SUMIF(C92:N92,G2,C109:N109))),4)</f>
        <v>0</v>
      </c>
      <c r="T6" s="1589" t="e">
        <f t="shared" si="0"/>
        <v>#DIV/0!</v>
      </c>
      <c r="U6" s="1590"/>
      <c r="V6" s="1589" t="e">
        <f t="shared" si="1"/>
        <v>#DIV/0!</v>
      </c>
      <c r="W6" s="1593"/>
      <c r="X6" s="1593"/>
      <c r="Y6" s="1593"/>
      <c r="Z6" s="1593"/>
      <c r="AA6" s="1593"/>
      <c r="AB6" s="1593"/>
      <c r="AC6" s="2723"/>
      <c r="AD6" s="2724"/>
      <c r="AE6" s="2724"/>
      <c r="AF6" s="2724"/>
      <c r="AG6" s="2724"/>
      <c r="AH6" s="2724"/>
      <c r="AI6" s="2724"/>
      <c r="AJ6" s="2725"/>
    </row>
    <row r="7" spans="1:36" ht="24">
      <c r="A7" s="3367" t="str">
        <f>IF(E2="商业",IF(C8="不临58条商业街","",2),"")</f>
        <v/>
      </c>
      <c r="B7" s="2733" t="s">
        <v>2820</v>
      </c>
      <c r="C7" s="905" t="e">
        <f>IF(C8="不临58条商业街",1,ROUND(1+(1.6*E8+1.2*E9+0.8*E10+0.4*E11)*C9,4))</f>
        <v>#DIV/0!</v>
      </c>
      <c r="D7" s="2734" t="s">
        <v>2821</v>
      </c>
      <c r="E7" s="934"/>
      <c r="F7" s="2735"/>
      <c r="G7" s="2736"/>
      <c r="H7" s="2736"/>
      <c r="I7" s="2736"/>
      <c r="J7" s="2737"/>
      <c r="K7" s="1829"/>
      <c r="L7" s="2714" t="s">
        <v>2822</v>
      </c>
      <c r="M7" s="1069">
        <f>SUMPRODUCT((区片价!B158:B205=I2)*(区片价!C3:F3=E2)*(区片价!C158:F205))</f>
        <v>0</v>
      </c>
      <c r="N7" s="1071">
        <f>SUMPRODUCT((因素修正幅度!B158:B205=I2)*(因素修正幅度!C3:F3=E2)*(因素修正幅度!C158:F205))</f>
        <v>0</v>
      </c>
      <c r="O7" s="1358"/>
      <c r="P7" s="1358"/>
      <c r="Q7" s="1358"/>
      <c r="R7" s="1589">
        <v>6</v>
      </c>
      <c r="S7" s="1589">
        <f>ROUND(IF(G3&gt;1,IF(R7&lt;7,SUMPRODUCT((B93:B98=R7)*(C92:N92=G2)*(C93:N98)),SUMIF(C92:N92,G2,C100:N100)),IF(R7&lt;7,SUMPRODUCT((B102:B107=R7)*(C92:N92=G2)*(C102:N107)),SUMIF(C92:N92,G2,C109:N109))),4)</f>
        <v>0</v>
      </c>
      <c r="T7" s="1589" t="e">
        <f t="shared" si="0"/>
        <v>#DIV/0!</v>
      </c>
      <c r="U7" s="1590"/>
      <c r="V7" s="1589" t="e">
        <f t="shared" si="1"/>
        <v>#DIV/0!</v>
      </c>
      <c r="W7" s="1803" t="s">
        <v>2823</v>
      </c>
      <c r="X7" s="1591">
        <f>G2</f>
        <v>0</v>
      </c>
      <c r="Y7" s="1591" t="s">
        <v>2824</v>
      </c>
      <c r="Z7" s="1592">
        <f>G3</f>
        <v>2.38</v>
      </c>
      <c r="AA7" s="1593"/>
      <c r="AB7" s="1593"/>
      <c r="AC7" s="1594"/>
      <c r="AD7" s="1595"/>
      <c r="AE7" s="1595"/>
      <c r="AF7" s="1595"/>
      <c r="AG7" s="1595"/>
      <c r="AH7" s="1595"/>
      <c r="AI7" s="1595"/>
      <c r="AJ7" s="1596"/>
    </row>
    <row r="8" spans="1:36" ht="15">
      <c r="A8" s="3368"/>
      <c r="B8" s="189" t="s">
        <v>2825</v>
      </c>
      <c r="C8" s="2738"/>
      <c r="D8" s="906" t="s">
        <v>139</v>
      </c>
      <c r="E8" s="907" t="e">
        <f>ROUND(C11/E7,4)</f>
        <v>#DIV/0!</v>
      </c>
      <c r="F8" s="2739" t="s">
        <v>2826</v>
      </c>
      <c r="G8" s="2740"/>
      <c r="H8" s="2740"/>
      <c r="I8" s="2740"/>
      <c r="J8" s="2741"/>
      <c r="K8" s="1358"/>
      <c r="L8" s="2714" t="s">
        <v>2827</v>
      </c>
      <c r="M8" s="1069">
        <f>SUMPRODUCT((区片价!B206:B244=I2)*(区片价!C3:F3=E2)*(区片价!C206:F244))</f>
        <v>0</v>
      </c>
      <c r="N8" s="1071">
        <f>SUMPRODUCT((因素修正幅度!B206:B244=I2)*(因素修正幅度!C3:F3=E2)*(因素修正幅度!C206:F244))</f>
        <v>0</v>
      </c>
      <c r="O8" s="1358"/>
      <c r="P8" s="1358"/>
      <c r="Q8" s="1358"/>
      <c r="R8" s="1589">
        <v>7</v>
      </c>
      <c r="S8" s="1590"/>
      <c r="T8" s="1589" t="e">
        <f t="shared" si="0"/>
        <v>#DIV/0!</v>
      </c>
      <c r="U8" s="1590"/>
      <c r="V8" s="1589" t="e">
        <f t="shared" si="1"/>
        <v>#DIV/0!</v>
      </c>
      <c r="W8" s="3378" t="s">
        <v>2828</v>
      </c>
      <c r="X8" s="3379"/>
      <c r="Y8" s="1597" t="s">
        <v>2829</v>
      </c>
      <c r="Z8" s="1597" t="s">
        <v>2830</v>
      </c>
      <c r="AA8" s="1597" t="s">
        <v>2831</v>
      </c>
      <c r="AB8" s="1597" t="s">
        <v>2832</v>
      </c>
      <c r="AC8" s="1597" t="s">
        <v>2833</v>
      </c>
      <c r="AD8" s="1597" t="s">
        <v>2834</v>
      </c>
      <c r="AE8" s="1597" t="s">
        <v>2835</v>
      </c>
      <c r="AF8" s="1597" t="s">
        <v>2836</v>
      </c>
      <c r="AG8" s="1597" t="s">
        <v>2837</v>
      </c>
      <c r="AH8" s="1597" t="s">
        <v>2838</v>
      </c>
      <c r="AI8" s="1597" t="s">
        <v>2839</v>
      </c>
      <c r="AJ8" s="1597" t="s">
        <v>2840</v>
      </c>
    </row>
    <row r="9" spans="1:36" ht="15">
      <c r="A9" s="3368"/>
      <c r="B9" s="189" t="s">
        <v>2841</v>
      </c>
      <c r="C9" s="908">
        <f>SUMIF(修正!C59:C119,C8,修正!E59:E119)</f>
        <v>0</v>
      </c>
      <c r="D9" s="191" t="s">
        <v>140</v>
      </c>
      <c r="E9" s="191" t="e">
        <f>ROUND(C11/E7,4)</f>
        <v>#DIV/0!</v>
      </c>
      <c r="F9" s="2739" t="s">
        <v>2842</v>
      </c>
      <c r="G9" s="2740"/>
      <c r="H9" s="2740"/>
      <c r="I9" s="2740"/>
      <c r="J9" s="2741"/>
      <c r="K9" s="1358"/>
      <c r="L9" s="2714" t="s">
        <v>2843</v>
      </c>
      <c r="M9" s="1069">
        <f>SUMPRODUCT((区片价!B245:B289=I2)*(区片价!C3:F3=E2)*(区片价!C245:F289))</f>
        <v>0</v>
      </c>
      <c r="N9" s="1071">
        <f>SUMPRODUCT((因素修正幅度!B245:B289=I2)*(因素修正幅度!C3:F3=E2)*(因素修正幅度!C245:F289))</f>
        <v>0</v>
      </c>
      <c r="O9" s="1358"/>
      <c r="P9" s="1358"/>
      <c r="Q9" s="1358"/>
      <c r="R9" s="1589">
        <v>8</v>
      </c>
      <c r="S9" s="1590"/>
      <c r="T9" s="1589" t="e">
        <f t="shared" si="0"/>
        <v>#DIV/0!</v>
      </c>
      <c r="U9" s="1590"/>
      <c r="V9" s="1589" t="e">
        <f t="shared" si="1"/>
        <v>#DIV/0!</v>
      </c>
      <c r="W9" s="3380" t="s">
        <v>2844</v>
      </c>
      <c r="X9" s="1598" t="s">
        <v>2845</v>
      </c>
      <c r="Y9" s="1759"/>
      <c r="Z9" s="1599">
        <f>$Y$9</f>
        <v>0</v>
      </c>
      <c r="AA9" s="1599">
        <f t="shared" ref="AA9:AJ9" si="2">$Y$9</f>
        <v>0</v>
      </c>
      <c r="AB9" s="1599">
        <f t="shared" si="2"/>
        <v>0</v>
      </c>
      <c r="AC9" s="1599">
        <f t="shared" si="2"/>
        <v>0</v>
      </c>
      <c r="AD9" s="1599">
        <f t="shared" si="2"/>
        <v>0</v>
      </c>
      <c r="AE9" s="1599">
        <f t="shared" si="2"/>
        <v>0</v>
      </c>
      <c r="AF9" s="1599">
        <f t="shared" si="2"/>
        <v>0</v>
      </c>
      <c r="AG9" s="1599">
        <f t="shared" si="2"/>
        <v>0</v>
      </c>
      <c r="AH9" s="1599">
        <f t="shared" si="2"/>
        <v>0</v>
      </c>
      <c r="AI9" s="1599">
        <f t="shared" si="2"/>
        <v>0</v>
      </c>
      <c r="AJ9" s="1599">
        <f t="shared" si="2"/>
        <v>0</v>
      </c>
    </row>
    <row r="10" spans="1:36" ht="15">
      <c r="A10" s="3368"/>
      <c r="B10" s="189" t="s">
        <v>2846</v>
      </c>
      <c r="C10" s="191">
        <f>SUMIF(修正!C59:C119,C8,修正!F59:F119)</f>
        <v>0</v>
      </c>
      <c r="D10" s="191" t="s">
        <v>141</v>
      </c>
      <c r="E10" s="191" t="e">
        <f>ROUND(C11/E7,4)</f>
        <v>#DIV/0!</v>
      </c>
      <c r="F10" s="2739" t="s">
        <v>2847</v>
      </c>
      <c r="G10" s="2740"/>
      <c r="H10" s="2740"/>
      <c r="I10" s="2740"/>
      <c r="J10" s="2741"/>
      <c r="K10" s="1358"/>
      <c r="L10" s="2714" t="s">
        <v>2848</v>
      </c>
      <c r="M10" s="1069">
        <f>SUMPRODUCT((区片价!B290:B316=I2)*(区片价!C3:F3=E2)*(区片价!C290:F316))</f>
        <v>0</v>
      </c>
      <c r="N10" s="1071">
        <f>SUMPRODUCT((因素修正幅度!B290:B316=I2)*(因素修正幅度!C3:F3=E2)*(因素修正幅度!C290:F316))</f>
        <v>0</v>
      </c>
      <c r="O10" s="1358"/>
      <c r="P10" s="1358"/>
      <c r="Q10" s="1358"/>
      <c r="R10" s="1589">
        <v>9</v>
      </c>
      <c r="S10" s="1590"/>
      <c r="T10" s="1589" t="e">
        <f t="shared" si="0"/>
        <v>#DIV/0!</v>
      </c>
      <c r="U10" s="1590"/>
      <c r="V10" s="1589" t="e">
        <f t="shared" si="1"/>
        <v>#DIV/0!</v>
      </c>
      <c r="W10" s="3380"/>
      <c r="X10" s="1598">
        <v>7</v>
      </c>
      <c r="Y10" s="1600">
        <f>(-0.163*(Y9^2)-0.59*Y9+7617)*(10^(-4))</f>
        <v>0.76170000000000004</v>
      </c>
      <c r="Z10" s="1600">
        <f>(-0.163*(Z9^2)-0.59*Z9+7617)*(10^(-4))</f>
        <v>0.76170000000000004</v>
      </c>
      <c r="AA10" s="1600">
        <f>(-0.161*(AA9^2)-7.509*AA9+6533)*(10^(-4))</f>
        <v>0.65329999999999999</v>
      </c>
      <c r="AB10" s="1600">
        <f>(-0.161*(AB9^2)-7.509*AB9+6533)*(10^(-4))</f>
        <v>0.65329999999999999</v>
      </c>
      <c r="AC10" s="1600">
        <f>(-0.161*(AC9^2)-7.509*AC9+6533)*(10^(-4))</f>
        <v>0.65329999999999999</v>
      </c>
      <c r="AD10" s="1600">
        <f>(-0.161*(AD9^2)-7.509*AD9+6533)*(10^(-4))</f>
        <v>0.65329999999999999</v>
      </c>
      <c r="AE10" s="1600">
        <f>(-0.161*(AE9^2)-7.509*AE9+6533)*(10^(-4))</f>
        <v>0.65329999999999999</v>
      </c>
      <c r="AF10" s="1600">
        <f>(-0.214*(AF9^2)-21.991*AF9+4665)*(10^(-4))</f>
        <v>0.46650000000000003</v>
      </c>
      <c r="AG10" s="1600">
        <f>(-0.214*(AG9^2)-21.991*AG9+4665)*(10^(-4))</f>
        <v>0.46650000000000003</v>
      </c>
      <c r="AH10" s="1600">
        <f>(-0.214*(AH9^2)-21.991*AH9+4665)*(10^(-4))</f>
        <v>0.46650000000000003</v>
      </c>
      <c r="AI10" s="1600">
        <f>(-0.214*(AI9^2)-21.991*AI9+4665)*(10^(-4))</f>
        <v>0.46650000000000003</v>
      </c>
      <c r="AJ10" s="1600">
        <f>(-0.214*(AJ9^2)-21.991*AJ9+4665)*(10^(-4))</f>
        <v>0.46650000000000003</v>
      </c>
    </row>
    <row r="11" spans="1:36" ht="15.75" thickBot="1">
      <c r="A11" s="3368"/>
      <c r="B11" s="2742" t="s">
        <v>2849</v>
      </c>
      <c r="C11" s="909">
        <f>C10/4</f>
        <v>0</v>
      </c>
      <c r="D11" s="909" t="s">
        <v>142</v>
      </c>
      <c r="E11" s="909" t="e">
        <f>ROUND(C11/E7,4)</f>
        <v>#DIV/0!</v>
      </c>
      <c r="F11" s="2743" t="s">
        <v>2850</v>
      </c>
      <c r="G11" s="2744"/>
      <c r="H11" s="2744"/>
      <c r="I11" s="2744"/>
      <c r="J11" s="2745"/>
      <c r="K11" s="1358"/>
      <c r="L11" s="2714" t="s">
        <v>2851</v>
      </c>
      <c r="M11" s="1069">
        <f>SUMPRODUCT((区片价!B317:B337=I2)*(区片价!C3:F3=E2)*(区片价!C317:F337))</f>
        <v>0</v>
      </c>
      <c r="N11" s="1071">
        <f>SUMPRODUCT((因素修正幅度!B317:B337=I2)*(因素修正幅度!C3:F3=E2)*(因素修正幅度!C317:F337))</f>
        <v>0</v>
      </c>
      <c r="O11" s="1358"/>
      <c r="P11" s="1358"/>
      <c r="Q11" s="1358"/>
      <c r="R11" s="1589">
        <v>10</v>
      </c>
      <c r="S11" s="1590"/>
      <c r="T11" s="1589" t="e">
        <f t="shared" si="0"/>
        <v>#DIV/0!</v>
      </c>
      <c r="U11" s="1590"/>
      <c r="V11" s="1589" t="e">
        <f t="shared" si="1"/>
        <v>#DIV/0!</v>
      </c>
      <c r="W11" s="3380" t="s">
        <v>2852</v>
      </c>
      <c r="X11" s="1601" t="s">
        <v>2853</v>
      </c>
      <c r="Y11" s="1602">
        <f>$G$3</f>
        <v>2.38</v>
      </c>
      <c r="Z11" s="1602">
        <f t="shared" ref="Z11:AJ11" si="3">$G$3</f>
        <v>2.38</v>
      </c>
      <c r="AA11" s="1602">
        <f t="shared" si="3"/>
        <v>2.38</v>
      </c>
      <c r="AB11" s="1602">
        <f t="shared" si="3"/>
        <v>2.38</v>
      </c>
      <c r="AC11" s="1602">
        <f t="shared" si="3"/>
        <v>2.38</v>
      </c>
      <c r="AD11" s="1602">
        <f t="shared" si="3"/>
        <v>2.38</v>
      </c>
      <c r="AE11" s="1602">
        <f t="shared" si="3"/>
        <v>2.38</v>
      </c>
      <c r="AF11" s="1602">
        <f t="shared" si="3"/>
        <v>2.38</v>
      </c>
      <c r="AG11" s="1602">
        <f t="shared" si="3"/>
        <v>2.38</v>
      </c>
      <c r="AH11" s="1602">
        <f t="shared" si="3"/>
        <v>2.38</v>
      </c>
      <c r="AI11" s="1602">
        <f t="shared" si="3"/>
        <v>2.38</v>
      </c>
      <c r="AJ11" s="1602">
        <f t="shared" si="3"/>
        <v>2.38</v>
      </c>
    </row>
    <row r="12" spans="1:36" ht="25.5" thickBot="1">
      <c r="A12" s="3367" t="s">
        <v>2854</v>
      </c>
      <c r="B12" s="2746" t="s">
        <v>2855</v>
      </c>
      <c r="C12" s="905">
        <f>ROUND(C15*D15*E15*F15*G15*H15*I15*J15,4)</f>
        <v>1</v>
      </c>
      <c r="D12" s="2747" t="s">
        <v>2856</v>
      </c>
      <c r="E12" s="2748"/>
      <c r="F12" s="2748"/>
      <c r="G12" s="2749"/>
      <c r="H12" s="2749"/>
      <c r="I12" s="2749"/>
      <c r="J12" s="2750"/>
      <c r="K12" s="1358"/>
      <c r="L12" s="2751" t="s">
        <v>2857</v>
      </c>
      <c r="M12" s="1070">
        <f>SUMPRODUCT((区片价!B338:B344=I2)*(区片价!C3:F3=E2)*(区片价!C338:F344))</f>
        <v>0</v>
      </c>
      <c r="N12" s="1071">
        <f>SUMPRODUCT((因素修正幅度!B338:B344=I2)*(因素修正幅度!C3:F3=E2)*(因素修正幅度!C338:F344))</f>
        <v>0</v>
      </c>
      <c r="O12" s="1358"/>
      <c r="P12" s="1358"/>
      <c r="Q12" s="1358"/>
      <c r="R12" s="1589">
        <v>11</v>
      </c>
      <c r="S12" s="1590"/>
      <c r="T12" s="1589" t="e">
        <f t="shared" si="0"/>
        <v>#DIV/0!</v>
      </c>
      <c r="U12" s="1590"/>
      <c r="V12" s="1589" t="e">
        <f t="shared" si="1"/>
        <v>#DIV/0!</v>
      </c>
      <c r="W12" s="3380"/>
      <c r="X12" s="1603" t="s">
        <v>2858</v>
      </c>
      <c r="Y12" s="1599">
        <f t="shared" ref="Y12:AJ12" si="4">Y9</f>
        <v>0</v>
      </c>
      <c r="Z12" s="1599">
        <f t="shared" si="4"/>
        <v>0</v>
      </c>
      <c r="AA12" s="1599">
        <f t="shared" si="4"/>
        <v>0</v>
      </c>
      <c r="AB12" s="1599">
        <f t="shared" si="4"/>
        <v>0</v>
      </c>
      <c r="AC12" s="1599">
        <f t="shared" si="4"/>
        <v>0</v>
      </c>
      <c r="AD12" s="1599">
        <f t="shared" si="4"/>
        <v>0</v>
      </c>
      <c r="AE12" s="1599">
        <f t="shared" si="4"/>
        <v>0</v>
      </c>
      <c r="AF12" s="1599">
        <f t="shared" si="4"/>
        <v>0</v>
      </c>
      <c r="AG12" s="1599">
        <f t="shared" si="4"/>
        <v>0</v>
      </c>
      <c r="AH12" s="1599">
        <f t="shared" si="4"/>
        <v>0</v>
      </c>
      <c r="AI12" s="1599">
        <f t="shared" si="4"/>
        <v>0</v>
      </c>
      <c r="AJ12" s="1599">
        <f t="shared" si="4"/>
        <v>0</v>
      </c>
    </row>
    <row r="13" spans="1:36" ht="24">
      <c r="A13" s="3385"/>
      <c r="B13" s="2752" t="s">
        <v>2859</v>
      </c>
      <c r="C13" s="2753" t="s">
        <v>2860</v>
      </c>
      <c r="D13" s="1795" t="s">
        <v>2861</v>
      </c>
      <c r="E13" s="1795" t="s">
        <v>2862</v>
      </c>
      <c r="F13" s="30" t="s">
        <v>2863</v>
      </c>
      <c r="G13" s="2754" t="s">
        <v>2864</v>
      </c>
      <c r="H13" s="2754" t="s">
        <v>2864</v>
      </c>
      <c r="I13" s="2754" t="s">
        <v>2864</v>
      </c>
      <c r="J13" s="2755" t="s">
        <v>2864</v>
      </c>
      <c r="K13" s="1358"/>
      <c r="L13" s="1358"/>
      <c r="M13" s="1358"/>
      <c r="N13" s="1358"/>
      <c r="O13" s="1358"/>
      <c r="P13" s="1358"/>
      <c r="Q13" s="1358"/>
      <c r="R13" s="1589">
        <v>12</v>
      </c>
      <c r="S13" s="1590"/>
      <c r="T13" s="1589" t="e">
        <f t="shared" si="0"/>
        <v>#DIV/0!</v>
      </c>
      <c r="U13" s="1590"/>
      <c r="V13" s="1589" t="e">
        <f t="shared" si="1"/>
        <v>#DIV/0!</v>
      </c>
      <c r="W13" s="3380"/>
      <c r="X13" s="1603"/>
      <c r="Y13" s="1600">
        <f>(-0.163*(Y12^2)-0.59*Y12+7617)*(10^(-4))/Y11</f>
        <v>0.32004201680672273</v>
      </c>
      <c r="Z13" s="1600">
        <f t="shared" ref="Z13:AJ13" si="5">(-0.163*(Z12^2)-0.59*Z12+7617)*(10^(-4))/Z11</f>
        <v>0.32004201680672273</v>
      </c>
      <c r="AA13" s="1600">
        <f t="shared" si="5"/>
        <v>0.32004201680672273</v>
      </c>
      <c r="AB13" s="1600">
        <f t="shared" si="5"/>
        <v>0.32004201680672273</v>
      </c>
      <c r="AC13" s="1600">
        <f t="shared" si="5"/>
        <v>0.32004201680672273</v>
      </c>
      <c r="AD13" s="1600">
        <f t="shared" si="5"/>
        <v>0.32004201680672273</v>
      </c>
      <c r="AE13" s="1600">
        <f t="shared" si="5"/>
        <v>0.32004201680672273</v>
      </c>
      <c r="AF13" s="1600">
        <f t="shared" si="5"/>
        <v>0.32004201680672273</v>
      </c>
      <c r="AG13" s="1600">
        <f t="shared" si="5"/>
        <v>0.32004201680672273</v>
      </c>
      <c r="AH13" s="1600">
        <f t="shared" si="5"/>
        <v>0.32004201680672273</v>
      </c>
      <c r="AI13" s="1600">
        <f t="shared" si="5"/>
        <v>0.32004201680672273</v>
      </c>
      <c r="AJ13" s="1600">
        <f t="shared" si="5"/>
        <v>0.32004201680672273</v>
      </c>
    </row>
    <row r="14" spans="1:36" ht="15">
      <c r="A14" s="3385"/>
      <c r="B14" s="2756"/>
      <c r="C14" s="2757"/>
      <c r="D14" s="2758"/>
      <c r="E14" s="2758"/>
      <c r="F14" s="2759"/>
      <c r="G14" s="2760" t="s">
        <v>2865</v>
      </c>
      <c r="H14" s="2761"/>
      <c r="I14" s="2762"/>
      <c r="J14" s="2763"/>
      <c r="K14" s="1358"/>
      <c r="L14" s="1358"/>
      <c r="M14" s="1358"/>
      <c r="N14" s="1358"/>
      <c r="O14" s="1358"/>
      <c r="P14" s="1358"/>
      <c r="Q14" s="1358"/>
      <c r="R14" s="1589">
        <v>13</v>
      </c>
      <c r="S14" s="1590"/>
      <c r="T14" s="1589" t="e">
        <f t="shared" si="0"/>
        <v>#DIV/0!</v>
      </c>
      <c r="U14" s="1590"/>
      <c r="V14" s="1589" t="e">
        <f t="shared" si="1"/>
        <v>#DIV/0!</v>
      </c>
      <c r="W14" s="1593"/>
      <c r="X14" s="1593"/>
      <c r="Y14" s="1593"/>
      <c r="Z14" s="1593"/>
      <c r="AA14" s="1593"/>
      <c r="AB14" s="1593"/>
      <c r="AC14" s="1594"/>
      <c r="AD14" s="1595"/>
      <c r="AE14" s="1595"/>
      <c r="AF14" s="1595"/>
      <c r="AG14" s="1595"/>
      <c r="AH14" s="1595"/>
      <c r="AI14" s="1595"/>
      <c r="AJ14" s="1596"/>
    </row>
    <row r="15" spans="1:36" ht="15.75" thickBot="1">
      <c r="A15" s="3386"/>
      <c r="B15" s="2764" t="s">
        <v>2866</v>
      </c>
      <c r="C15" s="220">
        <f>IF(C14="有",1.1,1)</f>
        <v>1</v>
      </c>
      <c r="D15" s="220">
        <f>IF(D14="有",1.1,1)</f>
        <v>1</v>
      </c>
      <c r="E15" s="220">
        <f>IF(E14="有",1.1,1)</f>
        <v>1</v>
      </c>
      <c r="F15" s="220">
        <f>IF(F14="500米范围内",1.2,IF(F14="500-1000米",1.1,1))</f>
        <v>1</v>
      </c>
      <c r="G15" s="935">
        <v>1</v>
      </c>
      <c r="H15" s="935">
        <v>1</v>
      </c>
      <c r="I15" s="935">
        <v>1</v>
      </c>
      <c r="J15" s="936">
        <v>1</v>
      </c>
      <c r="K15" s="1358"/>
      <c r="L15" s="2765" t="s">
        <v>2802</v>
      </c>
      <c r="M15" s="906" t="s">
        <v>2867</v>
      </c>
      <c r="N15" s="906" t="s">
        <v>2868</v>
      </c>
      <c r="O15" s="906" t="s">
        <v>2869</v>
      </c>
      <c r="P15" s="2766" t="s">
        <v>2870</v>
      </c>
      <c r="Q15" s="1358"/>
      <c r="R15" s="1589">
        <v>14</v>
      </c>
      <c r="S15" s="1590"/>
      <c r="T15" s="1589" t="e">
        <f t="shared" si="0"/>
        <v>#DIV/0!</v>
      </c>
      <c r="U15" s="1590"/>
      <c r="V15" s="1589" t="e">
        <f t="shared" si="1"/>
        <v>#DIV/0!</v>
      </c>
      <c r="W15" s="1593"/>
      <c r="X15" s="1593"/>
      <c r="Y15" s="1593"/>
      <c r="Z15" s="1593"/>
      <c r="AA15" s="1593"/>
      <c r="AB15" s="1593"/>
      <c r="AC15" s="1594"/>
      <c r="AD15" s="1595"/>
      <c r="AE15" s="1595"/>
      <c r="AF15" s="1595"/>
      <c r="AG15" s="1595"/>
      <c r="AH15" s="1595"/>
      <c r="AI15" s="1595"/>
      <c r="AJ15" s="1596"/>
    </row>
    <row r="16" spans="1:36" ht="24">
      <c r="A16" s="3367" t="s">
        <v>2871</v>
      </c>
      <c r="B16" s="2733" t="s">
        <v>2872</v>
      </c>
      <c r="C16" s="1788" t="e">
        <f>ROUND(SUM(G17:J17)/C17,0)</f>
        <v>#DIV/0!</v>
      </c>
      <c r="D16" s="2767" t="s">
        <v>2873</v>
      </c>
      <c r="E16" s="2768"/>
      <c r="F16" s="2769"/>
      <c r="G16" s="2770"/>
      <c r="H16" s="2770"/>
      <c r="I16" s="2770"/>
      <c r="J16" s="2771"/>
      <c r="K16" s="1358"/>
      <c r="L16" s="2772" t="s">
        <v>2874</v>
      </c>
      <c r="M16" s="908">
        <v>0.25</v>
      </c>
      <c r="N16" s="908">
        <v>0.2</v>
      </c>
      <c r="O16" s="908">
        <v>0.15</v>
      </c>
      <c r="P16" s="1357">
        <v>0.1</v>
      </c>
      <c r="Q16" s="1358"/>
      <c r="R16" s="1589">
        <v>15</v>
      </c>
      <c r="S16" s="1590"/>
      <c r="T16" s="1589" t="e">
        <f t="shared" si="0"/>
        <v>#DIV/0!</v>
      </c>
      <c r="U16" s="1590"/>
      <c r="V16" s="1589" t="e">
        <f t="shared" si="1"/>
        <v>#DIV/0!</v>
      </c>
      <c r="W16" s="1593"/>
      <c r="X16" s="1593"/>
      <c r="Y16" s="1593"/>
      <c r="Z16" s="1593"/>
      <c r="AA16" s="1593"/>
      <c r="AB16" s="1593"/>
      <c r="AC16" s="1594"/>
      <c r="AD16" s="1595"/>
      <c r="AE16" s="1595"/>
      <c r="AF16" s="1595"/>
      <c r="AG16" s="1595"/>
      <c r="AH16" s="1595"/>
      <c r="AI16" s="1595"/>
      <c r="AJ16" s="1596"/>
    </row>
    <row r="17" spans="1:37" ht="13.5" thickBot="1">
      <c r="A17" s="3368"/>
      <c r="B17" s="2773" t="s">
        <v>2875</v>
      </c>
      <c r="C17" s="910">
        <f>SUMPRODUCT((修正!A2:A5=E2)*(修正!B1:M1=G2)*(修正!B2:M5))</f>
        <v>0</v>
      </c>
      <c r="D17" s="2774" t="s">
        <v>2876</v>
      </c>
      <c r="E17" s="909" t="str">
        <f>IF(OR(G2="八级",G2="九级",G2="十级",G2="十一级",G2="十二级"),"五通一平","七通一平")</f>
        <v>七通一平</v>
      </c>
      <c r="F17" s="910" t="s">
        <v>2877</v>
      </c>
      <c r="G17" s="910">
        <f>SUMPRODUCT((七通一平=G16)*(修正!B1:M1=G2)*(修正!B6:M14))</f>
        <v>0</v>
      </c>
      <c r="H17" s="910">
        <f>SUMPRODUCT((七通一平=H16)*(修正!B1:M1=G2)*(修正!B6:M14))</f>
        <v>0</v>
      </c>
      <c r="I17" s="910">
        <f>SUMPRODUCT((七通一平=I16)*(修正!B1:M1=G2)*(修正!B6:M14))</f>
        <v>0</v>
      </c>
      <c r="J17" s="911">
        <f>SUMPRODUCT((七通一平=J16)*(修正!B1:M1=G2)*(修正!B6:M14))</f>
        <v>0</v>
      </c>
      <c r="K17" s="1358"/>
      <c r="L17" s="2775" t="s">
        <v>2878</v>
      </c>
      <c r="M17" s="202">
        <f ca="1">ROUND($E$20*(1+M16),3)</f>
        <v>5.3999999999999999E-2</v>
      </c>
      <c r="N17" s="202">
        <f ca="1">ROUND($E$20*(1+N16),3)</f>
        <v>5.1999999999999998E-2</v>
      </c>
      <c r="O17" s="202">
        <f ca="1">ROUND($E$20*(1+O16),3)</f>
        <v>0.05</v>
      </c>
      <c r="P17" s="1361">
        <f ca="1">ROUND($E$20*(1+P16),3)</f>
        <v>4.8000000000000001E-2</v>
      </c>
      <c r="Q17" s="1358"/>
      <c r="R17" s="1358"/>
      <c r="S17" s="1358"/>
      <c r="T17" s="1358"/>
      <c r="U17" s="1358"/>
      <c r="V17" s="1358"/>
      <c r="W17" s="1358"/>
      <c r="X17" s="1358"/>
      <c r="Y17" s="1358"/>
      <c r="Z17" s="1359"/>
      <c r="AE17" s="2776"/>
      <c r="AF17" s="2776"/>
      <c r="AG17" s="2708"/>
      <c r="AH17" s="2708"/>
      <c r="AI17" s="2708"/>
      <c r="AJ17" s="2708"/>
    </row>
    <row r="18" spans="1:37" s="2726" customFormat="1" ht="15.75" thickBot="1">
      <c r="A18" s="2777" t="s">
        <v>808</v>
      </c>
      <c r="B18" s="2778" t="s">
        <v>2879</v>
      </c>
      <c r="C18" s="912">
        <f>SUMIF(修正!C18:C39,E3,修正!E18:E39)</f>
        <v>0</v>
      </c>
      <c r="D18" s="2779"/>
      <c r="E18" s="2780"/>
      <c r="F18" s="2781"/>
      <c r="G18" s="2782"/>
      <c r="H18" s="2782"/>
      <c r="I18" s="2782"/>
      <c r="J18" s="2783"/>
      <c r="K18" s="1365"/>
      <c r="O18" s="1363"/>
      <c r="P18" s="1363"/>
      <c r="Q18" s="1364"/>
      <c r="R18" s="1364"/>
      <c r="S18" s="1364"/>
      <c r="T18" s="1359"/>
      <c r="U18" s="1359"/>
      <c r="V18" s="1359"/>
      <c r="W18" s="1358"/>
      <c r="X18" s="1358"/>
      <c r="Y18" s="1358"/>
      <c r="Z18" s="1365"/>
      <c r="AA18" s="1366"/>
      <c r="AB18" s="1366"/>
      <c r="AC18" s="1366"/>
      <c r="AD18" s="1366"/>
      <c r="AE18" s="1360"/>
      <c r="AF18" s="1360"/>
      <c r="AG18" s="2784"/>
      <c r="AH18" s="2784"/>
      <c r="AI18" s="2784"/>
    </row>
    <row r="19" spans="1:37" s="2726" customFormat="1" ht="27.75" thickBot="1">
      <c r="A19" s="2777" t="s">
        <v>809</v>
      </c>
      <c r="B19" s="2778" t="s">
        <v>2880</v>
      </c>
      <c r="C19" s="913" t="e">
        <f>ROUND(IF(H19="按公示增长率计算",SUMPRODUCT((地价!A3:A24=YEAR(G19)&amp;"-"&amp;ROUNDUP(MONTH(G19)/3,0))*(地价!X2:AB2=E2)*(地价!X3:AB24)),IF(H19="地价指数",M20/M19,(1+I19)^O19)),4)</f>
        <v>#DIV/0!</v>
      </c>
      <c r="D19" s="2785" t="s">
        <v>2881</v>
      </c>
      <c r="E19" s="914">
        <v>41640</v>
      </c>
      <c r="F19" s="2785" t="s">
        <v>2882</v>
      </c>
      <c r="G19" s="915">
        <f>'数据-取费表'!B2</f>
        <v>43515</v>
      </c>
      <c r="H19" s="2786" t="s">
        <v>2883</v>
      </c>
      <c r="I19" s="916" t="str">
        <f>IF(H19="季度增幅（自定义）",SUMIF(N21:N24,E2,O21:O24),"")</f>
        <v/>
      </c>
      <c r="J19" s="2783"/>
      <c r="K19" s="1365"/>
      <c r="L19" s="2787" t="s">
        <v>2884</v>
      </c>
      <c r="M19" s="1721">
        <f>ROUND(SUMIF(地价!B2:F2,E2,地价!B24:F24),0)</f>
        <v>0</v>
      </c>
      <c r="N19" s="2788" t="s">
        <v>2885</v>
      </c>
      <c r="O19" s="917">
        <f>ROUNDDOWN(DATEDIF(E19,G19,"M")/3,0)</f>
        <v>20</v>
      </c>
      <c r="P19" s="1362"/>
      <c r="Q19" s="1364"/>
      <c r="R19" s="1364"/>
      <c r="S19" s="1364"/>
      <c r="T19" s="1359"/>
      <c r="U19" s="1359"/>
      <c r="V19" s="1359"/>
      <c r="W19" s="1358"/>
      <c r="X19" s="1358"/>
      <c r="Y19" s="1358"/>
      <c r="Z19" s="1365"/>
      <c r="AA19" s="1366"/>
      <c r="AB19" s="1366"/>
      <c r="AC19" s="1366"/>
      <c r="AD19" s="1366"/>
      <c r="AE19" s="1366"/>
      <c r="AF19" s="2789"/>
      <c r="AG19" s="2790"/>
      <c r="AH19" s="2784"/>
      <c r="AI19" s="2791"/>
      <c r="AJ19" s="2791"/>
      <c r="AK19" s="2791"/>
    </row>
    <row r="20" spans="1:37" s="2726" customFormat="1" ht="27.75" thickBot="1">
      <c r="A20" s="2792" t="s">
        <v>810</v>
      </c>
      <c r="B20" s="2793" t="s">
        <v>2886</v>
      </c>
      <c r="C20" s="918" t="e">
        <f>ROUND(POWER(1+G20,J20-I20)*(POWER(1+G20,I20)-1)/(POWER(1+G20,J20)-1),4)</f>
        <v>#DIV/0!</v>
      </c>
      <c r="D20" s="2794" t="s">
        <v>2887</v>
      </c>
      <c r="E20" s="1755">
        <f ca="1">存贷款利率!D4/100</f>
        <v>4.3499999999999997E-2</v>
      </c>
      <c r="F20" s="2794" t="s">
        <v>2878</v>
      </c>
      <c r="G20" s="923">
        <f>SUMIF(M15:P15,E2,M17:P17)</f>
        <v>0</v>
      </c>
      <c r="H20" s="2794" t="s">
        <v>2888</v>
      </c>
      <c r="I20" s="924" t="e">
        <f>SUMIF('数据-取费表'!C6:C15,E2,'数据-取费表'!F6:F15)/COUNTIF('数据-取费表'!C6:C15,E2)</f>
        <v>#DIV/0!</v>
      </c>
      <c r="J20" s="925">
        <f>IF(E2="住宅",70,IF(E2="商业",40,50))</f>
        <v>50</v>
      </c>
      <c r="K20" s="1365"/>
      <c r="L20" s="2795" t="s">
        <v>2889</v>
      </c>
      <c r="M20" s="1722">
        <f>ROUND(SUMPRODUCT((地价!A4:A24=YEAR(G19)&amp;"-"&amp;ROUNDUP(MONTH(G19)/3,0))*(地价!B2:F2=E2)*(地价!B4:F24)),0)</f>
        <v>0</v>
      </c>
      <c r="N20" s="2796" t="s">
        <v>2890</v>
      </c>
      <c r="O20" s="2797" t="s">
        <v>2891</v>
      </c>
      <c r="P20" s="2798" t="s">
        <v>2892</v>
      </c>
      <c r="R20" s="1364"/>
      <c r="S20" s="1364"/>
      <c r="T20" s="1359"/>
      <c r="U20" s="1359"/>
      <c r="V20" s="1359"/>
      <c r="W20" s="1358"/>
      <c r="X20" s="1358"/>
      <c r="Y20" s="1358"/>
      <c r="Z20" s="1365"/>
      <c r="AA20" s="1366"/>
      <c r="AB20" s="1366"/>
      <c r="AC20" s="1366"/>
      <c r="AD20" s="1366"/>
      <c r="AE20" s="1366"/>
      <c r="AF20" s="1366"/>
    </row>
    <row r="21" spans="1:37" s="2726" customFormat="1" ht="15">
      <c r="A21" s="2799" t="s">
        <v>811</v>
      </c>
      <c r="B21" s="2800" t="s">
        <v>2893</v>
      </c>
      <c r="C21" s="926">
        <f>IF(B21="容积率修正",IF(G3&lt;=10,D22,J22),C23)</f>
        <v>0</v>
      </c>
      <c r="D21" s="2801"/>
      <c r="E21" s="2801"/>
      <c r="F21" s="2801"/>
      <c r="G21" s="2801"/>
      <c r="H21" s="2801"/>
      <c r="I21" s="2801"/>
      <c r="J21" s="2802"/>
      <c r="K21" s="1365"/>
      <c r="N21" s="2803" t="s">
        <v>2894</v>
      </c>
      <c r="O21" s="1549"/>
      <c r="P21" s="1550">
        <f>SUMPRODUCT((地价!A3:A24=YEAR(G19)&amp;"-"&amp;ROUNDUP(MONTH(G19)/3,0))*(地价!AD2:AH2=N21)*(地价!AD3:AH24))</f>
        <v>0</v>
      </c>
      <c r="R21" s="1364"/>
      <c r="S21" s="1364"/>
      <c r="T21" s="1359"/>
      <c r="U21" s="1359"/>
      <c r="V21" s="1359"/>
      <c r="W21" s="1358"/>
      <c r="X21" s="1358"/>
      <c r="Y21" s="1358"/>
      <c r="Z21" s="1365"/>
      <c r="AA21" s="1366"/>
      <c r="AB21" s="1366"/>
      <c r="AC21" s="1366"/>
      <c r="AD21" s="1366"/>
      <c r="AE21" s="1366"/>
      <c r="AF21" s="1366"/>
    </row>
    <row r="22" spans="1:37" s="2726" customFormat="1" ht="14.25">
      <c r="A22" s="2652" t="s">
        <v>2895</v>
      </c>
      <c r="B22" s="2804" t="s">
        <v>2896</v>
      </c>
      <c r="C22" s="1797" t="s">
        <v>2897</v>
      </c>
      <c r="D22" s="1797">
        <f>IF(E22=G22,F22,IF(G3&lt;=10,ROUND(F22+(H22-F22)*(G3-E22)/(G22-E22),4),"——"))</f>
        <v>0</v>
      </c>
      <c r="E22" s="902">
        <f>ROUNDDOWN(G3,1)</f>
        <v>2.2999999999999998</v>
      </c>
      <c r="F22" s="179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2">
        <f>ROUNDUP(G3,1)</f>
        <v>2.4</v>
      </c>
      <c r="H22" s="179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97" t="s">
        <v>155</v>
      </c>
      <c r="J22" s="927" t="str">
        <f>IF(G3&gt;10,D113,"——")</f>
        <v>——</v>
      </c>
      <c r="K22" s="1365"/>
      <c r="N22" s="2803" t="s">
        <v>2898</v>
      </c>
      <c r="O22" s="1549"/>
      <c r="P22" s="1550">
        <f>SUMPRODUCT((地价!A3:A24=YEAR(G19)&amp;"-"&amp;ROUNDUP(MONTH(G19)/3,0))*(地价!AD2:AH2=N22)*(地价!AD3:AH24))</f>
        <v>0</v>
      </c>
      <c r="R22" s="1364"/>
      <c r="S22" s="1364"/>
      <c r="T22" s="1359"/>
      <c r="U22" s="1359"/>
      <c r="V22" s="1359"/>
      <c r="W22" s="1358"/>
      <c r="X22" s="1358"/>
      <c r="Y22" s="1358"/>
      <c r="Z22" s="1365"/>
      <c r="AA22" s="1366"/>
      <c r="AB22" s="1366"/>
      <c r="AC22" s="1366"/>
      <c r="AD22" s="1366"/>
      <c r="AE22" s="1366"/>
      <c r="AF22" s="1366"/>
    </row>
    <row r="23" spans="1:37" ht="27.75" thickBot="1">
      <c r="A23" s="2652" t="s">
        <v>2899</v>
      </c>
      <c r="B23" s="2805" t="s">
        <v>2900</v>
      </c>
      <c r="C23" s="1001">
        <f>ROUND(IF(G3&gt;1,IF(I3&lt;7,SUMPRODUCT((B93:B98=I3)*(C92:N92=G2)*(C93:N98)),SUMIF(C92:N92,G2,C100:N100)),IF(I3&lt;7,SUMPRODUCT((B102:B107=I3)*(C92:N92=G2)*(C102:N107)),SUMIF(C92:N92,G2,C109:N109))),4)</f>
        <v>0</v>
      </c>
      <c r="D23" s="2761"/>
      <c r="E23" s="2761"/>
      <c r="F23" s="2806"/>
      <c r="G23" s="2807"/>
      <c r="H23" s="2808"/>
      <c r="I23" s="2809"/>
      <c r="J23" s="2810"/>
      <c r="K23" s="1358"/>
      <c r="N23" s="2803" t="s">
        <v>2901</v>
      </c>
      <c r="O23" s="1549"/>
      <c r="P23" s="1550">
        <f>SUMPRODUCT((地价!A3:A24=YEAR(G19)&amp;"-"&amp;ROUNDUP(MONTH(G19)/3,0))*(地价!AD2:AH2=N23)*(地价!AD3:AH24))</f>
        <v>0</v>
      </c>
      <c r="R23" s="1364"/>
      <c r="S23" s="1364"/>
      <c r="T23" s="1359"/>
      <c r="U23" s="1359"/>
      <c r="V23" s="1359"/>
      <c r="W23" s="1358"/>
      <c r="X23" s="1358"/>
      <c r="Y23" s="1358"/>
      <c r="Z23" s="1365"/>
      <c r="AA23" s="1366"/>
      <c r="AB23" s="1366"/>
      <c r="AC23" s="1366"/>
      <c r="AD23" s="1366"/>
      <c r="AK23" s="2784"/>
    </row>
    <row r="24" spans="1:37" s="2726" customFormat="1" ht="15.75" thickBot="1">
      <c r="A24" s="2792" t="s">
        <v>812</v>
      </c>
      <c r="B24" s="2778" t="s">
        <v>2902</v>
      </c>
      <c r="C24" s="913">
        <f>SUMIF(A45:A88,E2,B45:B88)</f>
        <v>0</v>
      </c>
      <c r="D24" s="2781"/>
      <c r="E24" s="2811"/>
      <c r="F24" s="2811"/>
      <c r="G24" s="2811"/>
      <c r="H24" s="2811"/>
      <c r="I24" s="2811"/>
      <c r="J24" s="2812"/>
      <c r="K24" s="1365"/>
      <c r="N24" s="2813" t="s">
        <v>2903</v>
      </c>
      <c r="O24" s="1551"/>
      <c r="P24" s="1552">
        <f>SUMPRODUCT((地价!A3:A24=YEAR(G19)&amp;"-"&amp;ROUNDUP(MONTH(G19)/3,0))*(地价!AD2:AH2=N24)*(地价!AD3:AH24))</f>
        <v>0</v>
      </c>
      <c r="R24" s="1364"/>
      <c r="S24" s="1364"/>
      <c r="T24" s="1359"/>
      <c r="U24" s="1359"/>
      <c r="V24" s="1359"/>
      <c r="W24" s="1358"/>
      <c r="X24" s="1358"/>
      <c r="Y24" s="1358"/>
      <c r="Z24" s="1365"/>
      <c r="AA24" s="1366"/>
      <c r="AB24" s="1366"/>
      <c r="AC24" s="1366"/>
      <c r="AD24" s="1366"/>
      <c r="AE24" s="1366"/>
      <c r="AF24" s="1366"/>
    </row>
    <row r="25" spans="1:37" ht="15.75" thickBot="1">
      <c r="A25" s="2792" t="s">
        <v>813</v>
      </c>
      <c r="B25" s="2814" t="s">
        <v>2904</v>
      </c>
      <c r="C25" s="919"/>
      <c r="D25" s="2736"/>
      <c r="E25" s="2736"/>
      <c r="F25" s="2815"/>
      <c r="G25" s="2736"/>
      <c r="H25" s="2736"/>
      <c r="I25" s="2736"/>
      <c r="J25" s="2737"/>
      <c r="K25" s="1358"/>
      <c r="N25" s="2816" t="s">
        <v>2905</v>
      </c>
      <c r="O25" s="1553"/>
      <c r="P25" s="1552">
        <f>SUMPRODUCT((地价!A3:A24=YEAR(G19)&amp;"-"&amp;ROUNDUP(MONTH(G19)/3,0))*(地价!AD2:AH2=N25)*(地价!AD3:AH24))</f>
        <v>0</v>
      </c>
      <c r="R25" s="1364"/>
      <c r="S25" s="1364"/>
      <c r="T25" s="1359"/>
      <c r="U25" s="1359"/>
      <c r="V25" s="1359"/>
      <c r="W25" s="1358"/>
      <c r="X25" s="1358"/>
      <c r="Y25" s="1358"/>
      <c r="Z25" s="1365"/>
      <c r="AA25" s="1366"/>
      <c r="AB25" s="1366"/>
      <c r="AC25" s="1366"/>
      <c r="AD25" s="1366"/>
    </row>
    <row r="26" spans="1:37" ht="15">
      <c r="A26" s="2817"/>
      <c r="B26" s="2804" t="s">
        <v>2906</v>
      </c>
      <c r="C26" s="197" t="e">
        <f>E29+SUM(E33:E39)</f>
        <v>#DIV/0!</v>
      </c>
      <c r="D26" s="2818"/>
      <c r="E26" s="2761"/>
      <c r="F26" s="2819"/>
      <c r="G26" s="2761"/>
      <c r="H26" s="2761"/>
      <c r="I26" s="2761"/>
      <c r="J26" s="2820"/>
      <c r="K26" s="1358"/>
      <c r="R26" s="1364"/>
      <c r="S26" s="1364"/>
      <c r="T26" s="1359"/>
      <c r="U26" s="1359"/>
      <c r="V26" s="1359"/>
      <c r="W26" s="1358"/>
      <c r="X26" s="1358"/>
      <c r="Y26" s="1358"/>
      <c r="Z26" s="1365"/>
      <c r="AA26" s="1366"/>
      <c r="AB26" s="1366"/>
      <c r="AC26" s="1366"/>
      <c r="AD26" s="1366"/>
    </row>
    <row r="27" spans="1:37" ht="15.75" thickBot="1">
      <c r="A27" s="2817"/>
      <c r="B27" s="2821" t="s">
        <v>2907</v>
      </c>
      <c r="C27" s="920" t="e">
        <f>E30+SUM(I33:I39)</f>
        <v>#DIV/0!</v>
      </c>
      <c r="D27" s="2822"/>
      <c r="E27" s="2823"/>
      <c r="F27" s="2824"/>
      <c r="G27" s="2823"/>
      <c r="H27" s="2823"/>
      <c r="I27" s="2823"/>
      <c r="J27" s="2825"/>
      <c r="K27" s="1358"/>
      <c r="L27" s="1358"/>
      <c r="M27" s="1358"/>
      <c r="N27" s="1358"/>
      <c r="O27" s="1363"/>
      <c r="P27" s="1363"/>
      <c r="Q27" s="1364"/>
      <c r="R27" s="1364"/>
      <c r="S27" s="1364"/>
      <c r="T27" s="1359"/>
      <c r="U27" s="1359"/>
      <c r="V27" s="1359"/>
      <c r="W27" s="1358"/>
      <c r="X27" s="1358"/>
      <c r="Y27" s="1358"/>
      <c r="Z27" s="1365"/>
      <c r="AA27" s="1366"/>
      <c r="AB27" s="1366"/>
      <c r="AC27" s="1366"/>
      <c r="AD27" s="1366"/>
    </row>
    <row r="28" spans="1:37" ht="15">
      <c r="A28" s="2826"/>
      <c r="B28" s="2827" t="s">
        <v>2908</v>
      </c>
      <c r="C28" s="2828" t="s">
        <v>2909</v>
      </c>
      <c r="D28" s="2828" t="s">
        <v>2910</v>
      </c>
      <c r="E28" s="2829" t="s">
        <v>2911</v>
      </c>
      <c r="F28" s="2830"/>
      <c r="G28" s="2749"/>
      <c r="H28" s="2749"/>
      <c r="I28" s="2749"/>
      <c r="J28" s="2750"/>
      <c r="K28" s="1358"/>
      <c r="L28" s="1358"/>
      <c r="M28" s="1358"/>
      <c r="N28" s="1358"/>
      <c r="O28" s="1363"/>
      <c r="P28" s="1363"/>
      <c r="Q28" s="1364"/>
      <c r="R28" s="1364"/>
      <c r="S28" s="1364"/>
      <c r="T28" s="1359"/>
      <c r="U28" s="1359"/>
      <c r="V28" s="1359"/>
      <c r="W28" s="1358"/>
      <c r="X28" s="1358"/>
      <c r="Y28" s="1358"/>
      <c r="Z28" s="1365"/>
      <c r="AA28" s="1366"/>
      <c r="AB28" s="1366"/>
      <c r="AC28" s="1366"/>
      <c r="AD28" s="1366"/>
    </row>
    <row r="29" spans="1:37" ht="22.5" customHeight="1">
      <c r="A29" s="2831"/>
      <c r="B29" s="2832" t="s">
        <v>2912</v>
      </c>
      <c r="C29" s="197" t="e">
        <f>ROUND(C5*C18*C19*C20*C21*C24,0)</f>
        <v>#DIV/0!</v>
      </c>
      <c r="D29" s="2833"/>
      <c r="E29" s="931" t="e">
        <f>ROUND(C29*D29/10000,0)</f>
        <v>#DIV/0!</v>
      </c>
      <c r="F29" s="2834" t="s">
        <v>2913</v>
      </c>
      <c r="G29" s="2835"/>
      <c r="H29" s="2835"/>
      <c r="I29" s="2835"/>
      <c r="J29" s="2836"/>
      <c r="K29" s="1358"/>
      <c r="L29" s="1358"/>
      <c r="M29" s="1358"/>
      <c r="N29" s="1358"/>
      <c r="O29" s="1363"/>
      <c r="P29" s="1363"/>
      <c r="Q29" s="1364"/>
      <c r="R29" s="1364"/>
      <c r="S29" s="1364"/>
      <c r="T29" s="1359"/>
      <c r="U29" s="1359"/>
      <c r="V29" s="1359"/>
      <c r="W29" s="1358"/>
      <c r="X29" s="1358"/>
      <c r="Y29" s="1358"/>
      <c r="Z29" s="1365"/>
      <c r="AA29" s="1366"/>
      <c r="AB29" s="1366"/>
      <c r="AC29" s="1366"/>
      <c r="AD29" s="1366"/>
      <c r="AE29" s="2776"/>
      <c r="AF29" s="2776"/>
      <c r="AG29" s="2708"/>
      <c r="AH29" s="2708"/>
      <c r="AI29" s="2708"/>
      <c r="AJ29" s="2708"/>
    </row>
    <row r="30" spans="1:37" ht="25.5" thickBot="1">
      <c r="A30" s="2837"/>
      <c r="B30" s="2838" t="s">
        <v>2914</v>
      </c>
      <c r="C30" s="220" t="e">
        <f>ROUND(IF(E2="工业",C29*M39,C29*M38),0)</f>
        <v>#DIV/0!</v>
      </c>
      <c r="D30" s="2839"/>
      <c r="E30" s="931" t="e">
        <f>ROUND(C30*D30/10000,0)</f>
        <v>#DIV/0!</v>
      </c>
      <c r="F30" s="2840" t="s">
        <v>2915</v>
      </c>
      <c r="G30" s="2841"/>
      <c r="H30" s="2841"/>
      <c r="I30" s="2841"/>
      <c r="J30" s="2842"/>
      <c r="K30" s="1358"/>
      <c r="L30" s="1358"/>
      <c r="M30" s="1358"/>
      <c r="N30" s="1358"/>
      <c r="O30" s="1363"/>
      <c r="P30" s="1363"/>
      <c r="Q30" s="1364"/>
      <c r="R30" s="1364"/>
      <c r="S30" s="1364"/>
      <c r="T30" s="1359"/>
      <c r="U30" s="1359"/>
      <c r="V30" s="1359"/>
      <c r="W30" s="1358"/>
      <c r="X30" s="1358"/>
      <c r="Y30" s="1358"/>
      <c r="Z30" s="1365"/>
      <c r="AA30" s="1366"/>
      <c r="AB30" s="1366"/>
      <c r="AC30" s="1366"/>
      <c r="AD30" s="1366"/>
      <c r="AE30" s="2776"/>
      <c r="AF30" s="2776"/>
      <c r="AG30" s="2708"/>
      <c r="AH30" s="2708"/>
      <c r="AI30" s="2708"/>
      <c r="AJ30" s="2708"/>
    </row>
    <row r="31" spans="1:37" ht="14.25">
      <c r="A31" s="2843"/>
      <c r="B31" s="2844" t="s">
        <v>2916</v>
      </c>
      <c r="C31" s="2845" t="s">
        <v>2917</v>
      </c>
      <c r="D31" s="2749"/>
      <c r="E31" s="2845"/>
      <c r="F31" s="2845"/>
      <c r="G31" s="2747" t="s">
        <v>2918</v>
      </c>
      <c r="H31" s="2749"/>
      <c r="I31" s="2846"/>
      <c r="J31" s="2750"/>
      <c r="K31" s="1358"/>
      <c r="L31" s="1358"/>
      <c r="M31" s="1358"/>
      <c r="N31" s="1358"/>
      <c r="O31" s="1363"/>
      <c r="P31" s="1363"/>
      <c r="Q31" s="1364"/>
      <c r="R31" s="1364"/>
      <c r="S31" s="1364"/>
      <c r="T31" s="1359"/>
      <c r="U31" s="1359"/>
      <c r="V31" s="1359"/>
      <c r="W31" s="1358"/>
      <c r="X31" s="1358"/>
      <c r="Y31" s="1358"/>
      <c r="Z31" s="1365"/>
      <c r="AA31" s="1366"/>
      <c r="AB31" s="1366"/>
      <c r="AC31" s="1366"/>
      <c r="AD31" s="1366"/>
      <c r="AE31" s="2776"/>
      <c r="AF31" s="2776"/>
      <c r="AG31" s="2708"/>
      <c r="AH31" s="2708"/>
      <c r="AI31" s="2708"/>
      <c r="AJ31" s="2708"/>
    </row>
    <row r="32" spans="1:37" ht="24">
      <c r="A32" s="2831"/>
      <c r="B32" s="2847"/>
      <c r="C32" s="492" t="s">
        <v>2909</v>
      </c>
      <c r="D32" s="489" t="s">
        <v>2910</v>
      </c>
      <c r="E32" s="489" t="s">
        <v>2911</v>
      </c>
      <c r="F32" s="379" t="s">
        <v>2919</v>
      </c>
      <c r="G32" s="2848" t="s">
        <v>2909</v>
      </c>
      <c r="H32" s="2848" t="s">
        <v>2910</v>
      </c>
      <c r="I32" s="2848" t="s">
        <v>2911</v>
      </c>
      <c r="J32" s="278"/>
      <c r="K32" s="1358"/>
      <c r="L32" s="1358"/>
      <c r="M32" s="1358"/>
      <c r="N32" s="1358"/>
      <c r="O32" s="1363"/>
      <c r="P32" s="1363"/>
      <c r="Q32" s="1364"/>
      <c r="R32" s="1364"/>
      <c r="S32" s="1364"/>
      <c r="T32" s="1359"/>
      <c r="U32" s="1359"/>
      <c r="V32" s="1359"/>
      <c r="W32" s="1358"/>
      <c r="X32" s="1358"/>
      <c r="Y32" s="1358"/>
      <c r="Z32" s="1365"/>
      <c r="AA32" s="1366"/>
      <c r="AB32" s="1366"/>
      <c r="AC32" s="1366"/>
      <c r="AD32" s="1366"/>
      <c r="AE32" s="2776"/>
      <c r="AF32" s="2776"/>
      <c r="AG32" s="2708"/>
      <c r="AH32" s="2708"/>
      <c r="AI32" s="2708"/>
      <c r="AJ32" s="2708"/>
    </row>
    <row r="33" spans="1:37" ht="36" customHeight="1">
      <c r="A33" s="3375" t="s">
        <v>2920</v>
      </c>
      <c r="B33" s="2849" t="s">
        <v>2921</v>
      </c>
      <c r="C33" s="197" t="e">
        <f>ROUND(D5*C19*C20*C24*F33,0)</f>
        <v>#DIV/0!</v>
      </c>
      <c r="D33" s="2833"/>
      <c r="E33" s="191" t="e">
        <f>ROUND(C33*D33/10000,0)</f>
        <v>#DIV/0!</v>
      </c>
      <c r="F33" s="191">
        <f>SUMIF(修正!A45:A56,G2,修正!B45:B56)</f>
        <v>0</v>
      </c>
      <c r="G33" s="191" t="e">
        <f t="shared" ref="G33" si="6">ROUND(IF(E2="工业",C33*$M$39,C33*$M$38),0)</f>
        <v>#DIV/0!</v>
      </c>
      <c r="H33" s="191">
        <f>D33</f>
        <v>0</v>
      </c>
      <c r="I33" s="191" t="e">
        <f>ROUND(G33*H33/10000,0)</f>
        <v>#DIV/0!</v>
      </c>
      <c r="J33" s="2850"/>
      <c r="K33" s="1358"/>
      <c r="L33" s="1358"/>
      <c r="M33" s="1358"/>
      <c r="N33" s="1358"/>
      <c r="O33" s="1363"/>
      <c r="P33" s="1363"/>
      <c r="Q33" s="1364"/>
      <c r="R33" s="1364"/>
      <c r="S33" s="1364"/>
      <c r="T33" s="1359"/>
      <c r="U33" s="1359"/>
      <c r="V33" s="1359"/>
      <c r="W33" s="1358"/>
      <c r="X33" s="1358"/>
      <c r="Y33" s="1358"/>
      <c r="Z33" s="1365"/>
      <c r="AA33" s="1366"/>
      <c r="AB33" s="1366"/>
      <c r="AC33" s="1366"/>
      <c r="AD33" s="1366"/>
    </row>
    <row r="34" spans="1:37" ht="14.25">
      <c r="A34" s="3376"/>
      <c r="B34" s="2753" t="s">
        <v>2922</v>
      </c>
      <c r="C34" s="197" t="e">
        <f>ROUND(D5*C19*C20*C24*F34,0)</f>
        <v>#DIV/0!</v>
      </c>
      <c r="D34" s="2833"/>
      <c r="E34" s="191" t="e">
        <f t="shared" ref="E34:E39" si="7">ROUND(C34*D34/10000,0)</f>
        <v>#DIV/0!</v>
      </c>
      <c r="F34" s="191">
        <f>SUMIF(修正!A45:A56,G2,修正!C45:C56)</f>
        <v>0</v>
      </c>
      <c r="G34" s="191" t="e">
        <f>ROUND(IF(E2="工业",C34*$M$39,C34*$M$38),0)</f>
        <v>#DIV/0!</v>
      </c>
      <c r="H34" s="191">
        <f t="shared" ref="H34:H39" si="8">D34</f>
        <v>0</v>
      </c>
      <c r="I34" s="191" t="e">
        <f t="shared" ref="I34:I39" si="9">ROUND(G34*H34/10000,0)</f>
        <v>#DIV/0!</v>
      </c>
      <c r="J34" s="2850"/>
      <c r="K34" s="1358"/>
      <c r="L34" s="1358"/>
      <c r="M34" s="1358"/>
      <c r="N34" s="1358"/>
      <c r="O34" s="1363"/>
      <c r="P34" s="1363"/>
      <c r="Q34" s="1364"/>
      <c r="R34" s="1364"/>
      <c r="S34" s="1364"/>
      <c r="T34" s="1359"/>
      <c r="U34" s="1359"/>
      <c r="V34" s="1359"/>
      <c r="W34" s="1358"/>
      <c r="X34" s="1358"/>
      <c r="Y34" s="1358"/>
      <c r="Z34" s="1365"/>
      <c r="AA34" s="1366"/>
      <c r="AB34" s="1366"/>
      <c r="AC34" s="1366"/>
      <c r="AD34" s="1366"/>
    </row>
    <row r="35" spans="1:37">
      <c r="A35" s="3376"/>
      <c r="B35" s="2753" t="s">
        <v>2923</v>
      </c>
      <c r="C35" s="197" t="e">
        <f>ROUND(D5*C19*C20*C24*F35,0)</f>
        <v>#DIV/0!</v>
      </c>
      <c r="D35" s="2833"/>
      <c r="E35" s="191" t="e">
        <f t="shared" si="7"/>
        <v>#DIV/0!</v>
      </c>
      <c r="F35" s="191">
        <f>SUMIF(修正!A45:A56,G2,修正!D45:D56)</f>
        <v>0</v>
      </c>
      <c r="G35" s="191" t="e">
        <f>ROUND(IF(E2="工业",C35*$M$39,C35*$M$38),0)</f>
        <v>#DIV/0!</v>
      </c>
      <c r="H35" s="191">
        <f t="shared" si="8"/>
        <v>0</v>
      </c>
      <c r="I35" s="191" t="e">
        <f t="shared" si="9"/>
        <v>#DIV/0!</v>
      </c>
      <c r="J35" s="2850"/>
      <c r="K35" s="1358"/>
      <c r="L35" s="1358"/>
      <c r="M35" s="1358"/>
      <c r="N35" s="1358"/>
      <c r="O35" s="1358"/>
      <c r="P35" s="1358"/>
      <c r="Q35" s="1358"/>
      <c r="R35" s="1358"/>
      <c r="S35" s="1358"/>
      <c r="T35" s="1358"/>
      <c r="U35" s="1358"/>
      <c r="V35" s="1358"/>
      <c r="W35" s="1358"/>
      <c r="X35" s="1358"/>
      <c r="Y35" s="1358"/>
      <c r="Z35" s="1359"/>
    </row>
    <row r="36" spans="1:37" ht="13.5" thickBot="1">
      <c r="A36" s="3377"/>
      <c r="B36" s="2753" t="s">
        <v>2924</v>
      </c>
      <c r="C36" s="197" t="e">
        <f>ROUND(D5*C19*C20*C24*F36,0)</f>
        <v>#DIV/0!</v>
      </c>
      <c r="D36" s="2833"/>
      <c r="E36" s="191" t="e">
        <f t="shared" si="7"/>
        <v>#DIV/0!</v>
      </c>
      <c r="F36" s="191">
        <f>SUMIF(修正!A45:A56,G2,修正!E45:E56)</f>
        <v>0</v>
      </c>
      <c r="G36" s="191" t="e">
        <f>ROUND(IF(E2="工业",C36*$M$39,C36*$M$38),0)</f>
        <v>#DIV/0!</v>
      </c>
      <c r="H36" s="191">
        <f t="shared" si="8"/>
        <v>0</v>
      </c>
      <c r="I36" s="191" t="e">
        <f t="shared" si="9"/>
        <v>#DIV/0!</v>
      </c>
      <c r="J36" s="2850"/>
      <c r="K36" s="1358"/>
      <c r="L36" s="2707"/>
      <c r="M36" s="2707"/>
      <c r="N36" s="1358"/>
      <c r="O36" s="1358"/>
      <c r="P36" s="1358"/>
      <c r="Q36" s="1358"/>
      <c r="R36" s="1358"/>
      <c r="S36" s="1358"/>
      <c r="T36" s="1358"/>
      <c r="U36" s="1358"/>
      <c r="V36" s="1358"/>
      <c r="W36" s="1358"/>
      <c r="X36" s="1358"/>
      <c r="Y36" s="1358"/>
      <c r="Z36" s="1359"/>
    </row>
    <row r="37" spans="1:37">
      <c r="A37" s="2851"/>
      <c r="B37" s="2753" t="s">
        <v>2925</v>
      </c>
      <c r="C37" s="191" t="e">
        <f>ROUND(C5*C19*C20*C24*F37,0)</f>
        <v>#DIV/0!</v>
      </c>
      <c r="D37" s="2833"/>
      <c r="E37" s="191" t="e">
        <f t="shared" si="7"/>
        <v>#DIV/0!</v>
      </c>
      <c r="F37" s="197">
        <f>SUMIF(修正!A45:A56,G2,修正!F45:F56)</f>
        <v>0</v>
      </c>
      <c r="G37" s="191" t="e">
        <f>ROUND(IF(E2="工业",C37*$M$39,C37*$M$38),0)</f>
        <v>#DIV/0!</v>
      </c>
      <c r="H37" s="191">
        <f t="shared" si="8"/>
        <v>0</v>
      </c>
      <c r="I37" s="191" t="e">
        <f t="shared" si="9"/>
        <v>#DIV/0!</v>
      </c>
      <c r="J37" s="2850"/>
      <c r="K37" s="1358"/>
      <c r="L37" s="2852" t="s">
        <v>2926</v>
      </c>
      <c r="M37" s="2853"/>
      <c r="N37" s="1358"/>
      <c r="O37" s="1358"/>
      <c r="P37" s="1358"/>
      <c r="Q37" s="1358"/>
      <c r="R37" s="1358"/>
      <c r="S37" s="1358"/>
      <c r="T37" s="1358"/>
      <c r="U37" s="1358"/>
      <c r="V37" s="1358"/>
      <c r="W37" s="1358"/>
      <c r="X37" s="1358"/>
      <c r="Y37" s="1358"/>
      <c r="Z37" s="1359"/>
    </row>
    <row r="38" spans="1:37">
      <c r="A38" s="2851"/>
      <c r="B38" s="2753" t="s">
        <v>2927</v>
      </c>
      <c r="C38" s="191" t="e">
        <f>ROUND(C5*C19*C20*C24*F38,0)</f>
        <v>#DIV/0!</v>
      </c>
      <c r="D38" s="2833"/>
      <c r="E38" s="191" t="e">
        <f t="shared" si="7"/>
        <v>#DIV/0!</v>
      </c>
      <c r="F38" s="197">
        <f>SUMIF(修正!A45:A56,G2,修正!G45:G56)</f>
        <v>0</v>
      </c>
      <c r="G38" s="191" t="e">
        <f>ROUND(IF(E2="工业",C38*$M$39,C38*$M$38),0)</f>
        <v>#DIV/0!</v>
      </c>
      <c r="H38" s="191">
        <f t="shared" si="8"/>
        <v>0</v>
      </c>
      <c r="I38" s="191" t="e">
        <f t="shared" si="9"/>
        <v>#DIV/0!</v>
      </c>
      <c r="J38" s="2850"/>
      <c r="K38" s="1358"/>
      <c r="L38" s="1874" t="s">
        <v>2928</v>
      </c>
      <c r="M38" s="2854">
        <v>0.25</v>
      </c>
      <c r="N38" s="1358"/>
      <c r="O38" s="1358"/>
      <c r="P38" s="1358"/>
      <c r="Q38" s="1358"/>
      <c r="R38" s="1358"/>
      <c r="S38" s="1358"/>
      <c r="T38" s="1358"/>
      <c r="U38" s="1358"/>
      <c r="V38" s="1358"/>
      <c r="W38" s="1358"/>
      <c r="X38" s="1358"/>
      <c r="Y38" s="1358"/>
      <c r="Z38" s="1359"/>
    </row>
    <row r="39" spans="1:37" ht="13.5" thickBot="1">
      <c r="A39" s="2837"/>
      <c r="B39" s="2855" t="s">
        <v>2929</v>
      </c>
      <c r="C39" s="220" t="e">
        <f>ROUND(C5*C19*C20*C24*F39,0)</f>
        <v>#DIV/0!</v>
      </c>
      <c r="D39" s="2839"/>
      <c r="E39" s="220" t="e">
        <f t="shared" si="7"/>
        <v>#DIV/0!</v>
      </c>
      <c r="F39" s="921">
        <f>SUMIF(修正!A45:A56,G2,修正!H45:H56)</f>
        <v>0</v>
      </c>
      <c r="G39" s="220" t="e">
        <f>ROUND(IF(E2="工业",C39*$M$39,C39*$M$38),0)</f>
        <v>#DIV/0!</v>
      </c>
      <c r="H39" s="220">
        <f t="shared" si="8"/>
        <v>0</v>
      </c>
      <c r="I39" s="220" t="e">
        <f t="shared" si="9"/>
        <v>#DIV/0!</v>
      </c>
      <c r="J39" s="2856"/>
      <c r="K39" s="1358"/>
      <c r="L39" s="2857" t="s">
        <v>2870</v>
      </c>
      <c r="M39" s="2858">
        <v>0.15</v>
      </c>
      <c r="N39" s="1358"/>
      <c r="O39" s="1358"/>
      <c r="P39" s="1358"/>
      <c r="Q39" s="1358"/>
      <c r="R39" s="1358"/>
      <c r="S39" s="1358"/>
      <c r="T39" s="1358"/>
      <c r="U39" s="1358"/>
      <c r="V39" s="1358"/>
      <c r="W39" s="1358"/>
      <c r="X39" s="1358"/>
      <c r="Y39" s="1358"/>
      <c r="Z39" s="1359"/>
    </row>
    <row r="40" spans="1:37" s="1358" customFormat="1">
      <c r="Z40" s="1359"/>
      <c r="AA40" s="1359"/>
      <c r="AB40" s="1359"/>
      <c r="AC40" s="1359"/>
      <c r="AD40" s="1359"/>
      <c r="AE40" s="1359"/>
      <c r="AF40" s="1359"/>
      <c r="AG40" s="1359"/>
      <c r="AH40" s="1359"/>
      <c r="AI40" s="1359"/>
      <c r="AJ40" s="1359"/>
    </row>
    <row r="41" spans="1:37" s="1358" customFormat="1">
      <c r="A41" s="1359"/>
      <c r="B41" s="2859"/>
      <c r="Z41" s="1359"/>
      <c r="AA41" s="1359"/>
      <c r="AB41" s="1359"/>
      <c r="AC41" s="1359"/>
      <c r="AD41" s="1359"/>
      <c r="AE41" s="1359"/>
      <c r="AF41" s="1359"/>
      <c r="AG41" s="1359"/>
      <c r="AH41" s="1359"/>
      <c r="AI41" s="1359"/>
      <c r="AJ41" s="1359"/>
    </row>
    <row r="42" spans="1:37" s="1358" customFormat="1">
      <c r="A42" s="1359"/>
      <c r="B42" s="2859"/>
      <c r="Z42" s="1359"/>
      <c r="AA42" s="1359"/>
      <c r="AB42" s="1359"/>
      <c r="AC42" s="1359"/>
      <c r="AD42" s="1359"/>
      <c r="AE42" s="1359"/>
      <c r="AF42" s="1359"/>
      <c r="AG42" s="1359"/>
      <c r="AH42" s="1359"/>
      <c r="AI42" s="1359"/>
      <c r="AJ42" s="1359"/>
    </row>
    <row r="43" spans="1:37" s="1358" customFormat="1">
      <c r="A43" s="1359"/>
      <c r="B43" s="2859"/>
      <c r="Z43" s="1359"/>
      <c r="AA43" s="1359"/>
      <c r="AB43" s="1359"/>
      <c r="AC43" s="1359"/>
      <c r="AD43" s="1359"/>
      <c r="AE43" s="1359"/>
      <c r="AF43" s="1359"/>
      <c r="AG43" s="1359"/>
      <c r="AH43" s="1359"/>
      <c r="AI43" s="1359"/>
      <c r="AJ43" s="1359"/>
    </row>
    <row r="44" spans="1:37" s="1358" customFormat="1">
      <c r="A44" s="1359"/>
      <c r="B44" s="2859"/>
      <c r="Z44" s="1359"/>
      <c r="AA44" s="1359"/>
      <c r="AB44" s="1359"/>
      <c r="AC44" s="1359"/>
      <c r="AD44" s="1359"/>
      <c r="AE44" s="1359"/>
      <c r="AF44" s="1359"/>
      <c r="AG44" s="1359"/>
      <c r="AH44" s="1359"/>
      <c r="AI44" s="1359"/>
      <c r="AJ44" s="1359"/>
    </row>
    <row r="45" spans="1:37" s="1358" customFormat="1" ht="15.75" thickBot="1">
      <c r="A45" s="2860" t="s">
        <v>2930</v>
      </c>
      <c r="B45" s="2861"/>
      <c r="C45" s="7"/>
      <c r="D45" s="7"/>
      <c r="E45" s="7"/>
      <c r="F45" s="6"/>
      <c r="G45" s="6"/>
      <c r="H45" s="6"/>
      <c r="I45" s="7"/>
      <c r="J45" s="7"/>
      <c r="K45" s="7"/>
      <c r="L45" s="7"/>
      <c r="M45" s="7"/>
      <c r="N45" s="2776"/>
      <c r="Z45" s="1359"/>
      <c r="AA45" s="1359"/>
      <c r="AB45" s="1359"/>
      <c r="AC45" s="1359"/>
      <c r="AD45" s="1359"/>
      <c r="AE45" s="1359"/>
      <c r="AF45" s="1359"/>
      <c r="AG45" s="1359"/>
      <c r="AH45" s="1359"/>
      <c r="AI45" s="1359"/>
      <c r="AJ45" s="1359"/>
    </row>
    <row r="46" spans="1:37" s="1358" customFormat="1" ht="15">
      <c r="A46" s="2862" t="s">
        <v>2931</v>
      </c>
      <c r="B46" s="2863">
        <f>1+E48</f>
        <v>1</v>
      </c>
      <c r="C46" s="2864"/>
      <c r="D46" s="800"/>
      <c r="E46" s="801"/>
      <c r="F46" s="2865"/>
      <c r="G46" s="6"/>
      <c r="H46" s="7"/>
      <c r="I46" s="7"/>
      <c r="J46" s="7"/>
      <c r="K46" s="7"/>
      <c r="L46" s="7"/>
      <c r="M46" s="7"/>
      <c r="N46" s="2776"/>
      <c r="Z46" s="1359"/>
      <c r="AA46" s="1359"/>
      <c r="AB46" s="1359"/>
      <c r="AC46" s="1359"/>
      <c r="AD46" s="1359"/>
      <c r="AE46" s="1359"/>
      <c r="AF46" s="1359"/>
      <c r="AG46" s="1359"/>
      <c r="AH46" s="1359"/>
      <c r="AI46" s="1359"/>
      <c r="AJ46" s="1359"/>
    </row>
    <row r="47" spans="1:37" s="1358" customFormat="1" ht="24.75">
      <c r="A47" s="2866" t="s">
        <v>2932</v>
      </c>
      <c r="B47" s="1796" t="s">
        <v>2933</v>
      </c>
      <c r="C47" s="1796" t="s">
        <v>2934</v>
      </c>
      <c r="D47" s="1796" t="s">
        <v>2935</v>
      </c>
      <c r="E47" s="805" t="s">
        <v>2936</v>
      </c>
      <c r="F47" s="2867" t="s">
        <v>2937</v>
      </c>
      <c r="G47" s="1796" t="s">
        <v>754</v>
      </c>
      <c r="H47" s="2868" t="s">
        <v>2938</v>
      </c>
      <c r="I47" s="1796" t="s">
        <v>2939</v>
      </c>
      <c r="J47" s="594" t="s">
        <v>2587</v>
      </c>
      <c r="K47" s="594" t="s">
        <v>2588</v>
      </c>
      <c r="L47" s="594" t="s">
        <v>2589</v>
      </c>
      <c r="M47" s="594" t="s">
        <v>2590</v>
      </c>
      <c r="N47" s="594" t="s">
        <v>2591</v>
      </c>
      <c r="AA47" s="1359"/>
      <c r="AB47" s="1359"/>
      <c r="AC47" s="1359"/>
      <c r="AD47" s="1359"/>
      <c r="AE47" s="1359"/>
      <c r="AF47" s="1359"/>
      <c r="AG47" s="1359"/>
      <c r="AH47" s="1359"/>
      <c r="AI47" s="1359"/>
      <c r="AJ47" s="1359"/>
      <c r="AK47" s="1359"/>
    </row>
    <row r="48" spans="1:37" s="1358" customFormat="1" ht="24.75">
      <c r="A48" s="2866" t="s">
        <v>2940</v>
      </c>
      <c r="B48" s="2869">
        <f>估价对象房地状况!C4</f>
        <v>0</v>
      </c>
      <c r="C48" s="2758"/>
      <c r="D48" s="1274">
        <f t="shared" ref="D48:D56" si="10">SUMIF($J$47:$N$47,C48,J48:N48)</f>
        <v>0</v>
      </c>
      <c r="E48" s="807">
        <f>ROUND(SUM(D48:D56),4)</f>
        <v>0</v>
      </c>
      <c r="F48" s="2491" t="str">
        <f>IF(E2="商业",SUMIF(L1:L12,G2,N1:N12),"——")</f>
        <v>——</v>
      </c>
      <c r="G48" s="1272"/>
      <c r="H48" s="1276" t="str">
        <f t="shared" ref="H48:H56" si="11">IFERROR(ROUNDDOWN($F$48*I48/2,4),"——")</f>
        <v>——</v>
      </c>
      <c r="I48" s="806">
        <v>0.33</v>
      </c>
      <c r="J48" s="1273">
        <f t="shared" ref="J48:J56" si="12">K48+$G48</f>
        <v>0</v>
      </c>
      <c r="K48" s="1273">
        <f t="shared" ref="K48:K56" si="13">$L48+$G48</f>
        <v>0</v>
      </c>
      <c r="L48" s="1273">
        <v>0</v>
      </c>
      <c r="M48" s="1273">
        <f t="shared" ref="M48:N56" si="14">L48-$G48</f>
        <v>0</v>
      </c>
      <c r="N48" s="1273">
        <f t="shared" si="14"/>
        <v>0</v>
      </c>
      <c r="AA48" s="1359"/>
      <c r="AB48" s="1359"/>
      <c r="AC48" s="1359"/>
      <c r="AD48" s="1359"/>
      <c r="AE48" s="1359"/>
      <c r="AF48" s="1359"/>
      <c r="AG48" s="1359"/>
      <c r="AH48" s="1359"/>
      <c r="AI48" s="1359"/>
      <c r="AJ48" s="1359"/>
      <c r="AK48" s="1359"/>
    </row>
    <row r="49" spans="1:37" s="1358" customFormat="1" ht="14.25">
      <c r="A49" s="2866" t="s">
        <v>2941</v>
      </c>
      <c r="B49" s="2870">
        <f>估价对象房地状况!C18</f>
        <v>0</v>
      </c>
      <c r="C49" s="2758"/>
      <c r="D49" s="1274">
        <f t="shared" si="10"/>
        <v>0</v>
      </c>
      <c r="E49" s="808"/>
      <c r="F49" s="2491"/>
      <c r="G49" s="1272"/>
      <c r="H49" s="1276" t="str">
        <f t="shared" si="11"/>
        <v>——</v>
      </c>
      <c r="I49" s="806">
        <v>0.25</v>
      </c>
      <c r="J49" s="1273">
        <f t="shared" si="12"/>
        <v>0</v>
      </c>
      <c r="K49" s="1273">
        <f t="shared" si="13"/>
        <v>0</v>
      </c>
      <c r="L49" s="1273">
        <v>0</v>
      </c>
      <c r="M49" s="1273">
        <f t="shared" si="14"/>
        <v>0</v>
      </c>
      <c r="N49" s="1273">
        <f t="shared" si="14"/>
        <v>0</v>
      </c>
      <c r="AA49" s="1359"/>
      <c r="AB49" s="1359"/>
      <c r="AC49" s="1359"/>
      <c r="AD49" s="1359"/>
      <c r="AE49" s="1359"/>
      <c r="AF49" s="1359"/>
      <c r="AG49" s="1359"/>
      <c r="AH49" s="1359"/>
      <c r="AI49" s="1359"/>
      <c r="AJ49" s="1359"/>
      <c r="AK49" s="1359"/>
    </row>
    <row r="50" spans="1:37" s="1358" customFormat="1" ht="24">
      <c r="A50" s="2866" t="s">
        <v>2942</v>
      </c>
      <c r="B50" s="2870">
        <f>估价对象房地状况!C19</f>
        <v>0</v>
      </c>
      <c r="C50" s="2758"/>
      <c r="D50" s="1274">
        <f t="shared" si="10"/>
        <v>0</v>
      </c>
      <c r="E50" s="808"/>
      <c r="F50" s="2491"/>
      <c r="G50" s="1272"/>
      <c r="H50" s="1276" t="str">
        <f t="shared" si="11"/>
        <v>——</v>
      </c>
      <c r="I50" s="806">
        <v>0.05</v>
      </c>
      <c r="J50" s="1273">
        <f t="shared" si="12"/>
        <v>0</v>
      </c>
      <c r="K50" s="1273">
        <f t="shared" si="13"/>
        <v>0</v>
      </c>
      <c r="L50" s="1273">
        <v>0</v>
      </c>
      <c r="M50" s="1273">
        <f t="shared" si="14"/>
        <v>0</v>
      </c>
      <c r="N50" s="1273">
        <f t="shared" si="14"/>
        <v>0</v>
      </c>
      <c r="AA50" s="1359"/>
      <c r="AB50" s="1359"/>
      <c r="AC50" s="1359"/>
      <c r="AD50" s="1359"/>
      <c r="AE50" s="1359"/>
      <c r="AF50" s="1359"/>
      <c r="AG50" s="1359"/>
      <c r="AH50" s="1359"/>
      <c r="AI50" s="1359"/>
      <c r="AJ50" s="1359"/>
      <c r="AK50" s="1359"/>
    </row>
    <row r="51" spans="1:37" s="1358" customFormat="1" ht="36.75">
      <c r="A51" s="2866" t="s">
        <v>2943</v>
      </c>
      <c r="B51" s="2871" t="s">
        <v>2944</v>
      </c>
      <c r="C51" s="2758"/>
      <c r="D51" s="1274">
        <f t="shared" si="10"/>
        <v>0</v>
      </c>
      <c r="E51" s="808"/>
      <c r="F51" s="2491"/>
      <c r="G51" s="1272"/>
      <c r="H51" s="1276" t="str">
        <f t="shared" si="11"/>
        <v>——</v>
      </c>
      <c r="I51" s="806">
        <v>0.05</v>
      </c>
      <c r="J51" s="1273">
        <f t="shared" si="12"/>
        <v>0</v>
      </c>
      <c r="K51" s="1273">
        <f t="shared" si="13"/>
        <v>0</v>
      </c>
      <c r="L51" s="1273">
        <v>0</v>
      </c>
      <c r="M51" s="1273">
        <f t="shared" si="14"/>
        <v>0</v>
      </c>
      <c r="N51" s="1273">
        <f t="shared" si="14"/>
        <v>0</v>
      </c>
      <c r="AA51" s="1359"/>
      <c r="AB51" s="1359"/>
      <c r="AC51" s="1359"/>
      <c r="AD51" s="1359"/>
      <c r="AE51" s="1359"/>
      <c r="AF51" s="1359"/>
      <c r="AG51" s="1359"/>
      <c r="AH51" s="1359"/>
      <c r="AI51" s="1359"/>
      <c r="AJ51" s="1359"/>
      <c r="AK51" s="1359"/>
    </row>
    <row r="52" spans="1:37" s="1358" customFormat="1" ht="24">
      <c r="A52" s="2866" t="s">
        <v>2945</v>
      </c>
      <c r="B52" s="2870">
        <f>估价对象房地状况!C24</f>
        <v>0</v>
      </c>
      <c r="C52" s="2758"/>
      <c r="D52" s="1274">
        <f t="shared" si="10"/>
        <v>0</v>
      </c>
      <c r="E52" s="808"/>
      <c r="F52" s="2491"/>
      <c r="G52" s="1272"/>
      <c r="H52" s="1276" t="str">
        <f t="shared" si="11"/>
        <v>——</v>
      </c>
      <c r="I52" s="806">
        <v>0.08</v>
      </c>
      <c r="J52" s="1273">
        <f t="shared" si="12"/>
        <v>0</v>
      </c>
      <c r="K52" s="1273">
        <f t="shared" si="13"/>
        <v>0</v>
      </c>
      <c r="L52" s="1273">
        <v>0</v>
      </c>
      <c r="M52" s="1273">
        <f t="shared" si="14"/>
        <v>0</v>
      </c>
      <c r="N52" s="1273">
        <f t="shared" si="14"/>
        <v>0</v>
      </c>
      <c r="AA52" s="1359"/>
      <c r="AB52" s="1359"/>
      <c r="AC52" s="1359"/>
      <c r="AD52" s="1359"/>
      <c r="AE52" s="1359"/>
      <c r="AF52" s="1359"/>
      <c r="AG52" s="1359"/>
      <c r="AH52" s="1359"/>
      <c r="AI52" s="1359"/>
      <c r="AJ52" s="1359"/>
      <c r="AK52" s="1359"/>
    </row>
    <row r="53" spans="1:37" s="1358" customFormat="1" ht="24">
      <c r="A53" s="2866" t="s">
        <v>2946</v>
      </c>
      <c r="B53" s="2872" t="s">
        <v>2947</v>
      </c>
      <c r="C53" s="2758"/>
      <c r="D53" s="1274">
        <f t="shared" si="10"/>
        <v>0</v>
      </c>
      <c r="E53" s="808"/>
      <c r="F53" s="2491"/>
      <c r="G53" s="1272"/>
      <c r="H53" s="1276" t="str">
        <f t="shared" si="11"/>
        <v>——</v>
      </c>
      <c r="I53" s="806">
        <v>0.03</v>
      </c>
      <c r="J53" s="1273">
        <f t="shared" si="12"/>
        <v>0</v>
      </c>
      <c r="K53" s="1273">
        <f t="shared" si="13"/>
        <v>0</v>
      </c>
      <c r="L53" s="1273">
        <v>0</v>
      </c>
      <c r="M53" s="1273">
        <f t="shared" si="14"/>
        <v>0</v>
      </c>
      <c r="N53" s="1273">
        <f t="shared" si="14"/>
        <v>0</v>
      </c>
      <c r="AA53" s="1359"/>
      <c r="AB53" s="1359"/>
      <c r="AC53" s="1359"/>
      <c r="AD53" s="1359"/>
      <c r="AE53" s="1359"/>
      <c r="AF53" s="1359"/>
      <c r="AG53" s="1359"/>
      <c r="AH53" s="1359"/>
      <c r="AI53" s="1359"/>
      <c r="AJ53" s="1359"/>
      <c r="AK53" s="1359"/>
    </row>
    <row r="54" spans="1:37" s="1358" customFormat="1" ht="24">
      <c r="A54" s="2873" t="s">
        <v>2948</v>
      </c>
      <c r="B54" s="1712">
        <f>估价对象房地状况!C21</f>
        <v>0</v>
      </c>
      <c r="C54" s="2758"/>
      <c r="D54" s="1274">
        <f t="shared" si="10"/>
        <v>0</v>
      </c>
      <c r="E54" s="808"/>
      <c r="F54" s="2491"/>
      <c r="G54" s="1272"/>
      <c r="H54" s="1276" t="str">
        <f t="shared" si="11"/>
        <v>——</v>
      </c>
      <c r="I54" s="806">
        <v>0.05</v>
      </c>
      <c r="J54" s="1273">
        <f t="shared" si="12"/>
        <v>0</v>
      </c>
      <c r="K54" s="1273">
        <f t="shared" si="13"/>
        <v>0</v>
      </c>
      <c r="L54" s="1273">
        <v>0</v>
      </c>
      <c r="M54" s="1273">
        <f t="shared" si="14"/>
        <v>0</v>
      </c>
      <c r="N54" s="1273">
        <f t="shared" si="14"/>
        <v>0</v>
      </c>
      <c r="AA54" s="1359"/>
      <c r="AB54" s="1359"/>
      <c r="AC54" s="1359"/>
      <c r="AD54" s="1359"/>
      <c r="AE54" s="1359"/>
      <c r="AF54" s="1359"/>
      <c r="AG54" s="1359"/>
      <c r="AH54" s="1359"/>
      <c r="AI54" s="1359"/>
      <c r="AJ54" s="1359"/>
      <c r="AK54" s="1359"/>
    </row>
    <row r="55" spans="1:37" s="1358" customFormat="1" ht="24">
      <c r="A55" s="2873" t="s">
        <v>2949</v>
      </c>
      <c r="B55" s="2870">
        <f>估价对象房地状况!C22</f>
        <v>0</v>
      </c>
      <c r="C55" s="2758"/>
      <c r="D55" s="1274">
        <f t="shared" si="10"/>
        <v>0</v>
      </c>
      <c r="E55" s="808"/>
      <c r="F55" s="2491"/>
      <c r="G55" s="1272"/>
      <c r="H55" s="1276" t="str">
        <f t="shared" si="11"/>
        <v>——</v>
      </c>
      <c r="I55" s="806">
        <v>0.1</v>
      </c>
      <c r="J55" s="1273">
        <f t="shared" si="12"/>
        <v>0</v>
      </c>
      <c r="K55" s="1273">
        <f t="shared" si="13"/>
        <v>0</v>
      </c>
      <c r="L55" s="1273">
        <v>0</v>
      </c>
      <c r="M55" s="1273">
        <f t="shared" si="14"/>
        <v>0</v>
      </c>
      <c r="N55" s="1273">
        <f t="shared" si="14"/>
        <v>0</v>
      </c>
      <c r="AA55" s="1359"/>
      <c r="AB55" s="1359"/>
      <c r="AC55" s="1359"/>
      <c r="AD55" s="1359"/>
      <c r="AE55" s="1359"/>
      <c r="AF55" s="1359"/>
      <c r="AG55" s="1359"/>
      <c r="AH55" s="1359"/>
      <c r="AI55" s="1359"/>
      <c r="AJ55" s="1359"/>
      <c r="AK55" s="1359"/>
    </row>
    <row r="56" spans="1:37" s="1358" customFormat="1" ht="24.75" thickBot="1">
      <c r="A56" s="2874" t="s">
        <v>2950</v>
      </c>
      <c r="B56" s="2875">
        <f>估价对象房地状况!C20</f>
        <v>0</v>
      </c>
      <c r="C56" s="2758"/>
      <c r="D56" s="1274">
        <f t="shared" si="10"/>
        <v>0</v>
      </c>
      <c r="E56" s="811"/>
      <c r="F56" s="2491"/>
      <c r="G56" s="1272"/>
      <c r="H56" s="1276" t="str">
        <f t="shared" si="11"/>
        <v>——</v>
      </c>
      <c r="I56" s="810">
        <v>0.06</v>
      </c>
      <c r="J56" s="1273">
        <f t="shared" si="12"/>
        <v>0</v>
      </c>
      <c r="K56" s="1273">
        <f t="shared" si="13"/>
        <v>0</v>
      </c>
      <c r="L56" s="1273">
        <v>0</v>
      </c>
      <c r="M56" s="1273">
        <f t="shared" si="14"/>
        <v>0</v>
      </c>
      <c r="N56" s="1273">
        <f t="shared" si="14"/>
        <v>0</v>
      </c>
      <c r="AA56" s="1359"/>
      <c r="AB56" s="1359"/>
      <c r="AC56" s="1359"/>
      <c r="AD56" s="1359"/>
      <c r="AE56" s="1359"/>
      <c r="AF56" s="1359"/>
      <c r="AG56" s="1359"/>
      <c r="AH56" s="1359"/>
      <c r="AI56" s="1359"/>
      <c r="AJ56" s="1359"/>
      <c r="AK56" s="1359"/>
    </row>
    <row r="57" spans="1:37" s="1358" customFormat="1" ht="15">
      <c r="A57" s="2862" t="s">
        <v>2951</v>
      </c>
      <c r="B57" s="2863">
        <f>1+E59</f>
        <v>1</v>
      </c>
      <c r="C57" s="800"/>
      <c r="D57" s="800"/>
      <c r="E57" s="801"/>
      <c r="F57" s="2865"/>
      <c r="G57" s="6"/>
      <c r="H57" s="6"/>
      <c r="I57" s="6"/>
      <c r="J57" s="7"/>
      <c r="K57" s="7"/>
      <c r="L57" s="7"/>
      <c r="M57" s="7"/>
      <c r="N57" s="7"/>
      <c r="AA57" s="1359"/>
      <c r="AB57" s="1359"/>
      <c r="AC57" s="1359"/>
      <c r="AD57" s="1359"/>
      <c r="AE57" s="1359"/>
      <c r="AF57" s="1359"/>
      <c r="AG57" s="1359"/>
      <c r="AH57" s="1359"/>
      <c r="AI57" s="1359"/>
      <c r="AJ57" s="1359"/>
      <c r="AK57" s="1359"/>
    </row>
    <row r="58" spans="1:37" s="1358" customFormat="1" ht="24.75">
      <c r="A58" s="2866" t="s">
        <v>2932</v>
      </c>
      <c r="B58" s="1796"/>
      <c r="C58" s="1796" t="s">
        <v>2934</v>
      </c>
      <c r="D58" s="1796" t="s">
        <v>2935</v>
      </c>
      <c r="E58" s="805" t="s">
        <v>2936</v>
      </c>
      <c r="F58" s="2867" t="s">
        <v>2952</v>
      </c>
      <c r="G58" s="1796" t="s">
        <v>754</v>
      </c>
      <c r="H58" s="2868" t="s">
        <v>2938</v>
      </c>
      <c r="I58" s="1796" t="s">
        <v>2939</v>
      </c>
      <c r="J58" s="594" t="s">
        <v>2587</v>
      </c>
      <c r="K58" s="594" t="s">
        <v>2588</v>
      </c>
      <c r="L58" s="594" t="s">
        <v>2589</v>
      </c>
      <c r="M58" s="594" t="s">
        <v>2590</v>
      </c>
      <c r="N58" s="594" t="s">
        <v>2591</v>
      </c>
      <c r="AA58" s="1359"/>
      <c r="AB58" s="1359"/>
      <c r="AC58" s="1359"/>
      <c r="AD58" s="1359"/>
      <c r="AE58" s="1359"/>
      <c r="AF58" s="1359"/>
      <c r="AG58" s="1359"/>
      <c r="AH58" s="1359"/>
      <c r="AI58" s="1359"/>
      <c r="AJ58" s="1359"/>
      <c r="AK58" s="1359"/>
    </row>
    <row r="59" spans="1:37" s="1358" customFormat="1" ht="24">
      <c r="A59" s="2866" t="s">
        <v>2953</v>
      </c>
      <c r="B59" s="2869">
        <f>估价对象房地状况!C17</f>
        <v>0</v>
      </c>
      <c r="C59" s="2758"/>
      <c r="D59" s="1274">
        <f t="shared" ref="D59:D67" si="15">SUMIF($J$58:$N$58,C59,J59:N59)</f>
        <v>0</v>
      </c>
      <c r="E59" s="807">
        <f>ROUND(SUM(D59:D67),4)</f>
        <v>0</v>
      </c>
      <c r="F59" s="2491" t="str">
        <f>IF(E2="办公",SUMIF(L1:L12,G2,N1:N12),"——")</f>
        <v>——</v>
      </c>
      <c r="G59" s="1272"/>
      <c r="H59" s="1276" t="str">
        <f t="shared" ref="H59:H67" si="16">IFERROR(ROUNDDOWN($F$59*I59/2,4),"——")</f>
        <v>——</v>
      </c>
      <c r="I59" s="806">
        <v>0.24</v>
      </c>
      <c r="J59" s="1273">
        <f t="shared" ref="J59:J67" si="17">K59+$G59</f>
        <v>0</v>
      </c>
      <c r="K59" s="1273">
        <f t="shared" ref="K59:K67" si="18">$L59+$G59</f>
        <v>0</v>
      </c>
      <c r="L59" s="1273">
        <v>0</v>
      </c>
      <c r="M59" s="1273">
        <f t="shared" ref="M59:N67" si="19">L59-$G59</f>
        <v>0</v>
      </c>
      <c r="N59" s="1273">
        <f t="shared" si="19"/>
        <v>0</v>
      </c>
      <c r="AA59" s="1359"/>
      <c r="AB59" s="1359"/>
      <c r="AC59" s="1359"/>
      <c r="AD59" s="1359"/>
      <c r="AE59" s="1359"/>
      <c r="AF59" s="1359"/>
      <c r="AG59" s="1359"/>
      <c r="AH59" s="1359"/>
      <c r="AI59" s="1359"/>
      <c r="AJ59" s="1359"/>
      <c r="AK59" s="1359"/>
    </row>
    <row r="60" spans="1:37" s="1358" customFormat="1" ht="14.25">
      <c r="A60" s="2866" t="s">
        <v>2941</v>
      </c>
      <c r="B60" s="2870">
        <f>估价对象房地状况!C18</f>
        <v>0</v>
      </c>
      <c r="C60" s="2758"/>
      <c r="D60" s="1274">
        <f t="shared" si="15"/>
        <v>0</v>
      </c>
      <c r="E60" s="808"/>
      <c r="F60" s="2491"/>
      <c r="G60" s="1272"/>
      <c r="H60" s="1276" t="str">
        <f t="shared" si="16"/>
        <v>——</v>
      </c>
      <c r="I60" s="806">
        <v>0.3</v>
      </c>
      <c r="J60" s="1273">
        <f t="shared" si="17"/>
        <v>0</v>
      </c>
      <c r="K60" s="1273">
        <f t="shared" si="18"/>
        <v>0</v>
      </c>
      <c r="L60" s="1273">
        <v>0</v>
      </c>
      <c r="M60" s="1273">
        <f t="shared" si="19"/>
        <v>0</v>
      </c>
      <c r="N60" s="1273">
        <f t="shared" si="19"/>
        <v>0</v>
      </c>
      <c r="AA60" s="1359"/>
      <c r="AB60" s="1359"/>
      <c r="AC60" s="1359"/>
      <c r="AD60" s="1359"/>
      <c r="AE60" s="1359"/>
      <c r="AF60" s="1359"/>
      <c r="AG60" s="1359"/>
      <c r="AH60" s="1359"/>
      <c r="AI60" s="1359"/>
      <c r="AJ60" s="1359"/>
      <c r="AK60" s="1359"/>
    </row>
    <row r="61" spans="1:37" s="1358" customFormat="1" ht="24">
      <c r="A61" s="2866" t="s">
        <v>2942</v>
      </c>
      <c r="B61" s="2870">
        <f>估价对象房地状况!C19</f>
        <v>0</v>
      </c>
      <c r="C61" s="2758"/>
      <c r="D61" s="1274">
        <f t="shared" si="15"/>
        <v>0</v>
      </c>
      <c r="E61" s="808"/>
      <c r="F61" s="2491"/>
      <c r="G61" s="1272"/>
      <c r="H61" s="1276" t="str">
        <f t="shared" si="16"/>
        <v>——</v>
      </c>
      <c r="I61" s="806">
        <v>0.08</v>
      </c>
      <c r="J61" s="1273">
        <f t="shared" si="17"/>
        <v>0</v>
      </c>
      <c r="K61" s="1273">
        <f t="shared" si="18"/>
        <v>0</v>
      </c>
      <c r="L61" s="1273">
        <v>0</v>
      </c>
      <c r="M61" s="1273">
        <f t="shared" si="19"/>
        <v>0</v>
      </c>
      <c r="N61" s="1273">
        <f t="shared" si="19"/>
        <v>0</v>
      </c>
      <c r="AA61" s="1359"/>
      <c r="AB61" s="1359"/>
      <c r="AC61" s="1359"/>
      <c r="AD61" s="1359"/>
      <c r="AE61" s="1359"/>
      <c r="AF61" s="1359"/>
      <c r="AG61" s="1359"/>
      <c r="AH61" s="1359"/>
      <c r="AI61" s="1359"/>
      <c r="AJ61" s="1359"/>
      <c r="AK61" s="1359"/>
    </row>
    <row r="62" spans="1:37" s="1358" customFormat="1" ht="36.75">
      <c r="A62" s="2866" t="s">
        <v>2943</v>
      </c>
      <c r="B62" s="2871" t="s">
        <v>2944</v>
      </c>
      <c r="C62" s="2758"/>
      <c r="D62" s="1274">
        <f t="shared" si="15"/>
        <v>0</v>
      </c>
      <c r="E62" s="808"/>
      <c r="F62" s="2491"/>
      <c r="G62" s="1272"/>
      <c r="H62" s="1276" t="str">
        <f t="shared" si="16"/>
        <v>——</v>
      </c>
      <c r="I62" s="806">
        <v>0.04</v>
      </c>
      <c r="J62" s="1273">
        <f t="shared" si="17"/>
        <v>0</v>
      </c>
      <c r="K62" s="1273">
        <f t="shared" si="18"/>
        <v>0</v>
      </c>
      <c r="L62" s="1273">
        <v>0</v>
      </c>
      <c r="M62" s="1273">
        <f t="shared" si="19"/>
        <v>0</v>
      </c>
      <c r="N62" s="1273">
        <f t="shared" si="19"/>
        <v>0</v>
      </c>
      <c r="AA62" s="1359"/>
      <c r="AB62" s="1359"/>
      <c r="AC62" s="1359"/>
      <c r="AD62" s="1359"/>
      <c r="AE62" s="1359"/>
      <c r="AF62" s="1359"/>
      <c r="AG62" s="1359"/>
      <c r="AH62" s="1359"/>
      <c r="AI62" s="1359"/>
      <c r="AJ62" s="1359"/>
      <c r="AK62" s="1359"/>
    </row>
    <row r="63" spans="1:37" s="1358" customFormat="1" ht="24">
      <c r="A63" s="2866" t="s">
        <v>2945</v>
      </c>
      <c r="B63" s="2870">
        <f>估价对象房地状况!C24</f>
        <v>0</v>
      </c>
      <c r="C63" s="2758"/>
      <c r="D63" s="1274">
        <f t="shared" si="15"/>
        <v>0</v>
      </c>
      <c r="E63" s="808"/>
      <c r="F63" s="2491"/>
      <c r="G63" s="1272"/>
      <c r="H63" s="1276" t="str">
        <f t="shared" si="16"/>
        <v>——</v>
      </c>
      <c r="I63" s="806">
        <v>0.05</v>
      </c>
      <c r="J63" s="1273">
        <f t="shared" si="17"/>
        <v>0</v>
      </c>
      <c r="K63" s="1273">
        <f t="shared" si="18"/>
        <v>0</v>
      </c>
      <c r="L63" s="1273">
        <v>0</v>
      </c>
      <c r="M63" s="1273">
        <f t="shared" si="19"/>
        <v>0</v>
      </c>
      <c r="N63" s="1273">
        <f t="shared" si="19"/>
        <v>0</v>
      </c>
      <c r="AA63" s="1359"/>
      <c r="AB63" s="1359"/>
      <c r="AC63" s="1359"/>
      <c r="AD63" s="1359"/>
      <c r="AE63" s="1359"/>
      <c r="AF63" s="1359"/>
      <c r="AG63" s="1359"/>
      <c r="AH63" s="1359"/>
      <c r="AI63" s="1359"/>
      <c r="AJ63" s="1359"/>
      <c r="AK63" s="1359"/>
    </row>
    <row r="64" spans="1:37" s="1358" customFormat="1" ht="24">
      <c r="A64" s="2866" t="s">
        <v>2946</v>
      </c>
      <c r="B64" s="2872" t="s">
        <v>2947</v>
      </c>
      <c r="C64" s="2758"/>
      <c r="D64" s="1274">
        <f t="shared" si="15"/>
        <v>0</v>
      </c>
      <c r="E64" s="808"/>
      <c r="F64" s="2491"/>
      <c r="G64" s="1272"/>
      <c r="H64" s="1276" t="str">
        <f t="shared" si="16"/>
        <v>——</v>
      </c>
      <c r="I64" s="806">
        <v>0.05</v>
      </c>
      <c r="J64" s="1273">
        <f t="shared" si="17"/>
        <v>0</v>
      </c>
      <c r="K64" s="1273">
        <f t="shared" si="18"/>
        <v>0</v>
      </c>
      <c r="L64" s="1273">
        <v>0</v>
      </c>
      <c r="M64" s="1273">
        <f t="shared" si="19"/>
        <v>0</v>
      </c>
      <c r="N64" s="1273">
        <f t="shared" si="19"/>
        <v>0</v>
      </c>
      <c r="AA64" s="1359"/>
      <c r="AB64" s="1359"/>
      <c r="AC64" s="1359"/>
      <c r="AD64" s="1359"/>
      <c r="AE64" s="1359"/>
      <c r="AF64" s="1359"/>
      <c r="AG64" s="1359"/>
      <c r="AH64" s="1359"/>
      <c r="AI64" s="1359"/>
      <c r="AJ64" s="1359"/>
      <c r="AK64" s="1359"/>
    </row>
    <row r="65" spans="1:37" s="1358" customFormat="1" ht="24">
      <c r="A65" s="2866" t="s">
        <v>2948</v>
      </c>
      <c r="B65" s="1712">
        <f>估价对象房地状况!C21</f>
        <v>0</v>
      </c>
      <c r="C65" s="2758"/>
      <c r="D65" s="1274">
        <f t="shared" si="15"/>
        <v>0</v>
      </c>
      <c r="E65" s="808"/>
      <c r="F65" s="2491"/>
      <c r="G65" s="1272"/>
      <c r="H65" s="1276" t="str">
        <f t="shared" si="16"/>
        <v>——</v>
      </c>
      <c r="I65" s="806">
        <v>0.06</v>
      </c>
      <c r="J65" s="1273">
        <f t="shared" si="17"/>
        <v>0</v>
      </c>
      <c r="K65" s="1273">
        <f t="shared" si="18"/>
        <v>0</v>
      </c>
      <c r="L65" s="1273">
        <v>0</v>
      </c>
      <c r="M65" s="1273">
        <f t="shared" si="19"/>
        <v>0</v>
      </c>
      <c r="N65" s="1273">
        <f t="shared" si="19"/>
        <v>0</v>
      </c>
      <c r="AA65" s="1359"/>
      <c r="AB65" s="1359"/>
      <c r="AC65" s="1359"/>
      <c r="AD65" s="1359"/>
      <c r="AE65" s="1359"/>
      <c r="AF65" s="1359"/>
      <c r="AG65" s="1359"/>
      <c r="AH65" s="1359"/>
      <c r="AI65" s="1359"/>
      <c r="AJ65" s="1359"/>
      <c r="AK65" s="1359"/>
    </row>
    <row r="66" spans="1:37" s="1358" customFormat="1" ht="24">
      <c r="A66" s="2866" t="s">
        <v>2949</v>
      </c>
      <c r="B66" s="1712">
        <f>估价对象房地状况!C22</f>
        <v>0</v>
      </c>
      <c r="C66" s="2758"/>
      <c r="D66" s="1274">
        <f t="shared" si="15"/>
        <v>0</v>
      </c>
      <c r="E66" s="808"/>
      <c r="F66" s="2491"/>
      <c r="G66" s="1272"/>
      <c r="H66" s="1276" t="str">
        <f t="shared" si="16"/>
        <v>——</v>
      </c>
      <c r="I66" s="806">
        <v>0.12</v>
      </c>
      <c r="J66" s="1273">
        <f t="shared" si="17"/>
        <v>0</v>
      </c>
      <c r="K66" s="1273">
        <f t="shared" si="18"/>
        <v>0</v>
      </c>
      <c r="L66" s="1273">
        <v>0</v>
      </c>
      <c r="M66" s="1273">
        <f t="shared" si="19"/>
        <v>0</v>
      </c>
      <c r="N66" s="1273">
        <f t="shared" si="19"/>
        <v>0</v>
      </c>
      <c r="AA66" s="1359"/>
      <c r="AB66" s="1359"/>
      <c r="AC66" s="1359"/>
      <c r="AD66" s="1359"/>
      <c r="AE66" s="1359"/>
      <c r="AF66" s="1359"/>
      <c r="AG66" s="1359"/>
      <c r="AH66" s="1359"/>
      <c r="AI66" s="1359"/>
      <c r="AJ66" s="1359"/>
      <c r="AK66" s="1359"/>
    </row>
    <row r="67" spans="1:37" s="1358" customFormat="1" ht="24.75" thickBot="1">
      <c r="A67" s="2874" t="s">
        <v>2950</v>
      </c>
      <c r="B67" s="2876">
        <f>估价对象房地状况!C20</f>
        <v>0</v>
      </c>
      <c r="C67" s="2758"/>
      <c r="D67" s="1274">
        <f t="shared" si="15"/>
        <v>0</v>
      </c>
      <c r="E67" s="811"/>
      <c r="F67" s="2491"/>
      <c r="G67" s="1272"/>
      <c r="H67" s="1276" t="str">
        <f t="shared" si="16"/>
        <v>——</v>
      </c>
      <c r="I67" s="810">
        <v>0.06</v>
      </c>
      <c r="J67" s="1273">
        <f t="shared" si="17"/>
        <v>0</v>
      </c>
      <c r="K67" s="1273">
        <f t="shared" si="18"/>
        <v>0</v>
      </c>
      <c r="L67" s="1273">
        <v>0</v>
      </c>
      <c r="M67" s="1273">
        <f t="shared" si="19"/>
        <v>0</v>
      </c>
      <c r="N67" s="1273">
        <f t="shared" si="19"/>
        <v>0</v>
      </c>
      <c r="AA67" s="1359"/>
      <c r="AB67" s="1359"/>
      <c r="AC67" s="1359"/>
      <c r="AD67" s="1359"/>
      <c r="AE67" s="1359"/>
      <c r="AF67" s="1359"/>
      <c r="AG67" s="1359"/>
      <c r="AH67" s="1359"/>
      <c r="AI67" s="1359"/>
      <c r="AJ67" s="1359"/>
      <c r="AK67" s="1359"/>
    </row>
    <row r="68" spans="1:37" s="1358" customFormat="1" ht="15">
      <c r="A68" s="2862" t="s">
        <v>2954</v>
      </c>
      <c r="B68" s="2863">
        <f>1+E70</f>
        <v>1</v>
      </c>
      <c r="C68" s="800"/>
      <c r="D68" s="800"/>
      <c r="E68" s="801"/>
      <c r="F68" s="2865"/>
      <c r="G68" s="6"/>
      <c r="H68" s="6"/>
      <c r="I68" s="6"/>
      <c r="J68" s="7"/>
      <c r="K68" s="7"/>
      <c r="L68" s="7"/>
      <c r="M68" s="7"/>
      <c r="N68" s="7"/>
      <c r="AA68" s="1359"/>
      <c r="AB68" s="1359"/>
      <c r="AC68" s="1359"/>
      <c r="AD68" s="1359"/>
      <c r="AE68" s="1359"/>
      <c r="AF68" s="1359"/>
      <c r="AG68" s="1359"/>
      <c r="AH68" s="1359"/>
      <c r="AI68" s="1359"/>
      <c r="AJ68" s="1359"/>
      <c r="AK68" s="1359"/>
    </row>
    <row r="69" spans="1:37" s="1358" customFormat="1" ht="24.75">
      <c r="A69" s="2866" t="s">
        <v>2932</v>
      </c>
      <c r="B69" s="1796"/>
      <c r="C69" s="1796" t="s">
        <v>2934</v>
      </c>
      <c r="D69" s="1796" t="s">
        <v>2935</v>
      </c>
      <c r="E69" s="805" t="s">
        <v>2936</v>
      </c>
      <c r="F69" s="2867" t="s">
        <v>2952</v>
      </c>
      <c r="G69" s="1796" t="s">
        <v>754</v>
      </c>
      <c r="H69" s="2868" t="s">
        <v>2938</v>
      </c>
      <c r="I69" s="1796" t="s">
        <v>2939</v>
      </c>
      <c r="J69" s="594" t="s">
        <v>2587</v>
      </c>
      <c r="K69" s="594" t="s">
        <v>2588</v>
      </c>
      <c r="L69" s="594" t="s">
        <v>2589</v>
      </c>
      <c r="M69" s="594" t="s">
        <v>2590</v>
      </c>
      <c r="N69" s="594" t="s">
        <v>2591</v>
      </c>
      <c r="AA69" s="1359"/>
      <c r="AB69" s="1359"/>
      <c r="AC69" s="1359"/>
      <c r="AD69" s="1359"/>
      <c r="AE69" s="1359"/>
      <c r="AF69" s="1359"/>
      <c r="AG69" s="1359"/>
      <c r="AH69" s="1359"/>
      <c r="AI69" s="1359"/>
      <c r="AJ69" s="1359"/>
      <c r="AK69" s="1359"/>
    </row>
    <row r="70" spans="1:37" s="1358" customFormat="1" ht="24">
      <c r="A70" s="2866" t="s">
        <v>2955</v>
      </c>
      <c r="B70" s="2869">
        <f>估价对象房地状况!C15</f>
        <v>0</v>
      </c>
      <c r="C70" s="2758"/>
      <c r="D70" s="1274">
        <f t="shared" ref="D70:D78" si="20">SUMIF($J$69:$N$69,C70,J70:N70)</f>
        <v>0</v>
      </c>
      <c r="E70" s="807">
        <f>ROUND(SUM(D70:D78),4)</f>
        <v>0</v>
      </c>
      <c r="F70" s="2491" t="str">
        <f>IF(E2="住宅",SUMIF(L1:L12,G2,N1:N12),"——")</f>
        <v>——</v>
      </c>
      <c r="G70" s="1272"/>
      <c r="H70" s="1276" t="str">
        <f t="shared" ref="H70:H78" si="21">IFERROR(ROUNDDOWN($F$70*I70/2,4),"——")</f>
        <v>——</v>
      </c>
      <c r="I70" s="806">
        <v>0.14000000000000001</v>
      </c>
      <c r="J70" s="1273">
        <f t="shared" ref="J70:J78" si="22">K70+$G70</f>
        <v>0</v>
      </c>
      <c r="K70" s="1273">
        <f t="shared" ref="K70:K78" si="23">$L70+$G70</f>
        <v>0</v>
      </c>
      <c r="L70" s="1273">
        <v>0</v>
      </c>
      <c r="M70" s="1273">
        <f t="shared" ref="M70:N78" si="24">L70-$G70</f>
        <v>0</v>
      </c>
      <c r="N70" s="1273">
        <f t="shared" si="24"/>
        <v>0</v>
      </c>
      <c r="AA70" s="1359"/>
      <c r="AB70" s="1359"/>
      <c r="AC70" s="1359"/>
      <c r="AD70" s="1359"/>
      <c r="AE70" s="1359"/>
      <c r="AF70" s="1359"/>
      <c r="AG70" s="1359"/>
      <c r="AH70" s="1359"/>
      <c r="AI70" s="1359"/>
      <c r="AJ70" s="1359"/>
      <c r="AK70" s="1359"/>
    </row>
    <row r="71" spans="1:37" s="1358" customFormat="1" ht="14.25">
      <c r="A71" s="2866" t="s">
        <v>2941</v>
      </c>
      <c r="B71" s="2870">
        <f>估价对象房地状况!C18</f>
        <v>0</v>
      </c>
      <c r="C71" s="2758"/>
      <c r="D71" s="1274">
        <f t="shared" si="20"/>
        <v>0</v>
      </c>
      <c r="E71" s="812"/>
      <c r="F71" s="2491"/>
      <c r="G71" s="1272"/>
      <c r="H71" s="1276" t="str">
        <f t="shared" si="21"/>
        <v>——</v>
      </c>
      <c r="I71" s="806">
        <v>0.3</v>
      </c>
      <c r="J71" s="1273">
        <f t="shared" si="22"/>
        <v>0</v>
      </c>
      <c r="K71" s="1273">
        <f t="shared" si="23"/>
        <v>0</v>
      </c>
      <c r="L71" s="1273">
        <v>0</v>
      </c>
      <c r="M71" s="1273">
        <f t="shared" si="24"/>
        <v>0</v>
      </c>
      <c r="N71" s="1273">
        <f t="shared" si="24"/>
        <v>0</v>
      </c>
      <c r="AA71" s="1359"/>
      <c r="AB71" s="1359"/>
      <c r="AC71" s="1359"/>
      <c r="AD71" s="1359"/>
      <c r="AE71" s="1359"/>
      <c r="AF71" s="1359"/>
      <c r="AG71" s="1359"/>
      <c r="AH71" s="1359"/>
      <c r="AI71" s="1359"/>
      <c r="AJ71" s="1359"/>
      <c r="AK71" s="1359"/>
    </row>
    <row r="72" spans="1:37" s="1358" customFormat="1" ht="24">
      <c r="A72" s="2866" t="s">
        <v>2942</v>
      </c>
      <c r="B72" s="2870">
        <f>估价对象房地状况!C19</f>
        <v>0</v>
      </c>
      <c r="C72" s="2758"/>
      <c r="D72" s="1274">
        <f t="shared" si="20"/>
        <v>0</v>
      </c>
      <c r="E72" s="812"/>
      <c r="F72" s="2491"/>
      <c r="G72" s="1272"/>
      <c r="H72" s="1276" t="str">
        <f t="shared" si="21"/>
        <v>——</v>
      </c>
      <c r="I72" s="806">
        <v>0.08</v>
      </c>
      <c r="J72" s="1273">
        <f t="shared" si="22"/>
        <v>0</v>
      </c>
      <c r="K72" s="1273">
        <f t="shared" si="23"/>
        <v>0</v>
      </c>
      <c r="L72" s="1273">
        <v>0</v>
      </c>
      <c r="M72" s="1273">
        <f t="shared" si="24"/>
        <v>0</v>
      </c>
      <c r="N72" s="1273">
        <f t="shared" si="24"/>
        <v>0</v>
      </c>
      <c r="AA72" s="1359"/>
      <c r="AB72" s="1359"/>
      <c r="AC72" s="1359"/>
      <c r="AD72" s="1359"/>
      <c r="AE72" s="1359"/>
      <c r="AF72" s="1359"/>
      <c r="AG72" s="1359"/>
      <c r="AH72" s="1359"/>
      <c r="AI72" s="1359"/>
      <c r="AJ72" s="1359"/>
      <c r="AK72" s="1359"/>
    </row>
    <row r="73" spans="1:37" s="1358" customFormat="1" ht="14.25">
      <c r="A73" s="2866" t="s">
        <v>2956</v>
      </c>
      <c r="B73" s="2870">
        <f>估价对象房地状况!C24</f>
        <v>0</v>
      </c>
      <c r="C73" s="2758"/>
      <c r="D73" s="1274">
        <f t="shared" si="20"/>
        <v>0</v>
      </c>
      <c r="E73" s="812"/>
      <c r="F73" s="2491"/>
      <c r="G73" s="1272"/>
      <c r="H73" s="1276" t="str">
        <f t="shared" si="21"/>
        <v>——</v>
      </c>
      <c r="I73" s="806">
        <v>0.04</v>
      </c>
      <c r="J73" s="1273">
        <f t="shared" si="22"/>
        <v>0</v>
      </c>
      <c r="K73" s="1273">
        <f t="shared" si="23"/>
        <v>0</v>
      </c>
      <c r="L73" s="1273">
        <v>0</v>
      </c>
      <c r="M73" s="1273">
        <f t="shared" si="24"/>
        <v>0</v>
      </c>
      <c r="N73" s="1273">
        <f t="shared" si="24"/>
        <v>0</v>
      </c>
      <c r="AA73" s="1359"/>
      <c r="AB73" s="1359"/>
      <c r="AC73" s="1359"/>
      <c r="AD73" s="1359"/>
      <c r="AE73" s="1359"/>
      <c r="AF73" s="1359"/>
      <c r="AG73" s="1359"/>
      <c r="AH73" s="1359"/>
      <c r="AI73" s="1359"/>
      <c r="AJ73" s="1359"/>
      <c r="AK73" s="1359"/>
    </row>
    <row r="74" spans="1:37" s="1358" customFormat="1" ht="24">
      <c r="A74" s="2866" t="s">
        <v>2948</v>
      </c>
      <c r="B74" s="1712">
        <f>估价对象房地状况!C21</f>
        <v>0</v>
      </c>
      <c r="C74" s="2758"/>
      <c r="D74" s="1274">
        <f t="shared" si="20"/>
        <v>0</v>
      </c>
      <c r="E74" s="812"/>
      <c r="F74" s="2491"/>
      <c r="G74" s="1272"/>
      <c r="H74" s="1276" t="str">
        <f t="shared" si="21"/>
        <v>——</v>
      </c>
      <c r="I74" s="806">
        <v>0.08</v>
      </c>
      <c r="J74" s="1273">
        <f t="shared" si="22"/>
        <v>0</v>
      </c>
      <c r="K74" s="1273">
        <f t="shared" si="23"/>
        <v>0</v>
      </c>
      <c r="L74" s="1273">
        <v>0</v>
      </c>
      <c r="M74" s="1273">
        <f t="shared" si="24"/>
        <v>0</v>
      </c>
      <c r="N74" s="1273">
        <f t="shared" si="24"/>
        <v>0</v>
      </c>
      <c r="AA74" s="1359"/>
      <c r="AB74" s="1359"/>
      <c r="AC74" s="1359"/>
      <c r="AD74" s="1359"/>
      <c r="AE74" s="1359"/>
      <c r="AF74" s="1359"/>
      <c r="AG74" s="1359"/>
      <c r="AH74" s="1359"/>
      <c r="AI74" s="1359"/>
      <c r="AJ74" s="1359"/>
      <c r="AK74" s="1359"/>
    </row>
    <row r="75" spans="1:37" s="1358" customFormat="1" ht="24">
      <c r="A75" s="2866" t="s">
        <v>2949</v>
      </c>
      <c r="B75" s="1712">
        <f>估价对象房地状况!C22</f>
        <v>0</v>
      </c>
      <c r="C75" s="2758"/>
      <c r="D75" s="1274">
        <f t="shared" si="20"/>
        <v>0</v>
      </c>
      <c r="E75" s="812"/>
      <c r="F75" s="2491"/>
      <c r="G75" s="1272"/>
      <c r="H75" s="1276" t="str">
        <f t="shared" si="21"/>
        <v>——</v>
      </c>
      <c r="I75" s="806">
        <v>0.12</v>
      </c>
      <c r="J75" s="1273">
        <f t="shared" si="22"/>
        <v>0</v>
      </c>
      <c r="K75" s="1273">
        <f t="shared" si="23"/>
        <v>0</v>
      </c>
      <c r="L75" s="1273">
        <v>0</v>
      </c>
      <c r="M75" s="1273">
        <f t="shared" si="24"/>
        <v>0</v>
      </c>
      <c r="N75" s="1273">
        <f t="shared" si="24"/>
        <v>0</v>
      </c>
      <c r="AA75" s="1359"/>
      <c r="AB75" s="1359"/>
      <c r="AC75" s="1359"/>
      <c r="AD75" s="1359"/>
      <c r="AE75" s="1359"/>
      <c r="AF75" s="1359"/>
      <c r="AG75" s="1359"/>
      <c r="AH75" s="1359"/>
      <c r="AI75" s="1359"/>
      <c r="AJ75" s="1359"/>
      <c r="AK75" s="1359"/>
    </row>
    <row r="76" spans="1:37" s="2707" customFormat="1" ht="24">
      <c r="A76" s="2866" t="s">
        <v>2946</v>
      </c>
      <c r="B76" s="2872" t="s">
        <v>2947</v>
      </c>
      <c r="C76" s="2758"/>
      <c r="D76" s="1274">
        <f t="shared" si="20"/>
        <v>0</v>
      </c>
      <c r="E76" s="812"/>
      <c r="F76" s="2491"/>
      <c r="G76" s="1272"/>
      <c r="H76" s="1276" t="str">
        <f t="shared" si="21"/>
        <v>——</v>
      </c>
      <c r="I76" s="806">
        <v>0.05</v>
      </c>
      <c r="J76" s="1273">
        <f t="shared" si="22"/>
        <v>0</v>
      </c>
      <c r="K76" s="1273">
        <f t="shared" si="23"/>
        <v>0</v>
      </c>
      <c r="L76" s="1273">
        <v>0</v>
      </c>
      <c r="M76" s="1273">
        <f t="shared" si="24"/>
        <v>0</v>
      </c>
      <c r="N76" s="1273">
        <f t="shared" si="24"/>
        <v>0</v>
      </c>
      <c r="AA76" s="2877"/>
      <c r="AB76" s="1359"/>
      <c r="AC76" s="1359"/>
      <c r="AD76" s="1359"/>
      <c r="AE76" s="1359"/>
      <c r="AF76" s="1359"/>
      <c r="AG76" s="1359"/>
      <c r="AH76" s="2877"/>
      <c r="AI76" s="2877"/>
      <c r="AJ76" s="2877"/>
      <c r="AK76" s="2877"/>
    </row>
    <row r="77" spans="1:37" ht="24">
      <c r="A77" s="2866" t="s">
        <v>2950</v>
      </c>
      <c r="B77" s="2869">
        <f>估价对象房地状况!C20</f>
        <v>0</v>
      </c>
      <c r="C77" s="2758"/>
      <c r="D77" s="1274">
        <f t="shared" si="20"/>
        <v>0</v>
      </c>
      <c r="E77" s="812"/>
      <c r="F77" s="2491"/>
      <c r="G77" s="1272"/>
      <c r="H77" s="1276" t="str">
        <f t="shared" si="21"/>
        <v>——</v>
      </c>
      <c r="I77" s="806">
        <v>0.15</v>
      </c>
      <c r="J77" s="1273">
        <f t="shared" si="22"/>
        <v>0</v>
      </c>
      <c r="K77" s="1273">
        <f t="shared" si="23"/>
        <v>0</v>
      </c>
      <c r="L77" s="1273">
        <v>0</v>
      </c>
      <c r="M77" s="1273">
        <f t="shared" si="24"/>
        <v>0</v>
      </c>
      <c r="N77" s="1273">
        <f t="shared" si="24"/>
        <v>0</v>
      </c>
      <c r="Z77" s="2708"/>
      <c r="AA77" s="2784"/>
      <c r="AG77" s="1360"/>
      <c r="AK77" s="2784"/>
    </row>
    <row r="78" spans="1:37" ht="24.75" thickBot="1">
      <c r="A78" s="2874" t="s">
        <v>2957</v>
      </c>
      <c r="B78" s="2878"/>
      <c r="C78" s="2758"/>
      <c r="D78" s="1274">
        <f t="shared" si="20"/>
        <v>0</v>
      </c>
      <c r="E78" s="813"/>
      <c r="F78" s="2491"/>
      <c r="G78" s="1272"/>
      <c r="H78" s="1276" t="str">
        <f t="shared" si="21"/>
        <v>——</v>
      </c>
      <c r="I78" s="810">
        <v>0.04</v>
      </c>
      <c r="J78" s="1273">
        <f t="shared" si="22"/>
        <v>0</v>
      </c>
      <c r="K78" s="1273">
        <f t="shared" si="23"/>
        <v>0</v>
      </c>
      <c r="L78" s="1273">
        <v>0</v>
      </c>
      <c r="M78" s="1273">
        <f t="shared" si="24"/>
        <v>0</v>
      </c>
      <c r="N78" s="1273">
        <f t="shared" si="24"/>
        <v>0</v>
      </c>
      <c r="Z78" s="2708"/>
      <c r="AA78" s="2784"/>
      <c r="AG78" s="1360"/>
      <c r="AK78" s="2784"/>
    </row>
    <row r="79" spans="1:37" ht="15">
      <c r="A79" s="2862" t="s">
        <v>2958</v>
      </c>
      <c r="B79" s="2863">
        <f>1+E81</f>
        <v>1</v>
      </c>
      <c r="C79" s="800"/>
      <c r="D79" s="800"/>
      <c r="E79" s="801"/>
      <c r="F79" s="2865"/>
      <c r="G79" s="6"/>
      <c r="H79" s="6"/>
      <c r="I79" s="6"/>
      <c r="J79" s="7"/>
      <c r="K79" s="7"/>
      <c r="L79" s="7"/>
      <c r="M79" s="7"/>
      <c r="N79" s="7"/>
      <c r="Z79" s="2708"/>
      <c r="AA79" s="2784"/>
      <c r="AG79" s="1360"/>
      <c r="AK79" s="2784"/>
    </row>
    <row r="80" spans="1:37" ht="24.75">
      <c r="A80" s="2866" t="s">
        <v>2932</v>
      </c>
      <c r="B80" s="1796"/>
      <c r="C80" s="1796" t="s">
        <v>2934</v>
      </c>
      <c r="D80" s="1796" t="s">
        <v>2935</v>
      </c>
      <c r="E80" s="805" t="s">
        <v>2936</v>
      </c>
      <c r="F80" s="2867" t="s">
        <v>2952</v>
      </c>
      <c r="G80" s="1796" t="s">
        <v>754</v>
      </c>
      <c r="H80" s="2868" t="s">
        <v>2938</v>
      </c>
      <c r="I80" s="1796" t="s">
        <v>2939</v>
      </c>
      <c r="J80" s="594" t="s">
        <v>2587</v>
      </c>
      <c r="K80" s="594" t="s">
        <v>2588</v>
      </c>
      <c r="L80" s="594" t="s">
        <v>2589</v>
      </c>
      <c r="M80" s="594" t="s">
        <v>2590</v>
      </c>
      <c r="N80" s="594" t="s">
        <v>2591</v>
      </c>
      <c r="Z80" s="2708"/>
      <c r="AA80" s="2784"/>
      <c r="AG80" s="1360"/>
      <c r="AK80" s="2784"/>
    </row>
    <row r="81" spans="1:37" ht="24">
      <c r="A81" s="2866" t="s">
        <v>2959</v>
      </c>
      <c r="B81" s="2870">
        <f>估价对象房地状况!G15</f>
        <v>0</v>
      </c>
      <c r="C81" s="2758"/>
      <c r="D81" s="1274">
        <f t="shared" ref="D81:D88" si="25">SUMIF($J$80:$N$80,C81,J81:N81)</f>
        <v>0</v>
      </c>
      <c r="E81" s="807">
        <f>ROUND(SUM(D81:D88),4)</f>
        <v>0</v>
      </c>
      <c r="F81" s="2491" t="str">
        <f>IF(E2="工业",SUMIF(L1:L12,G2,N1:N12),"——")</f>
        <v>——</v>
      </c>
      <c r="G81" s="1272"/>
      <c r="H81" s="1276" t="str">
        <f t="shared" ref="H81:H88" si="26">IFERROR(ROUNDDOWN($F$81*I81/2,4),"——")</f>
        <v>——</v>
      </c>
      <c r="I81" s="806">
        <v>0.26</v>
      </c>
      <c r="J81" s="1273">
        <f t="shared" ref="J81:J88" si="27">K81+$G81</f>
        <v>0</v>
      </c>
      <c r="K81" s="1273">
        <f t="shared" ref="K81:K88" si="28">$L81+$G81</f>
        <v>0</v>
      </c>
      <c r="L81" s="1273">
        <v>0</v>
      </c>
      <c r="M81" s="1273">
        <f t="shared" ref="M81:N88" si="29">L81-$G81</f>
        <v>0</v>
      </c>
      <c r="N81" s="1273">
        <f t="shared" si="29"/>
        <v>0</v>
      </c>
      <c r="Z81" s="2708"/>
      <c r="AA81" s="2784"/>
      <c r="AG81" s="1360"/>
      <c r="AK81" s="2784"/>
    </row>
    <row r="82" spans="1:37" ht="14.25">
      <c r="A82" s="2866" t="s">
        <v>2941</v>
      </c>
      <c r="B82" s="2870">
        <f>估价对象房地状况!G16</f>
        <v>0</v>
      </c>
      <c r="C82" s="2758"/>
      <c r="D82" s="1274">
        <f t="shared" si="25"/>
        <v>0</v>
      </c>
      <c r="E82" s="812"/>
      <c r="F82" s="2491"/>
      <c r="G82" s="1272"/>
      <c r="H82" s="1276" t="str">
        <f t="shared" si="26"/>
        <v>——</v>
      </c>
      <c r="I82" s="806">
        <v>0.33</v>
      </c>
      <c r="J82" s="1273">
        <f t="shared" si="27"/>
        <v>0</v>
      </c>
      <c r="K82" s="1273">
        <f t="shared" si="28"/>
        <v>0</v>
      </c>
      <c r="L82" s="1273">
        <v>0</v>
      </c>
      <c r="M82" s="1273">
        <f t="shared" si="29"/>
        <v>0</v>
      </c>
      <c r="N82" s="1273">
        <f t="shared" si="29"/>
        <v>0</v>
      </c>
      <c r="Z82" s="2708"/>
      <c r="AA82" s="2784"/>
      <c r="AG82" s="1360"/>
      <c r="AK82" s="2784"/>
    </row>
    <row r="83" spans="1:37" ht="24">
      <c r="A83" s="2866" t="s">
        <v>2942</v>
      </c>
      <c r="B83" s="2870">
        <f>估价对象房地状况!G17</f>
        <v>0</v>
      </c>
      <c r="C83" s="2758"/>
      <c r="D83" s="1274">
        <f t="shared" si="25"/>
        <v>0</v>
      </c>
      <c r="E83" s="812"/>
      <c r="F83" s="2491"/>
      <c r="G83" s="1272"/>
      <c r="H83" s="1276" t="str">
        <f t="shared" si="26"/>
        <v>——</v>
      </c>
      <c r="I83" s="806">
        <v>0.05</v>
      </c>
      <c r="J83" s="1273">
        <f t="shared" si="27"/>
        <v>0</v>
      </c>
      <c r="K83" s="1273">
        <f t="shared" si="28"/>
        <v>0</v>
      </c>
      <c r="L83" s="1273">
        <v>0</v>
      </c>
      <c r="M83" s="1273">
        <f t="shared" si="29"/>
        <v>0</v>
      </c>
      <c r="N83" s="1273">
        <f t="shared" si="29"/>
        <v>0</v>
      </c>
      <c r="Z83" s="2708"/>
      <c r="AA83" s="2784"/>
      <c r="AG83" s="1360"/>
      <c r="AK83" s="2784"/>
    </row>
    <row r="84" spans="1:37" ht="14.25">
      <c r="A84" s="2866" t="s">
        <v>2956</v>
      </c>
      <c r="B84" s="2870">
        <f>估价对象房地状况!G22</f>
        <v>0</v>
      </c>
      <c r="C84" s="2758"/>
      <c r="D84" s="1274">
        <f t="shared" si="25"/>
        <v>0</v>
      </c>
      <c r="E84" s="812"/>
      <c r="F84" s="2491"/>
      <c r="G84" s="1272"/>
      <c r="H84" s="1276" t="str">
        <f t="shared" si="26"/>
        <v>——</v>
      </c>
      <c r="I84" s="806">
        <v>0.04</v>
      </c>
      <c r="J84" s="1273">
        <f t="shared" si="27"/>
        <v>0</v>
      </c>
      <c r="K84" s="1273">
        <f t="shared" si="28"/>
        <v>0</v>
      </c>
      <c r="L84" s="1273">
        <v>0</v>
      </c>
      <c r="M84" s="1273">
        <f t="shared" si="29"/>
        <v>0</v>
      </c>
      <c r="N84" s="1273">
        <f t="shared" si="29"/>
        <v>0</v>
      </c>
      <c r="Z84" s="2708"/>
      <c r="AA84" s="2784"/>
      <c r="AG84" s="1360"/>
      <c r="AK84" s="2784"/>
    </row>
    <row r="85" spans="1:37" ht="24">
      <c r="A85" s="2866" t="s">
        <v>2948</v>
      </c>
      <c r="B85" s="1712">
        <f>估价对象房地状况!G19</f>
        <v>0</v>
      </c>
      <c r="C85" s="2758"/>
      <c r="D85" s="1274">
        <f t="shared" si="25"/>
        <v>0</v>
      </c>
      <c r="E85" s="812"/>
      <c r="F85" s="2491"/>
      <c r="G85" s="1272"/>
      <c r="H85" s="1276" t="str">
        <f t="shared" si="26"/>
        <v>——</v>
      </c>
      <c r="I85" s="806">
        <v>0.06</v>
      </c>
      <c r="J85" s="1273">
        <f t="shared" si="27"/>
        <v>0</v>
      </c>
      <c r="K85" s="1273">
        <f t="shared" si="28"/>
        <v>0</v>
      </c>
      <c r="L85" s="1273">
        <v>0</v>
      </c>
      <c r="M85" s="1273">
        <f t="shared" si="29"/>
        <v>0</v>
      </c>
      <c r="N85" s="1273">
        <f t="shared" si="29"/>
        <v>0</v>
      </c>
      <c r="Z85" s="2708"/>
      <c r="AA85" s="2784"/>
      <c r="AG85" s="1360"/>
      <c r="AK85" s="2784"/>
    </row>
    <row r="86" spans="1:37" ht="24">
      <c r="A86" s="2866" t="s">
        <v>2949</v>
      </c>
      <c r="B86" s="1712">
        <f>估价对象房地状况!G20</f>
        <v>0</v>
      </c>
      <c r="C86" s="2758"/>
      <c r="D86" s="1274">
        <f t="shared" si="25"/>
        <v>0</v>
      </c>
      <c r="E86" s="812"/>
      <c r="F86" s="2491"/>
      <c r="G86" s="1272"/>
      <c r="H86" s="1276" t="str">
        <f t="shared" si="26"/>
        <v>——</v>
      </c>
      <c r="I86" s="806">
        <v>0.15</v>
      </c>
      <c r="J86" s="1273">
        <f t="shared" si="27"/>
        <v>0</v>
      </c>
      <c r="K86" s="1273">
        <f t="shared" si="28"/>
        <v>0</v>
      </c>
      <c r="L86" s="1273">
        <v>0</v>
      </c>
      <c r="M86" s="1273">
        <f t="shared" si="29"/>
        <v>0</v>
      </c>
      <c r="N86" s="1273">
        <f t="shared" si="29"/>
        <v>0</v>
      </c>
      <c r="Z86" s="2708"/>
      <c r="AA86" s="2784"/>
      <c r="AG86" s="1360"/>
      <c r="AK86" s="2784"/>
    </row>
    <row r="87" spans="1:37" ht="24">
      <c r="A87" s="2866" t="s">
        <v>2946</v>
      </c>
      <c r="B87" s="2872" t="s">
        <v>2960</v>
      </c>
      <c r="C87" s="2758"/>
      <c r="D87" s="1274">
        <f t="shared" si="25"/>
        <v>0</v>
      </c>
      <c r="E87" s="812"/>
      <c r="F87" s="2491"/>
      <c r="G87" s="1272"/>
      <c r="H87" s="1276" t="str">
        <f t="shared" si="26"/>
        <v>——</v>
      </c>
      <c r="I87" s="806">
        <v>0.05</v>
      </c>
      <c r="J87" s="1273">
        <f t="shared" si="27"/>
        <v>0</v>
      </c>
      <c r="K87" s="1273">
        <f t="shared" si="28"/>
        <v>0</v>
      </c>
      <c r="L87" s="1273">
        <v>0</v>
      </c>
      <c r="M87" s="1273">
        <f t="shared" si="29"/>
        <v>0</v>
      </c>
      <c r="N87" s="1273">
        <f t="shared" si="29"/>
        <v>0</v>
      </c>
      <c r="Z87" s="2708"/>
      <c r="AA87" s="2784"/>
      <c r="AG87" s="1360"/>
      <c r="AK87" s="2784"/>
    </row>
    <row r="88" spans="1:37" ht="15" thickBot="1">
      <c r="A88" s="2874" t="s">
        <v>2961</v>
      </c>
      <c r="B88" s="2879">
        <f>估价对象房地状况!G18</f>
        <v>0</v>
      </c>
      <c r="C88" s="2758"/>
      <c r="D88" s="1274">
        <f t="shared" si="25"/>
        <v>0</v>
      </c>
      <c r="E88" s="813"/>
      <c r="F88" s="2491"/>
      <c r="G88" s="1272"/>
      <c r="H88" s="1276" t="str">
        <f t="shared" si="26"/>
        <v>——</v>
      </c>
      <c r="I88" s="810">
        <v>0.06</v>
      </c>
      <c r="J88" s="1273">
        <f t="shared" si="27"/>
        <v>0</v>
      </c>
      <c r="K88" s="1273">
        <f t="shared" si="28"/>
        <v>0</v>
      </c>
      <c r="L88" s="1273">
        <v>0</v>
      </c>
      <c r="M88" s="1273">
        <f t="shared" si="29"/>
        <v>0</v>
      </c>
      <c r="N88" s="1273">
        <f t="shared" si="29"/>
        <v>0</v>
      </c>
      <c r="Z88" s="2708"/>
      <c r="AA88" s="2784"/>
      <c r="AG88" s="1360"/>
      <c r="AK88" s="2784"/>
    </row>
    <row r="90" spans="1:37">
      <c r="A90" s="3369" t="s">
        <v>2962</v>
      </c>
      <c r="B90" s="3369"/>
      <c r="C90" s="3369"/>
      <c r="D90" s="3369"/>
      <c r="E90" s="3369"/>
      <c r="F90" s="3369"/>
      <c r="G90" s="3369"/>
      <c r="H90" s="3369"/>
      <c r="I90" s="3369"/>
      <c r="J90" s="3369"/>
      <c r="K90" s="2880"/>
      <c r="L90" s="2880"/>
      <c r="M90" s="2880"/>
      <c r="N90" s="2880"/>
    </row>
    <row r="91" spans="1:37">
      <c r="A91" s="3371" t="s">
        <v>2963</v>
      </c>
      <c r="B91" s="3371" t="s">
        <v>2964</v>
      </c>
      <c r="C91" s="2834" t="s">
        <v>2965</v>
      </c>
      <c r="D91" s="2835"/>
      <c r="E91" s="2835"/>
      <c r="F91" s="2835"/>
      <c r="G91" s="2835"/>
      <c r="H91" s="2835"/>
      <c r="I91" s="2835"/>
      <c r="J91" s="2881"/>
      <c r="K91" s="2882"/>
      <c r="L91" s="2882"/>
      <c r="M91" s="2882"/>
      <c r="N91" s="2882"/>
    </row>
    <row r="92" spans="1:37">
      <c r="A92" s="3371"/>
      <c r="B92" s="3371"/>
      <c r="C92" s="931" t="s">
        <v>2829</v>
      </c>
      <c r="D92" s="931" t="s">
        <v>2830</v>
      </c>
      <c r="E92" s="931" t="s">
        <v>2831</v>
      </c>
      <c r="F92" s="931" t="s">
        <v>2832</v>
      </c>
      <c r="G92" s="931" t="s">
        <v>2833</v>
      </c>
      <c r="H92" s="931" t="s">
        <v>2834</v>
      </c>
      <c r="I92" s="931" t="s">
        <v>2835</v>
      </c>
      <c r="J92" s="931" t="s">
        <v>2836</v>
      </c>
      <c r="K92" s="931" t="s">
        <v>2837</v>
      </c>
      <c r="L92" s="931" t="s">
        <v>2838</v>
      </c>
      <c r="M92" s="931" t="s">
        <v>2839</v>
      </c>
      <c r="N92" s="931" t="s">
        <v>2840</v>
      </c>
    </row>
    <row r="93" spans="1:37">
      <c r="A93" s="3372" t="s">
        <v>2966</v>
      </c>
      <c r="B93" s="2883">
        <v>1</v>
      </c>
      <c r="C93" s="2884">
        <v>1.9361999999999999</v>
      </c>
      <c r="D93" s="2884">
        <v>1.9361999999999999</v>
      </c>
      <c r="E93" s="2884">
        <v>1.8629</v>
      </c>
      <c r="F93" s="2884">
        <v>1.8629</v>
      </c>
      <c r="G93" s="2884">
        <v>1.8629</v>
      </c>
      <c r="H93" s="2884">
        <v>1.8629</v>
      </c>
      <c r="I93" s="2884">
        <v>1.8629</v>
      </c>
      <c r="J93" s="2884">
        <v>1.9419999999999999</v>
      </c>
      <c r="K93" s="2884">
        <v>1.9419999999999999</v>
      </c>
      <c r="L93" s="2884">
        <v>1.9419999999999999</v>
      </c>
      <c r="M93" s="2884">
        <v>1.9419999999999999</v>
      </c>
      <c r="N93" s="2884">
        <v>1.9419999999999999</v>
      </c>
    </row>
    <row r="94" spans="1:37">
      <c r="A94" s="3373"/>
      <c r="B94" s="2883">
        <v>2</v>
      </c>
      <c r="C94" s="2884">
        <v>1.4198</v>
      </c>
      <c r="D94" s="2884">
        <v>1.4198</v>
      </c>
      <c r="E94" s="2884">
        <v>1.3371999999999999</v>
      </c>
      <c r="F94" s="2884">
        <v>1.3371999999999999</v>
      </c>
      <c r="G94" s="2884">
        <v>1.3371999999999999</v>
      </c>
      <c r="H94" s="2884">
        <v>1.3371999999999999</v>
      </c>
      <c r="I94" s="2884">
        <v>1.3371999999999999</v>
      </c>
      <c r="J94" s="2884">
        <v>1.2799</v>
      </c>
      <c r="K94" s="2884">
        <v>1.2799</v>
      </c>
      <c r="L94" s="2884">
        <v>1.2799</v>
      </c>
      <c r="M94" s="2884">
        <v>1.2799</v>
      </c>
      <c r="N94" s="2884">
        <v>1.2799</v>
      </c>
    </row>
    <row r="95" spans="1:37">
      <c r="A95" s="3373"/>
      <c r="B95" s="2883">
        <v>3</v>
      </c>
      <c r="C95" s="2884">
        <v>1.1594</v>
      </c>
      <c r="D95" s="2884">
        <v>1.1594</v>
      </c>
      <c r="E95" s="2884">
        <v>1.0788</v>
      </c>
      <c r="F95" s="2884">
        <v>1.0788</v>
      </c>
      <c r="G95" s="2884">
        <v>1.0788</v>
      </c>
      <c r="H95" s="2884">
        <v>1.0788</v>
      </c>
      <c r="I95" s="2884">
        <v>1.0788</v>
      </c>
      <c r="J95" s="2884">
        <v>1.0072000000000001</v>
      </c>
      <c r="K95" s="2884">
        <v>1.0072000000000001</v>
      </c>
      <c r="L95" s="2884">
        <v>1.0072000000000001</v>
      </c>
      <c r="M95" s="2884">
        <v>1.0072000000000001</v>
      </c>
      <c r="N95" s="2884">
        <v>1.0072000000000001</v>
      </c>
    </row>
    <row r="96" spans="1:37">
      <c r="A96" s="3373"/>
      <c r="B96" s="2883">
        <v>4</v>
      </c>
      <c r="C96" s="2884">
        <v>0.96220000000000006</v>
      </c>
      <c r="D96" s="2884">
        <v>0.96220000000000006</v>
      </c>
      <c r="E96" s="2884">
        <v>0.86560000000000004</v>
      </c>
      <c r="F96" s="2884">
        <v>0.86560000000000004</v>
      </c>
      <c r="G96" s="2884">
        <v>0.86560000000000004</v>
      </c>
      <c r="H96" s="2884">
        <v>0.86560000000000004</v>
      </c>
      <c r="I96" s="2884">
        <v>0.86560000000000004</v>
      </c>
      <c r="J96" s="2884">
        <v>0.75249999999999995</v>
      </c>
      <c r="K96" s="2884">
        <v>0.75249999999999995</v>
      </c>
      <c r="L96" s="2884">
        <v>0.75249999999999995</v>
      </c>
      <c r="M96" s="2884">
        <v>0.75249999999999995</v>
      </c>
      <c r="N96" s="2884">
        <v>0.75249999999999995</v>
      </c>
    </row>
    <row r="97" spans="1:14">
      <c r="A97" s="3373"/>
      <c r="B97" s="2883">
        <v>5</v>
      </c>
      <c r="C97" s="2884">
        <v>0.8417</v>
      </c>
      <c r="D97" s="2884">
        <v>0.8417</v>
      </c>
      <c r="E97" s="2884">
        <v>0.73709999999999998</v>
      </c>
      <c r="F97" s="2884">
        <v>0.73709999999999998</v>
      </c>
      <c r="G97" s="2884">
        <v>0.73709999999999998</v>
      </c>
      <c r="H97" s="2884">
        <v>0.73709999999999998</v>
      </c>
      <c r="I97" s="2884">
        <v>0.73709999999999998</v>
      </c>
      <c r="J97" s="2884">
        <v>0.56589999999999996</v>
      </c>
      <c r="K97" s="2884">
        <v>0.56589999999999996</v>
      </c>
      <c r="L97" s="2884">
        <v>0.56589999999999996</v>
      </c>
      <c r="M97" s="2884">
        <v>0.56589999999999996</v>
      </c>
      <c r="N97" s="2884">
        <v>0.56589999999999996</v>
      </c>
    </row>
    <row r="98" spans="1:14">
      <c r="A98" s="3373"/>
      <c r="B98" s="2883">
        <v>6</v>
      </c>
      <c r="C98" s="2884">
        <v>0.76080000000000003</v>
      </c>
      <c r="D98" s="2884">
        <v>0.76080000000000003</v>
      </c>
      <c r="E98" s="2884">
        <v>0.6482</v>
      </c>
      <c r="F98" s="2884">
        <v>0.6482</v>
      </c>
      <c r="G98" s="2884">
        <v>0.6482</v>
      </c>
      <c r="H98" s="2884">
        <v>0.6482</v>
      </c>
      <c r="I98" s="2884">
        <v>0.6482</v>
      </c>
      <c r="J98" s="2884">
        <v>0.45250000000000001</v>
      </c>
      <c r="K98" s="2884">
        <v>0.45250000000000001</v>
      </c>
      <c r="L98" s="2884">
        <v>0.45250000000000001</v>
      </c>
      <c r="M98" s="2884">
        <v>0.45250000000000001</v>
      </c>
      <c r="N98" s="2884">
        <v>0.45250000000000001</v>
      </c>
    </row>
    <row r="99" spans="1:14">
      <c r="A99" s="3373"/>
      <c r="B99" s="2883" t="s">
        <v>2845</v>
      </c>
      <c r="C99" s="2885">
        <f>$I$3</f>
        <v>0</v>
      </c>
      <c r="D99" s="2885">
        <f t="shared" ref="D99:M99" si="30">$I$3</f>
        <v>0</v>
      </c>
      <c r="E99" s="2885">
        <f t="shared" si="30"/>
        <v>0</v>
      </c>
      <c r="F99" s="2885">
        <f t="shared" si="30"/>
        <v>0</v>
      </c>
      <c r="G99" s="2885">
        <f t="shared" si="30"/>
        <v>0</v>
      </c>
      <c r="H99" s="2885">
        <f t="shared" si="30"/>
        <v>0</v>
      </c>
      <c r="I99" s="2885">
        <f t="shared" si="30"/>
        <v>0</v>
      </c>
      <c r="J99" s="2885">
        <f t="shared" si="30"/>
        <v>0</v>
      </c>
      <c r="K99" s="2885">
        <f t="shared" si="30"/>
        <v>0</v>
      </c>
      <c r="L99" s="2885">
        <f t="shared" si="30"/>
        <v>0</v>
      </c>
      <c r="M99" s="2885">
        <f t="shared" si="30"/>
        <v>0</v>
      </c>
      <c r="N99" s="2885">
        <f>$I$3</f>
        <v>0</v>
      </c>
    </row>
    <row r="100" spans="1:14">
      <c r="A100" s="3374"/>
      <c r="B100" s="2883">
        <v>7</v>
      </c>
      <c r="C100" s="2886">
        <f>(-0.163*(C99^2)-0.59*C99+7617)*(10^(-4))</f>
        <v>0.76170000000000004</v>
      </c>
      <c r="D100" s="2886">
        <f>(-0.163*(D99^2)-0.59*D99+7617)*(10^(-4))</f>
        <v>0.76170000000000004</v>
      </c>
      <c r="E100" s="2886">
        <f>(-0.161*(E99^2)-7.509*E99+6533)*(10^(-4))</f>
        <v>0.65329999999999999</v>
      </c>
      <c r="F100" s="2886">
        <f>(-0.161*(F99^2)-7.509*F99+6533)*(10^(-4))</f>
        <v>0.65329999999999999</v>
      </c>
      <c r="G100" s="2886">
        <f>(-0.161*(G99^2)-7.509*G99+6533)*(10^(-4))</f>
        <v>0.65329999999999999</v>
      </c>
      <c r="H100" s="2886">
        <f>(-0.161*(H99^2)-7.509*H99+6533)*(10^(-4))</f>
        <v>0.65329999999999999</v>
      </c>
      <c r="I100" s="2886">
        <f>(-0.161*(I99^2)-7.509*I99+6533)*(10^(-4))</f>
        <v>0.65329999999999999</v>
      </c>
      <c r="J100" s="2886">
        <f>(-0.214*(J99^2)-21.991*J99+4665)*(10^(-4))</f>
        <v>0.46650000000000003</v>
      </c>
      <c r="K100" s="2886">
        <f>(-0.214*(K99^2)-21.991*K99+4665)*(10^(-4))</f>
        <v>0.46650000000000003</v>
      </c>
      <c r="L100" s="2886">
        <f>(-0.214*(L99^2)-21.991*L99+4665)*(10^(-4))</f>
        <v>0.46650000000000003</v>
      </c>
      <c r="M100" s="2886">
        <f>(-0.214*(M99^2)-21.991*M99+4665)*(10^(-4))</f>
        <v>0.46650000000000003</v>
      </c>
      <c r="N100" s="2886">
        <f>(-0.214*(N99^2)-21.991*N99+4665)*(10^(-4))</f>
        <v>0.46650000000000003</v>
      </c>
    </row>
    <row r="101" spans="1:14">
      <c r="A101" s="3372" t="s">
        <v>2967</v>
      </c>
      <c r="B101" s="2887" t="s">
        <v>2968</v>
      </c>
      <c r="C101" s="2888">
        <f>$G$3</f>
        <v>2.38</v>
      </c>
      <c r="D101" s="2888">
        <f t="shared" ref="D101:N101" si="31">$G$3</f>
        <v>2.38</v>
      </c>
      <c r="E101" s="2888">
        <f t="shared" si="31"/>
        <v>2.38</v>
      </c>
      <c r="F101" s="2888">
        <f t="shared" si="31"/>
        <v>2.38</v>
      </c>
      <c r="G101" s="2888">
        <f t="shared" si="31"/>
        <v>2.38</v>
      </c>
      <c r="H101" s="2888">
        <f t="shared" si="31"/>
        <v>2.38</v>
      </c>
      <c r="I101" s="2888">
        <f t="shared" si="31"/>
        <v>2.38</v>
      </c>
      <c r="J101" s="2888">
        <f t="shared" si="31"/>
        <v>2.38</v>
      </c>
      <c r="K101" s="2888">
        <f t="shared" si="31"/>
        <v>2.38</v>
      </c>
      <c r="L101" s="2888">
        <f t="shared" si="31"/>
        <v>2.38</v>
      </c>
      <c r="M101" s="2888">
        <f t="shared" si="31"/>
        <v>2.38</v>
      </c>
      <c r="N101" s="2888">
        <f t="shared" si="31"/>
        <v>2.38</v>
      </c>
    </row>
    <row r="102" spans="1:14">
      <c r="A102" s="3373"/>
      <c r="B102" s="2883">
        <v>1</v>
      </c>
      <c r="C102" s="2884">
        <f>1.9362/C101</f>
        <v>0.81352941176470583</v>
      </c>
      <c r="D102" s="2884">
        <f>1.9362/D101</f>
        <v>0.81352941176470583</v>
      </c>
      <c r="E102" s="2884">
        <f>1.8629/E101</f>
        <v>0.78273109243697481</v>
      </c>
      <c r="F102" s="2884">
        <f>1.8629/F101</f>
        <v>0.78273109243697481</v>
      </c>
      <c r="G102" s="2884">
        <f>1.8629/G101</f>
        <v>0.78273109243697481</v>
      </c>
      <c r="H102" s="2884">
        <f>1.8629/H101</f>
        <v>0.78273109243697481</v>
      </c>
      <c r="I102" s="2884">
        <f>1.8629/I101</f>
        <v>0.78273109243697481</v>
      </c>
      <c r="J102" s="2884">
        <f>1.942/J101</f>
        <v>0.81596638655462184</v>
      </c>
      <c r="K102" s="2884">
        <f>1.942/K101</f>
        <v>0.81596638655462184</v>
      </c>
      <c r="L102" s="2884">
        <f>1.942/L101</f>
        <v>0.81596638655462184</v>
      </c>
      <c r="M102" s="2884">
        <f>1.942/M101</f>
        <v>0.81596638655462184</v>
      </c>
      <c r="N102" s="2884">
        <f>1.942/N101</f>
        <v>0.81596638655462184</v>
      </c>
    </row>
    <row r="103" spans="1:14">
      <c r="A103" s="3373"/>
      <c r="B103" s="2883">
        <v>2</v>
      </c>
      <c r="C103" s="2884">
        <f>1.4198/C101</f>
        <v>0.59655462184873953</v>
      </c>
      <c r="D103" s="2884">
        <f>1.4198/D101</f>
        <v>0.59655462184873953</v>
      </c>
      <c r="E103" s="2884">
        <f>1.3372/E101</f>
        <v>0.56184873949579828</v>
      </c>
      <c r="F103" s="2884">
        <f>1.3372/F101</f>
        <v>0.56184873949579828</v>
      </c>
      <c r="G103" s="2884">
        <f>1.3372/G101</f>
        <v>0.56184873949579828</v>
      </c>
      <c r="H103" s="2884">
        <f>1.3372/H101</f>
        <v>0.56184873949579828</v>
      </c>
      <c r="I103" s="2884">
        <f>1.3372/I101</f>
        <v>0.56184873949579828</v>
      </c>
      <c r="J103" s="2884">
        <f>1.2799/J101</f>
        <v>0.53777310924369748</v>
      </c>
      <c r="K103" s="2884">
        <f>1.2799/K101</f>
        <v>0.53777310924369748</v>
      </c>
      <c r="L103" s="2884">
        <f>1.2799/L101</f>
        <v>0.53777310924369748</v>
      </c>
      <c r="M103" s="2884">
        <f>1.2799/M101</f>
        <v>0.53777310924369748</v>
      </c>
      <c r="N103" s="2884">
        <f>1.2799/N101</f>
        <v>0.53777310924369748</v>
      </c>
    </row>
    <row r="104" spans="1:14">
      <c r="A104" s="3373"/>
      <c r="B104" s="2883">
        <v>3</v>
      </c>
      <c r="C104" s="2884">
        <f>1.1594/C101</f>
        <v>0.48714285714285716</v>
      </c>
      <c r="D104" s="2884">
        <f>1.1594/D101</f>
        <v>0.48714285714285716</v>
      </c>
      <c r="E104" s="2884">
        <f>1.0788/E101</f>
        <v>0.45327731092436974</v>
      </c>
      <c r="F104" s="2884">
        <f>1.0788/F101</f>
        <v>0.45327731092436974</v>
      </c>
      <c r="G104" s="2884">
        <f>1.0788/G101</f>
        <v>0.45327731092436974</v>
      </c>
      <c r="H104" s="2884">
        <f>1.0788/H101</f>
        <v>0.45327731092436974</v>
      </c>
      <c r="I104" s="2884">
        <f>1.0788/I101</f>
        <v>0.45327731092436974</v>
      </c>
      <c r="J104" s="2884">
        <f>1.0072/J101</f>
        <v>0.42319327731092443</v>
      </c>
      <c r="K104" s="2884">
        <f>1.0072/K101</f>
        <v>0.42319327731092443</v>
      </c>
      <c r="L104" s="2884">
        <f>1.0072/L101</f>
        <v>0.42319327731092443</v>
      </c>
      <c r="M104" s="2884">
        <f>1.0072/M101</f>
        <v>0.42319327731092443</v>
      </c>
      <c r="N104" s="2884">
        <f>1.0072/N101</f>
        <v>0.42319327731092443</v>
      </c>
    </row>
    <row r="105" spans="1:14">
      <c r="A105" s="3373"/>
      <c r="B105" s="2883">
        <v>4</v>
      </c>
      <c r="C105" s="2884">
        <f>0.9622/C101</f>
        <v>0.4042857142857143</v>
      </c>
      <c r="D105" s="2884">
        <f>0.9622/D101</f>
        <v>0.4042857142857143</v>
      </c>
      <c r="E105" s="2884">
        <f>0.8656/E101</f>
        <v>0.36369747899159666</v>
      </c>
      <c r="F105" s="2884">
        <f>0.8656/F101</f>
        <v>0.36369747899159666</v>
      </c>
      <c r="G105" s="2884">
        <f>0.8656/G101</f>
        <v>0.36369747899159666</v>
      </c>
      <c r="H105" s="2884">
        <f>0.8656/H101</f>
        <v>0.36369747899159666</v>
      </c>
      <c r="I105" s="2884">
        <f>0.8656/I101</f>
        <v>0.36369747899159666</v>
      </c>
      <c r="J105" s="2884">
        <f>0.7525/J101</f>
        <v>0.31617647058823528</v>
      </c>
      <c r="K105" s="2884">
        <f>0.7525/K101</f>
        <v>0.31617647058823528</v>
      </c>
      <c r="L105" s="2884">
        <f>0.7525/L101</f>
        <v>0.31617647058823528</v>
      </c>
      <c r="M105" s="2884">
        <f>0.7525/M101</f>
        <v>0.31617647058823528</v>
      </c>
      <c r="N105" s="2884">
        <f>0.7525/N101</f>
        <v>0.31617647058823528</v>
      </c>
    </row>
    <row r="106" spans="1:14">
      <c r="A106" s="3373"/>
      <c r="B106" s="2883">
        <v>5</v>
      </c>
      <c r="C106" s="2884">
        <f>0.8417/C101</f>
        <v>0.35365546218487398</v>
      </c>
      <c r="D106" s="2884">
        <f>0.8417/D101</f>
        <v>0.35365546218487398</v>
      </c>
      <c r="E106" s="2884">
        <f>0.7371/E101</f>
        <v>0.30970588235294116</v>
      </c>
      <c r="F106" s="2884">
        <f>0.7371/F101</f>
        <v>0.30970588235294116</v>
      </c>
      <c r="G106" s="2884">
        <f>0.7371/G101</f>
        <v>0.30970588235294116</v>
      </c>
      <c r="H106" s="2884">
        <f>0.7371/H101</f>
        <v>0.30970588235294116</v>
      </c>
      <c r="I106" s="2884">
        <f>0.7371/I101</f>
        <v>0.30970588235294116</v>
      </c>
      <c r="J106" s="2884">
        <f>0.5659/J101</f>
        <v>0.23777310924369746</v>
      </c>
      <c r="K106" s="2884">
        <f>0.5659/K101</f>
        <v>0.23777310924369746</v>
      </c>
      <c r="L106" s="2884">
        <f>0.5659/L101</f>
        <v>0.23777310924369746</v>
      </c>
      <c r="M106" s="2884">
        <f>0.5659/M101</f>
        <v>0.23777310924369746</v>
      </c>
      <c r="N106" s="2884">
        <f>0.5659/N101</f>
        <v>0.23777310924369746</v>
      </c>
    </row>
    <row r="107" spans="1:14">
      <c r="A107" s="3373"/>
      <c r="B107" s="2883">
        <v>6</v>
      </c>
      <c r="C107" s="2884">
        <f>0.7608/C101</f>
        <v>0.31966386554621851</v>
      </c>
      <c r="D107" s="2884">
        <f>0.7608/D101</f>
        <v>0.31966386554621851</v>
      </c>
      <c r="E107" s="2884">
        <f>0.6482/E101</f>
        <v>0.27235294117647058</v>
      </c>
      <c r="F107" s="2884">
        <f>0.6482/F101</f>
        <v>0.27235294117647058</v>
      </c>
      <c r="G107" s="2884">
        <f>0.6482/G101</f>
        <v>0.27235294117647058</v>
      </c>
      <c r="H107" s="2884">
        <f>0.6482/H101</f>
        <v>0.27235294117647058</v>
      </c>
      <c r="I107" s="2884">
        <f>0.6482/I101</f>
        <v>0.27235294117647058</v>
      </c>
      <c r="J107" s="2884">
        <f>0.4525/J101</f>
        <v>0.19012605042016809</v>
      </c>
      <c r="K107" s="2884">
        <f>0.4525/K101</f>
        <v>0.19012605042016809</v>
      </c>
      <c r="L107" s="2884">
        <f>0.4525/L101</f>
        <v>0.19012605042016809</v>
      </c>
      <c r="M107" s="2884">
        <f>0.4525/M101</f>
        <v>0.19012605042016809</v>
      </c>
      <c r="N107" s="2884">
        <f>0.4525/N101</f>
        <v>0.19012605042016809</v>
      </c>
    </row>
    <row r="108" spans="1:14">
      <c r="A108" s="3373"/>
      <c r="B108" s="3199" t="s">
        <v>2969</v>
      </c>
      <c r="C108" s="2885">
        <f>C99</f>
        <v>0</v>
      </c>
      <c r="D108" s="2885">
        <f t="shared" ref="D108:N108" si="32">D99</f>
        <v>0</v>
      </c>
      <c r="E108" s="2885">
        <f t="shared" si="32"/>
        <v>0</v>
      </c>
      <c r="F108" s="2885">
        <f t="shared" si="32"/>
        <v>0</v>
      </c>
      <c r="G108" s="2885">
        <f t="shared" si="32"/>
        <v>0</v>
      </c>
      <c r="H108" s="2885">
        <f t="shared" si="32"/>
        <v>0</v>
      </c>
      <c r="I108" s="2885">
        <f t="shared" si="32"/>
        <v>0</v>
      </c>
      <c r="J108" s="2885">
        <f t="shared" si="32"/>
        <v>0</v>
      </c>
      <c r="K108" s="2885">
        <f t="shared" si="32"/>
        <v>0</v>
      </c>
      <c r="L108" s="2885">
        <f t="shared" si="32"/>
        <v>0</v>
      </c>
      <c r="M108" s="2885">
        <f t="shared" si="32"/>
        <v>0</v>
      </c>
      <c r="N108" s="2885">
        <f t="shared" si="32"/>
        <v>0</v>
      </c>
    </row>
    <row r="109" spans="1:14">
      <c r="A109" s="3374"/>
      <c r="B109" s="3200"/>
      <c r="C109" s="2886">
        <f>(-0.163*(C108^2)-0.59*C108+7617)*(10^(-4))/C101</f>
        <v>0.32004201680672273</v>
      </c>
      <c r="D109" s="2886">
        <f>(-0.163*(D108^2)-0.59*D108+7617)*(10^(-4))/D101</f>
        <v>0.32004201680672273</v>
      </c>
      <c r="E109" s="2886">
        <f>(-0.161*(E108^2)-7.509*E108+6533)*(10^(-4))/E101</f>
        <v>0.27449579831932774</v>
      </c>
      <c r="F109" s="2886">
        <f>(-0.161*(F108^2)-7.509*F108+6533)*(10^(-4))/F101</f>
        <v>0.27449579831932774</v>
      </c>
      <c r="G109" s="2886">
        <f>(-0.161*(G108^2)-7.509*G108+6533)*(10^(-4))/G101</f>
        <v>0.27449579831932774</v>
      </c>
      <c r="H109" s="2886">
        <f>(-0.161*(H108^2)-7.509*H108+6533)*(10^(-4))/H101</f>
        <v>0.27449579831932774</v>
      </c>
      <c r="I109" s="2886">
        <f>(-0.161*(I108^2)-7.509*I108+6533)*(10^(-4))/I101</f>
        <v>0.27449579831932774</v>
      </c>
      <c r="J109" s="2886">
        <f>(-0.214*(J108^2)-21.991*J108+4665)*(10^(-4))/J101</f>
        <v>0.19600840336134456</v>
      </c>
      <c r="K109" s="2886">
        <f>(-0.214*(K108^2)-21.991*K108+4665)*(10^(-4))/K101</f>
        <v>0.19600840336134456</v>
      </c>
      <c r="L109" s="2886">
        <f>(-0.214*(L108^2)-21.991*L108+4665)*(10^(-4))/L101</f>
        <v>0.19600840336134456</v>
      </c>
      <c r="M109" s="2886">
        <f>(-0.214*(M108^2)-21.991*M108+4665)*(10^(-4))/M101</f>
        <v>0.19600840336134456</v>
      </c>
      <c r="N109" s="2886">
        <f>(-0.214*(N108^2)-21.991*N108+4665)*(10^(-4))/N101</f>
        <v>0.19600840336134456</v>
      </c>
    </row>
    <row r="110" spans="1:14">
      <c r="A110" s="3370" t="s">
        <v>2970</v>
      </c>
      <c r="B110" s="3370"/>
      <c r="C110" s="3370"/>
      <c r="D110" s="3370"/>
      <c r="E110" s="3370"/>
      <c r="F110" s="3370"/>
      <c r="G110" s="3370"/>
      <c r="H110" s="3370"/>
      <c r="I110" s="3370"/>
      <c r="J110" s="3370"/>
      <c r="K110" s="2889"/>
      <c r="L110" s="2889"/>
      <c r="M110" s="2889"/>
      <c r="N110" s="2889"/>
    </row>
    <row r="112" spans="1:14" ht="13.5" thickBot="1"/>
    <row r="113" spans="1:13" ht="25.5" thickBot="1">
      <c r="A113" s="889" t="s">
        <v>2971</v>
      </c>
      <c r="B113" s="1275">
        <f>G3</f>
        <v>2.38</v>
      </c>
      <c r="C113" s="890" t="s">
        <v>2972</v>
      </c>
      <c r="D113" s="891">
        <f>SUMPRODUCT((A115:A118=F113)*(B114:M114=H113)*B115:M118)</f>
        <v>0</v>
      </c>
      <c r="E113" s="2712" t="s">
        <v>2802</v>
      </c>
      <c r="F113" s="2891">
        <f>E2</f>
        <v>0</v>
      </c>
      <c r="G113" s="2712" t="s">
        <v>2803</v>
      </c>
      <c r="H113" s="2891">
        <f>G2</f>
        <v>0</v>
      </c>
      <c r="I113" s="2712"/>
      <c r="J113" s="2892"/>
      <c r="K113" s="2892"/>
      <c r="L113" s="2892"/>
      <c r="M113" s="2892"/>
    </row>
    <row r="114" spans="1:13">
      <c r="A114" s="894"/>
      <c r="B114" s="2893" t="s">
        <v>2973</v>
      </c>
      <c r="C114" s="2893" t="s">
        <v>2974</v>
      </c>
      <c r="D114" s="2893" t="s">
        <v>2975</v>
      </c>
      <c r="E114" s="2894" t="s">
        <v>2976</v>
      </c>
      <c r="F114" s="2894" t="s">
        <v>2977</v>
      </c>
      <c r="G114" s="2894" t="s">
        <v>2978</v>
      </c>
      <c r="H114" s="2895" t="s">
        <v>2979</v>
      </c>
      <c r="I114" s="2895" t="s">
        <v>2980</v>
      </c>
      <c r="J114" s="2896" t="s">
        <v>2981</v>
      </c>
      <c r="K114" s="2896" t="s">
        <v>2982</v>
      </c>
      <c r="L114" s="2896" t="s">
        <v>2983</v>
      </c>
      <c r="M114" s="2897" t="s">
        <v>2984</v>
      </c>
    </row>
    <row r="115" spans="1:13">
      <c r="A115" s="895" t="s">
        <v>2867</v>
      </c>
      <c r="B115" s="896">
        <f>ROUND(0.9335-0.0094*B113,4)</f>
        <v>0.91110000000000002</v>
      </c>
      <c r="C115" s="896">
        <f>B115</f>
        <v>0.91110000000000002</v>
      </c>
      <c r="D115" s="896">
        <f>ROUND(0.8331-0.0109*B113,4)</f>
        <v>0.80720000000000003</v>
      </c>
      <c r="E115" s="896">
        <f>D115</f>
        <v>0.80720000000000003</v>
      </c>
      <c r="F115" s="896">
        <f>E115</f>
        <v>0.80720000000000003</v>
      </c>
      <c r="G115" s="896">
        <f>F115</f>
        <v>0.80720000000000003</v>
      </c>
      <c r="H115" s="896">
        <f>G115</f>
        <v>0.80720000000000003</v>
      </c>
      <c r="I115" s="896">
        <f>ROUND(0.689-0.0155*B113,4)</f>
        <v>0.65210000000000001</v>
      </c>
      <c r="J115" s="896">
        <f t="shared" ref="J115:M118" si="33">I115</f>
        <v>0.65210000000000001</v>
      </c>
      <c r="K115" s="896">
        <f t="shared" si="33"/>
        <v>0.65210000000000001</v>
      </c>
      <c r="L115" s="896">
        <f t="shared" si="33"/>
        <v>0.65210000000000001</v>
      </c>
      <c r="M115" s="897">
        <f t="shared" si="33"/>
        <v>0.65210000000000001</v>
      </c>
    </row>
    <row r="116" spans="1:13">
      <c r="A116" s="895" t="s">
        <v>2868</v>
      </c>
      <c r="B116" s="896">
        <f>ROUND(0.949-0.012*B113,4)</f>
        <v>0.9204</v>
      </c>
      <c r="C116" s="896">
        <f>B116</f>
        <v>0.9204</v>
      </c>
      <c r="D116" s="896">
        <f>ROUND(0.8567-0.013*B113,4)</f>
        <v>0.82579999999999998</v>
      </c>
      <c r="E116" s="896">
        <f t="shared" ref="E116:H117" si="34">D116</f>
        <v>0.82579999999999998</v>
      </c>
      <c r="F116" s="896">
        <f t="shared" si="34"/>
        <v>0.82579999999999998</v>
      </c>
      <c r="G116" s="896">
        <f t="shared" si="34"/>
        <v>0.82579999999999998</v>
      </c>
      <c r="H116" s="896">
        <f t="shared" si="34"/>
        <v>0.82579999999999998</v>
      </c>
      <c r="I116" s="896">
        <f>ROUND(0.7694-0.014*B113,4)</f>
        <v>0.73609999999999998</v>
      </c>
      <c r="J116" s="896">
        <f t="shared" si="33"/>
        <v>0.73609999999999998</v>
      </c>
      <c r="K116" s="896">
        <f t="shared" si="33"/>
        <v>0.73609999999999998</v>
      </c>
      <c r="L116" s="896">
        <f t="shared" si="33"/>
        <v>0.73609999999999998</v>
      </c>
      <c r="M116" s="897">
        <f t="shared" si="33"/>
        <v>0.73609999999999998</v>
      </c>
    </row>
    <row r="117" spans="1:13">
      <c r="A117" s="895" t="s">
        <v>2869</v>
      </c>
      <c r="B117" s="896">
        <f>ROUND(0.8808-0.006*B113,4)</f>
        <v>0.86650000000000005</v>
      </c>
      <c r="C117" s="896">
        <f>B117</f>
        <v>0.86650000000000005</v>
      </c>
      <c r="D117" s="896">
        <f>ROUND(0.8748-0.008*B113,4)</f>
        <v>0.85580000000000001</v>
      </c>
      <c r="E117" s="896">
        <f t="shared" si="34"/>
        <v>0.85580000000000001</v>
      </c>
      <c r="F117" s="896">
        <f t="shared" si="34"/>
        <v>0.85580000000000001</v>
      </c>
      <c r="G117" s="896">
        <f t="shared" si="34"/>
        <v>0.85580000000000001</v>
      </c>
      <c r="H117" s="896">
        <f t="shared" si="34"/>
        <v>0.85580000000000001</v>
      </c>
      <c r="I117" s="896">
        <f>ROUND(0.7412-0.0095*B113,4)</f>
        <v>0.71860000000000002</v>
      </c>
      <c r="J117" s="896">
        <f t="shared" si="33"/>
        <v>0.71860000000000002</v>
      </c>
      <c r="K117" s="896">
        <f t="shared" si="33"/>
        <v>0.71860000000000002</v>
      </c>
      <c r="L117" s="896">
        <f t="shared" si="33"/>
        <v>0.71860000000000002</v>
      </c>
      <c r="M117" s="897">
        <f t="shared" si="33"/>
        <v>0.71860000000000002</v>
      </c>
    </row>
    <row r="118" spans="1:13" ht="13.5" thickBot="1">
      <c r="A118" s="705" t="s">
        <v>2870</v>
      </c>
      <c r="B118" s="898">
        <f>ROUND(0.7275-0.01*B113,4)</f>
        <v>0.70369999999999999</v>
      </c>
      <c r="C118" s="898">
        <f>B118</f>
        <v>0.70369999999999999</v>
      </c>
      <c r="D118" s="898">
        <f>ROUND(0.7043-0.012*B113,4)</f>
        <v>0.67569999999999997</v>
      </c>
      <c r="E118" s="898">
        <f>D118</f>
        <v>0.67569999999999997</v>
      </c>
      <c r="F118" s="898">
        <f>E118</f>
        <v>0.67569999999999997</v>
      </c>
      <c r="G118" s="898">
        <f>ROUND(0.6299-0.0122*B113,4)</f>
        <v>0.60089999999999999</v>
      </c>
      <c r="H118" s="898">
        <f>G118</f>
        <v>0.60089999999999999</v>
      </c>
      <c r="I118" s="898">
        <f>ROUND(0.5667-0.0136*B113,4)</f>
        <v>0.5343</v>
      </c>
      <c r="J118" s="898">
        <f t="shared" si="33"/>
        <v>0.5343</v>
      </c>
      <c r="K118" s="898">
        <f t="shared" si="33"/>
        <v>0.5343</v>
      </c>
      <c r="L118" s="898">
        <f t="shared" si="33"/>
        <v>0.5343</v>
      </c>
      <c r="M118" s="899">
        <f t="shared" si="33"/>
        <v>0.5343</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 workbookViewId="0">
      <selection activeCell="L112" sqref="A111:L117"/>
    </sheetView>
  </sheetViews>
  <sheetFormatPr defaultColWidth="8.25" defaultRowHeight="19.5" customHeight="1"/>
  <cols>
    <col min="1" max="1" width="13.625" style="802" customWidth="1"/>
    <col min="2" max="9" width="8.25" style="864" customWidth="1"/>
    <col min="10" max="13" width="8.25" style="802"/>
    <col min="14" max="14" width="10" style="802" customWidth="1"/>
    <col min="15" max="16" width="8.25" style="802"/>
    <col min="17" max="17" width="34.125" style="802" customWidth="1"/>
    <col min="18" max="18" width="8.25" style="802" customWidth="1"/>
    <col min="19" max="19" width="8.25" style="802"/>
    <col min="20" max="20" width="11.625" style="802" customWidth="1"/>
    <col min="21" max="16384" width="8.25" style="802"/>
  </cols>
  <sheetData>
    <row r="1" spans="1:13" ht="19.5" customHeight="1" thickBot="1">
      <c r="A1" s="842" t="s">
        <v>546</v>
      </c>
      <c r="B1" s="817" t="s">
        <v>157</v>
      </c>
      <c r="C1" s="817" t="s">
        <v>158</v>
      </c>
      <c r="D1" s="817" t="s">
        <v>159</v>
      </c>
      <c r="E1" s="817" t="s">
        <v>160</v>
      </c>
      <c r="F1" s="817" t="s">
        <v>161</v>
      </c>
      <c r="G1" s="817" t="s">
        <v>162</v>
      </c>
      <c r="H1" s="817" t="s">
        <v>163</v>
      </c>
      <c r="I1" s="817" t="s">
        <v>164</v>
      </c>
      <c r="J1" s="817" t="s">
        <v>165</v>
      </c>
      <c r="K1" s="817" t="s">
        <v>166</v>
      </c>
      <c r="L1" s="817" t="s">
        <v>167</v>
      </c>
      <c r="M1" s="818" t="s">
        <v>168</v>
      </c>
    </row>
    <row r="2" spans="1:13" ht="19.5" customHeight="1">
      <c r="A2" s="843" t="s">
        <v>183</v>
      </c>
      <c r="B2" s="844">
        <v>3.5</v>
      </c>
      <c r="C2" s="844">
        <v>3.5</v>
      </c>
      <c r="D2" s="845">
        <v>2.5</v>
      </c>
      <c r="E2" s="845">
        <v>2.5</v>
      </c>
      <c r="F2" s="845">
        <v>2.5</v>
      </c>
      <c r="G2" s="845">
        <v>2.5</v>
      </c>
      <c r="H2" s="845">
        <v>2.5</v>
      </c>
      <c r="I2" s="844">
        <v>2</v>
      </c>
      <c r="J2" s="844">
        <v>2</v>
      </c>
      <c r="K2" s="844">
        <v>2</v>
      </c>
      <c r="L2" s="844">
        <v>2</v>
      </c>
      <c r="M2" s="846">
        <v>2</v>
      </c>
    </row>
    <row r="3" spans="1:13" ht="19.5" customHeight="1">
      <c r="A3" s="847" t="s">
        <v>184</v>
      </c>
      <c r="B3" s="848">
        <v>3.5</v>
      </c>
      <c r="C3" s="848">
        <v>3.5</v>
      </c>
      <c r="D3" s="849">
        <v>2.5</v>
      </c>
      <c r="E3" s="849">
        <v>2.5</v>
      </c>
      <c r="F3" s="849">
        <v>2.5</v>
      </c>
      <c r="G3" s="849">
        <v>2.5</v>
      </c>
      <c r="H3" s="849">
        <v>2.5</v>
      </c>
      <c r="I3" s="848">
        <v>2</v>
      </c>
      <c r="J3" s="848">
        <v>2</v>
      </c>
      <c r="K3" s="848">
        <v>2</v>
      </c>
      <c r="L3" s="848">
        <v>2</v>
      </c>
      <c r="M3" s="850">
        <v>2</v>
      </c>
    </row>
    <row r="4" spans="1:13" ht="19.5" customHeight="1">
      <c r="A4" s="847" t="s">
        <v>752</v>
      </c>
      <c r="B4" s="849">
        <v>2.5</v>
      </c>
      <c r="C4" s="849">
        <v>2.5</v>
      </c>
      <c r="D4" s="849">
        <v>2.5</v>
      </c>
      <c r="E4" s="849">
        <v>2.5</v>
      </c>
      <c r="F4" s="849">
        <v>2.5</v>
      </c>
      <c r="G4" s="849">
        <v>2.5</v>
      </c>
      <c r="H4" s="849">
        <v>2.5</v>
      </c>
      <c r="I4" s="848">
        <v>1.5</v>
      </c>
      <c r="J4" s="848">
        <v>1.5</v>
      </c>
      <c r="K4" s="848">
        <v>1.5</v>
      </c>
      <c r="L4" s="848">
        <v>1.5</v>
      </c>
      <c r="M4" s="850">
        <v>1.5</v>
      </c>
    </row>
    <row r="5" spans="1:13" ht="19.5" customHeight="1" thickBot="1">
      <c r="A5" s="851" t="s">
        <v>186</v>
      </c>
      <c r="B5" s="852">
        <v>1.5</v>
      </c>
      <c r="C5" s="852">
        <v>1.5</v>
      </c>
      <c r="D5" s="852">
        <v>1.5</v>
      </c>
      <c r="E5" s="852">
        <v>1.5</v>
      </c>
      <c r="F5" s="852">
        <v>1.5</v>
      </c>
      <c r="G5" s="853">
        <v>1.2</v>
      </c>
      <c r="H5" s="853">
        <v>1.2</v>
      </c>
      <c r="I5" s="853">
        <v>1</v>
      </c>
      <c r="J5" s="853">
        <v>1</v>
      </c>
      <c r="K5" s="853">
        <v>1</v>
      </c>
      <c r="L5" s="853">
        <v>1</v>
      </c>
      <c r="M5" s="854">
        <v>1</v>
      </c>
    </row>
    <row r="6" spans="1:13" ht="19.5" customHeight="1">
      <c r="A6" s="855" t="s">
        <v>547</v>
      </c>
      <c r="B6" s="856">
        <v>80</v>
      </c>
      <c r="C6" s="856">
        <v>80</v>
      </c>
      <c r="D6" s="856">
        <v>65</v>
      </c>
      <c r="E6" s="856">
        <v>65</v>
      </c>
      <c r="F6" s="856">
        <v>65</v>
      </c>
      <c r="G6" s="856">
        <v>65</v>
      </c>
      <c r="H6" s="856">
        <v>65</v>
      </c>
      <c r="I6" s="856">
        <v>50</v>
      </c>
      <c r="J6" s="856">
        <v>50</v>
      </c>
      <c r="K6" s="856">
        <v>50</v>
      </c>
      <c r="L6" s="856">
        <v>50</v>
      </c>
      <c r="M6" s="857">
        <v>50</v>
      </c>
    </row>
    <row r="7" spans="1:13" ht="19.5" customHeight="1">
      <c r="A7" s="803" t="s">
        <v>548</v>
      </c>
      <c r="B7" s="804">
        <v>70</v>
      </c>
      <c r="C7" s="804">
        <v>70</v>
      </c>
      <c r="D7" s="804">
        <v>55</v>
      </c>
      <c r="E7" s="804">
        <v>55</v>
      </c>
      <c r="F7" s="804">
        <v>55</v>
      </c>
      <c r="G7" s="804">
        <v>55</v>
      </c>
      <c r="H7" s="804">
        <v>55</v>
      </c>
      <c r="I7" s="804">
        <v>40</v>
      </c>
      <c r="J7" s="804">
        <v>40</v>
      </c>
      <c r="K7" s="804">
        <v>40</v>
      </c>
      <c r="L7" s="804">
        <v>40</v>
      </c>
      <c r="M7" s="858">
        <v>40</v>
      </c>
    </row>
    <row r="8" spans="1:13" ht="19.5" customHeight="1">
      <c r="A8" s="803" t="s">
        <v>549</v>
      </c>
      <c r="B8" s="804">
        <v>20</v>
      </c>
      <c r="C8" s="804">
        <v>20</v>
      </c>
      <c r="D8" s="804">
        <v>15</v>
      </c>
      <c r="E8" s="804">
        <v>15</v>
      </c>
      <c r="F8" s="804">
        <v>15</v>
      </c>
      <c r="G8" s="804">
        <v>15</v>
      </c>
      <c r="H8" s="804">
        <v>15</v>
      </c>
      <c r="I8" s="804">
        <v>10</v>
      </c>
      <c r="J8" s="804">
        <v>10</v>
      </c>
      <c r="K8" s="804">
        <v>10</v>
      </c>
      <c r="L8" s="804">
        <v>10</v>
      </c>
      <c r="M8" s="858">
        <v>10</v>
      </c>
    </row>
    <row r="9" spans="1:13" ht="19.5" customHeight="1">
      <c r="A9" s="803" t="s">
        <v>550</v>
      </c>
      <c r="B9" s="804">
        <v>30</v>
      </c>
      <c r="C9" s="804">
        <v>30</v>
      </c>
      <c r="D9" s="804">
        <v>25</v>
      </c>
      <c r="E9" s="804">
        <v>25</v>
      </c>
      <c r="F9" s="804">
        <v>25</v>
      </c>
      <c r="G9" s="804">
        <v>25</v>
      </c>
      <c r="H9" s="804">
        <v>25</v>
      </c>
      <c r="I9" s="804">
        <v>20</v>
      </c>
      <c r="J9" s="804">
        <v>20</v>
      </c>
      <c r="K9" s="804">
        <v>20</v>
      </c>
      <c r="L9" s="804">
        <v>20</v>
      </c>
      <c r="M9" s="858">
        <v>20</v>
      </c>
    </row>
    <row r="10" spans="1:13" ht="19.5" customHeight="1">
      <c r="A10" s="803" t="s">
        <v>551</v>
      </c>
      <c r="B10" s="804">
        <v>45</v>
      </c>
      <c r="C10" s="804">
        <v>45</v>
      </c>
      <c r="D10" s="804">
        <v>35</v>
      </c>
      <c r="E10" s="804">
        <v>35</v>
      </c>
      <c r="F10" s="804">
        <v>35</v>
      </c>
      <c r="G10" s="804">
        <v>35</v>
      </c>
      <c r="H10" s="804">
        <v>35</v>
      </c>
      <c r="I10" s="804">
        <v>25</v>
      </c>
      <c r="J10" s="804">
        <v>25</v>
      </c>
      <c r="K10" s="804">
        <v>25</v>
      </c>
      <c r="L10" s="804">
        <v>25</v>
      </c>
      <c r="M10" s="858">
        <v>25</v>
      </c>
    </row>
    <row r="11" spans="1:13" ht="19.5" customHeight="1">
      <c r="A11" s="803" t="s">
        <v>552</v>
      </c>
      <c r="B11" s="804">
        <v>60</v>
      </c>
      <c r="C11" s="804">
        <v>60</v>
      </c>
      <c r="D11" s="804">
        <v>50</v>
      </c>
      <c r="E11" s="804">
        <v>50</v>
      </c>
      <c r="F11" s="804">
        <v>50</v>
      </c>
      <c r="G11" s="804">
        <v>50</v>
      </c>
      <c r="H11" s="804">
        <v>50</v>
      </c>
      <c r="I11" s="804">
        <v>40</v>
      </c>
      <c r="J11" s="804">
        <v>40</v>
      </c>
      <c r="K11" s="804">
        <v>40</v>
      </c>
      <c r="L11" s="804">
        <v>40</v>
      </c>
      <c r="M11" s="858">
        <v>40</v>
      </c>
    </row>
    <row r="12" spans="1:13" ht="19.5" customHeight="1">
      <c r="A12" s="803" t="s">
        <v>553</v>
      </c>
      <c r="B12" s="804">
        <v>50</v>
      </c>
      <c r="C12" s="804">
        <v>50</v>
      </c>
      <c r="D12" s="804">
        <v>40</v>
      </c>
      <c r="E12" s="804">
        <v>40</v>
      </c>
      <c r="F12" s="804">
        <v>40</v>
      </c>
      <c r="G12" s="804">
        <v>40</v>
      </c>
      <c r="H12" s="804">
        <v>40</v>
      </c>
      <c r="I12" s="804">
        <v>30</v>
      </c>
      <c r="J12" s="804">
        <v>30</v>
      </c>
      <c r="K12" s="804">
        <v>30</v>
      </c>
      <c r="L12" s="804">
        <v>30</v>
      </c>
      <c r="M12" s="858">
        <v>30</v>
      </c>
    </row>
    <row r="13" spans="1:13" ht="19.5" customHeight="1">
      <c r="A13" s="859" t="s">
        <v>554</v>
      </c>
      <c r="B13" s="809">
        <v>20</v>
      </c>
      <c r="C13" s="809">
        <v>20</v>
      </c>
      <c r="D13" s="809">
        <v>15</v>
      </c>
      <c r="E13" s="809">
        <v>15</v>
      </c>
      <c r="F13" s="809">
        <v>15</v>
      </c>
      <c r="G13" s="809">
        <v>15</v>
      </c>
      <c r="H13" s="809">
        <v>15</v>
      </c>
      <c r="I13" s="809">
        <v>10</v>
      </c>
      <c r="J13" s="809">
        <v>10</v>
      </c>
      <c r="K13" s="809">
        <v>10</v>
      </c>
      <c r="L13" s="809">
        <v>10</v>
      </c>
      <c r="M13" s="860">
        <v>10</v>
      </c>
    </row>
    <row r="14" spans="1:13" ht="19.5" customHeight="1">
      <c r="A14" s="804" t="s">
        <v>555</v>
      </c>
      <c r="B14" s="861">
        <v>0</v>
      </c>
      <c r="C14" s="861">
        <v>0</v>
      </c>
      <c r="D14" s="861">
        <v>0</v>
      </c>
      <c r="E14" s="861">
        <v>0</v>
      </c>
      <c r="F14" s="861">
        <v>0</v>
      </c>
      <c r="G14" s="861">
        <v>0</v>
      </c>
      <c r="H14" s="861">
        <v>0</v>
      </c>
      <c r="I14" s="861">
        <v>0</v>
      </c>
      <c r="J14" s="861">
        <v>0</v>
      </c>
      <c r="K14" s="861">
        <v>0</v>
      </c>
      <c r="L14" s="861">
        <v>0</v>
      </c>
      <c r="M14" s="861">
        <v>0</v>
      </c>
    </row>
    <row r="16" spans="1:13" ht="19.5" customHeight="1">
      <c r="A16" s="862" t="s">
        <v>556</v>
      </c>
      <c r="B16" s="862"/>
      <c r="C16" s="863"/>
      <c r="D16" s="863"/>
      <c r="E16" s="862"/>
      <c r="F16" s="863"/>
      <c r="G16" s="863"/>
    </row>
    <row r="17" spans="1:9" ht="19.5" customHeight="1">
      <c r="A17" s="804" t="s">
        <v>557</v>
      </c>
      <c r="B17" s="865" t="s">
        <v>558</v>
      </c>
      <c r="C17" s="922" t="s">
        <v>758</v>
      </c>
      <c r="D17" s="866"/>
      <c r="E17" s="804" t="s">
        <v>559</v>
      </c>
      <c r="F17" s="867"/>
      <c r="G17" s="867"/>
    </row>
    <row r="18" spans="1:9" s="873" customFormat="1" ht="19.5" customHeight="1">
      <c r="A18" s="3387" t="s">
        <v>183</v>
      </c>
      <c r="B18" s="868" t="s">
        <v>560</v>
      </c>
      <c r="C18" s="869" t="s">
        <v>561</v>
      </c>
      <c r="D18" s="870"/>
      <c r="E18" s="868">
        <v>1</v>
      </c>
      <c r="F18" s="871" t="s">
        <v>562</v>
      </c>
      <c r="G18" s="872"/>
      <c r="H18" s="864"/>
      <c r="I18" s="864"/>
    </row>
    <row r="19" spans="1:9" s="873" customFormat="1" ht="19.5" customHeight="1">
      <c r="A19" s="3387"/>
      <c r="B19" s="3387" t="s">
        <v>563</v>
      </c>
      <c r="C19" s="869" t="s">
        <v>564</v>
      </c>
      <c r="D19" s="870"/>
      <c r="E19" s="868">
        <v>0.9</v>
      </c>
      <c r="F19" s="871" t="s">
        <v>565</v>
      </c>
      <c r="G19" s="872"/>
      <c r="H19" s="864"/>
      <c r="I19" s="864"/>
    </row>
    <row r="20" spans="1:9" s="873" customFormat="1" ht="19.5" customHeight="1">
      <c r="A20" s="3387"/>
      <c r="B20" s="3387"/>
      <c r="C20" s="869" t="s">
        <v>566</v>
      </c>
      <c r="D20" s="870"/>
      <c r="E20" s="868">
        <v>1.1000000000000001</v>
      </c>
      <c r="F20" s="871" t="s">
        <v>567</v>
      </c>
      <c r="G20" s="872"/>
      <c r="H20" s="864"/>
      <c r="I20" s="864"/>
    </row>
    <row r="21" spans="1:9" s="873" customFormat="1" ht="19.5" customHeight="1">
      <c r="A21" s="3387"/>
      <c r="B21" s="3387"/>
      <c r="C21" s="869" t="s">
        <v>568</v>
      </c>
      <c r="D21" s="870"/>
      <c r="E21" s="868">
        <v>0.8</v>
      </c>
      <c r="F21" s="871" t="s">
        <v>569</v>
      </c>
      <c r="G21" s="872"/>
      <c r="H21" s="864"/>
      <c r="I21" s="864"/>
    </row>
    <row r="22" spans="1:9" s="873" customFormat="1" ht="19.5" customHeight="1">
      <c r="A22" s="3387"/>
      <c r="B22" s="3387"/>
      <c r="C22" s="869" t="s">
        <v>570</v>
      </c>
      <c r="D22" s="870"/>
      <c r="E22" s="868">
        <v>0.5</v>
      </c>
      <c r="F22" s="871"/>
      <c r="G22" s="872"/>
      <c r="H22" s="864"/>
      <c r="I22" s="864"/>
    </row>
    <row r="23" spans="1:9" s="873" customFormat="1" ht="19.5" customHeight="1">
      <c r="A23" s="3387" t="s">
        <v>184</v>
      </c>
      <c r="B23" s="868" t="s">
        <v>560</v>
      </c>
      <c r="C23" s="869" t="s">
        <v>571</v>
      </c>
      <c r="D23" s="870"/>
      <c r="E23" s="868">
        <v>1</v>
      </c>
      <c r="F23" s="871" t="s">
        <v>572</v>
      </c>
      <c r="G23" s="872"/>
      <c r="H23" s="864"/>
      <c r="I23" s="864"/>
    </row>
    <row r="24" spans="1:9" s="873" customFormat="1" ht="19.5" customHeight="1">
      <c r="A24" s="3387"/>
      <c r="B24" s="3387" t="s">
        <v>563</v>
      </c>
      <c r="C24" s="869" t="s">
        <v>573</v>
      </c>
      <c r="D24" s="870"/>
      <c r="E24" s="868">
        <v>0.5</v>
      </c>
      <c r="F24" s="871"/>
      <c r="G24" s="872"/>
      <c r="H24" s="864"/>
      <c r="I24" s="864"/>
    </row>
    <row r="25" spans="1:9" s="873" customFormat="1" ht="19.5" customHeight="1">
      <c r="A25" s="3387"/>
      <c r="B25" s="3387"/>
      <c r="C25" s="869" t="s">
        <v>574</v>
      </c>
      <c r="D25" s="870"/>
      <c r="E25" s="868">
        <v>1.1000000000000001</v>
      </c>
      <c r="F25" s="871"/>
      <c r="G25" s="872"/>
      <c r="H25" s="864"/>
      <c r="I25" s="864"/>
    </row>
    <row r="26" spans="1:9" s="873" customFormat="1" ht="19.5" customHeight="1">
      <c r="A26" s="3387"/>
      <c r="B26" s="3387"/>
      <c r="C26" s="869" t="s">
        <v>575</v>
      </c>
      <c r="D26" s="870"/>
      <c r="E26" s="868">
        <v>1.1000000000000001</v>
      </c>
      <c r="F26" s="871"/>
      <c r="G26" s="872"/>
      <c r="H26" s="864"/>
      <c r="I26" s="864"/>
    </row>
    <row r="27" spans="1:9" s="873" customFormat="1" ht="19.5" customHeight="1">
      <c r="A27" s="3387"/>
      <c r="B27" s="3387"/>
      <c r="C27" s="869" t="s">
        <v>576</v>
      </c>
      <c r="D27" s="870"/>
      <c r="E27" s="868">
        <v>0.9</v>
      </c>
      <c r="F27" s="871" t="s">
        <v>577</v>
      </c>
      <c r="G27" s="872"/>
      <c r="H27" s="864"/>
      <c r="I27" s="864"/>
    </row>
    <row r="28" spans="1:9" s="873" customFormat="1" ht="19.5" customHeight="1">
      <c r="A28" s="3387"/>
      <c r="B28" s="3387"/>
      <c r="C28" s="869" t="s">
        <v>578</v>
      </c>
      <c r="D28" s="870"/>
      <c r="E28" s="868">
        <v>0.9</v>
      </c>
      <c r="F28" s="871" t="s">
        <v>579</v>
      </c>
      <c r="G28" s="872"/>
      <c r="H28" s="864"/>
      <c r="I28" s="864"/>
    </row>
    <row r="29" spans="1:9" s="873" customFormat="1" ht="19.5" customHeight="1">
      <c r="A29" s="3387"/>
      <c r="B29" s="3387"/>
      <c r="C29" s="869" t="s">
        <v>580</v>
      </c>
      <c r="D29" s="870"/>
      <c r="E29" s="868">
        <v>0.9</v>
      </c>
      <c r="F29" s="871" t="s">
        <v>581</v>
      </c>
      <c r="G29" s="872"/>
      <c r="H29" s="864"/>
      <c r="I29" s="864"/>
    </row>
    <row r="30" spans="1:9" s="873" customFormat="1" ht="19.5" customHeight="1">
      <c r="A30" s="3387"/>
      <c r="B30" s="3387"/>
      <c r="C30" s="869" t="s">
        <v>582</v>
      </c>
      <c r="D30" s="870"/>
      <c r="E30" s="868">
        <v>0.9</v>
      </c>
      <c r="F30" s="871" t="s">
        <v>583</v>
      </c>
      <c r="G30" s="872"/>
      <c r="H30" s="864"/>
      <c r="I30" s="864"/>
    </row>
    <row r="31" spans="1:9" s="873" customFormat="1" ht="19.5" customHeight="1">
      <c r="A31" s="3387"/>
      <c r="B31" s="3387"/>
      <c r="C31" s="869" t="s">
        <v>584</v>
      </c>
      <c r="D31" s="870"/>
      <c r="E31" s="868">
        <v>0.8</v>
      </c>
      <c r="F31" s="871" t="s">
        <v>585</v>
      </c>
      <c r="G31" s="872"/>
      <c r="H31" s="864"/>
      <c r="I31" s="864"/>
    </row>
    <row r="32" spans="1:9" s="873" customFormat="1" ht="19.5" customHeight="1">
      <c r="A32" s="3387"/>
      <c r="B32" s="3387"/>
      <c r="C32" s="869" t="s">
        <v>586</v>
      </c>
      <c r="D32" s="870"/>
      <c r="E32" s="868">
        <v>0.8</v>
      </c>
      <c r="F32" s="871" t="s">
        <v>587</v>
      </c>
      <c r="G32" s="872"/>
      <c r="H32" s="864"/>
      <c r="I32" s="864"/>
    </row>
    <row r="33" spans="1:9" s="873" customFormat="1" ht="19.5" customHeight="1">
      <c r="A33" s="3387" t="s">
        <v>185</v>
      </c>
      <c r="B33" s="868" t="s">
        <v>560</v>
      </c>
      <c r="C33" s="869" t="s">
        <v>588</v>
      </c>
      <c r="D33" s="870"/>
      <c r="E33" s="868">
        <v>1</v>
      </c>
      <c r="F33" s="871" t="s">
        <v>589</v>
      </c>
      <c r="G33" s="872"/>
      <c r="H33" s="864"/>
      <c r="I33" s="864"/>
    </row>
    <row r="34" spans="1:9" s="873" customFormat="1" ht="19.5" customHeight="1">
      <c r="A34" s="3387"/>
      <c r="B34" s="868" t="s">
        <v>563</v>
      </c>
      <c r="C34" s="869" t="s">
        <v>590</v>
      </c>
      <c r="D34" s="870"/>
      <c r="E34" s="868">
        <v>1.5</v>
      </c>
      <c r="F34" s="871" t="s">
        <v>591</v>
      </c>
      <c r="G34" s="872"/>
      <c r="H34" s="864"/>
      <c r="I34" s="864"/>
    </row>
    <row r="35" spans="1:9" s="873" customFormat="1" ht="19.5" customHeight="1">
      <c r="A35" s="3387" t="s">
        <v>186</v>
      </c>
      <c r="B35" s="868" t="s">
        <v>560</v>
      </c>
      <c r="C35" s="869" t="s">
        <v>592</v>
      </c>
      <c r="D35" s="870"/>
      <c r="E35" s="868">
        <v>1</v>
      </c>
      <c r="F35" s="871" t="s">
        <v>593</v>
      </c>
      <c r="G35" s="872"/>
      <c r="H35" s="864"/>
      <c r="I35" s="864"/>
    </row>
    <row r="36" spans="1:9" s="873" customFormat="1" ht="19.5" customHeight="1">
      <c r="A36" s="3387"/>
      <c r="B36" s="3387" t="s">
        <v>563</v>
      </c>
      <c r="C36" s="869" t="s">
        <v>594</v>
      </c>
      <c r="D36" s="870"/>
      <c r="E36" s="868">
        <v>1</v>
      </c>
      <c r="F36" s="871" t="s">
        <v>595</v>
      </c>
      <c r="G36" s="872"/>
      <c r="H36" s="864"/>
      <c r="I36" s="864"/>
    </row>
    <row r="37" spans="1:9" s="873" customFormat="1" ht="19.5" customHeight="1">
      <c r="A37" s="3387"/>
      <c r="B37" s="3387"/>
      <c r="C37" s="869" t="s">
        <v>596</v>
      </c>
      <c r="D37" s="870"/>
      <c r="E37" s="868">
        <v>1.5</v>
      </c>
      <c r="F37" s="871" t="s">
        <v>597</v>
      </c>
      <c r="G37" s="872"/>
      <c r="H37" s="864"/>
      <c r="I37" s="864"/>
    </row>
    <row r="38" spans="1:9" s="873" customFormat="1" ht="19.5" customHeight="1">
      <c r="A38" s="3387"/>
      <c r="B38" s="3387"/>
      <c r="C38" s="869" t="s">
        <v>598</v>
      </c>
      <c r="D38" s="870"/>
      <c r="E38" s="868">
        <v>1</v>
      </c>
      <c r="F38" s="871" t="s">
        <v>599</v>
      </c>
      <c r="G38" s="872"/>
      <c r="H38" s="864"/>
      <c r="I38" s="864"/>
    </row>
    <row r="39" spans="1:9" s="873" customFormat="1" ht="19.5" customHeight="1">
      <c r="A39" s="3387"/>
      <c r="B39" s="3387"/>
      <c r="C39" s="869" t="s">
        <v>600</v>
      </c>
      <c r="D39" s="870"/>
      <c r="E39" s="868">
        <v>1</v>
      </c>
      <c r="F39" s="871" t="s">
        <v>601</v>
      </c>
      <c r="G39" s="872"/>
      <c r="H39" s="864"/>
      <c r="I39" s="864"/>
    </row>
    <row r="40" spans="1:9" s="873" customFormat="1" ht="19.5" customHeight="1">
      <c r="A40" s="874" t="s">
        <v>602</v>
      </c>
      <c r="B40" s="874"/>
      <c r="C40" s="874"/>
      <c r="D40" s="874"/>
      <c r="E40" s="874"/>
      <c r="F40" s="875"/>
      <c r="G40" s="875"/>
      <c r="H40" s="864"/>
      <c r="I40" s="864"/>
    </row>
    <row r="42" spans="1:9" ht="19.5" customHeight="1">
      <c r="A42" s="876"/>
      <c r="B42" s="804" t="s">
        <v>603</v>
      </c>
      <c r="C42" s="804" t="s">
        <v>603</v>
      </c>
      <c r="D42" s="804" t="s">
        <v>603</v>
      </c>
      <c r="E42" s="809" t="s">
        <v>603</v>
      </c>
      <c r="F42" s="809" t="s">
        <v>603</v>
      </c>
      <c r="G42" s="809" t="s">
        <v>604</v>
      </c>
      <c r="H42" s="809" t="s">
        <v>603</v>
      </c>
    </row>
    <row r="43" spans="1:9" ht="19.5" customHeight="1">
      <c r="A43" s="877"/>
      <c r="B43" s="809" t="s">
        <v>183</v>
      </c>
      <c r="C43" s="809" t="s">
        <v>183</v>
      </c>
      <c r="D43" s="809" t="s">
        <v>183</v>
      </c>
      <c r="E43" s="809" t="s">
        <v>183</v>
      </c>
      <c r="F43" s="804" t="s">
        <v>184</v>
      </c>
      <c r="G43" s="804" t="s">
        <v>186</v>
      </c>
      <c r="H43" s="804" t="s">
        <v>605</v>
      </c>
    </row>
    <row r="44" spans="1:9" ht="19.5" customHeight="1">
      <c r="A44" s="878"/>
      <c r="B44" s="804">
        <v>1</v>
      </c>
      <c r="C44" s="804">
        <v>2</v>
      </c>
      <c r="D44" s="804">
        <v>3</v>
      </c>
      <c r="E44" s="809">
        <v>4</v>
      </c>
      <c r="F44" s="866" t="s">
        <v>606</v>
      </c>
      <c r="G44" s="866" t="s">
        <v>606</v>
      </c>
      <c r="H44" s="866" t="s">
        <v>606</v>
      </c>
    </row>
    <row r="45" spans="1:9" ht="19.5" customHeight="1">
      <c r="A45" s="879" t="s">
        <v>157</v>
      </c>
      <c r="B45" s="804">
        <v>0.8</v>
      </c>
      <c r="C45" s="804">
        <v>0.5</v>
      </c>
      <c r="D45" s="804">
        <v>0.36</v>
      </c>
      <c r="E45" s="804">
        <v>0.3</v>
      </c>
      <c r="F45" s="866">
        <v>0.3</v>
      </c>
      <c r="G45" s="804">
        <v>0.3</v>
      </c>
      <c r="H45" s="804">
        <v>0.25</v>
      </c>
    </row>
    <row r="46" spans="1:9" ht="19.5" customHeight="1">
      <c r="A46" s="879" t="s">
        <v>158</v>
      </c>
      <c r="B46" s="804">
        <v>0.8</v>
      </c>
      <c r="C46" s="804">
        <v>0.5</v>
      </c>
      <c r="D46" s="804">
        <v>0.36</v>
      </c>
      <c r="E46" s="804">
        <v>0.3</v>
      </c>
      <c r="F46" s="804">
        <v>0.3</v>
      </c>
      <c r="G46" s="804">
        <v>0.3</v>
      </c>
      <c r="H46" s="804">
        <v>0.25</v>
      </c>
    </row>
    <row r="47" spans="1:9" ht="19.5" customHeight="1">
      <c r="A47" s="879" t="s">
        <v>159</v>
      </c>
      <c r="B47" s="804">
        <v>0.7</v>
      </c>
      <c r="C47" s="804">
        <v>0.4</v>
      </c>
      <c r="D47" s="804">
        <v>0.28000000000000003</v>
      </c>
      <c r="E47" s="804">
        <v>0.25</v>
      </c>
      <c r="F47" s="804">
        <v>0.25</v>
      </c>
      <c r="G47" s="804">
        <v>0.25</v>
      </c>
      <c r="H47" s="804">
        <v>0.2</v>
      </c>
    </row>
    <row r="48" spans="1:9" ht="19.5" customHeight="1">
      <c r="A48" s="879" t="s">
        <v>160</v>
      </c>
      <c r="B48" s="804">
        <v>0.7</v>
      </c>
      <c r="C48" s="804">
        <v>0.4</v>
      </c>
      <c r="D48" s="804">
        <v>0.28000000000000003</v>
      </c>
      <c r="E48" s="804">
        <v>0.25</v>
      </c>
      <c r="F48" s="804">
        <v>0.25</v>
      </c>
      <c r="G48" s="804">
        <v>0.25</v>
      </c>
      <c r="H48" s="804">
        <v>0.2</v>
      </c>
    </row>
    <row r="49" spans="1:8" s="864" customFormat="1" ht="19.5" customHeight="1">
      <c r="A49" s="879" t="s">
        <v>161</v>
      </c>
      <c r="B49" s="804">
        <v>0.7</v>
      </c>
      <c r="C49" s="804">
        <v>0.4</v>
      </c>
      <c r="D49" s="804">
        <v>0.28000000000000003</v>
      </c>
      <c r="E49" s="804">
        <v>0.25</v>
      </c>
      <c r="F49" s="804">
        <v>0.25</v>
      </c>
      <c r="G49" s="804">
        <v>0.25</v>
      </c>
      <c r="H49" s="804">
        <v>0.2</v>
      </c>
    </row>
    <row r="50" spans="1:8" s="864" customFormat="1" ht="19.5" customHeight="1">
      <c r="A50" s="879" t="s">
        <v>162</v>
      </c>
      <c r="B50" s="804">
        <v>0.7</v>
      </c>
      <c r="C50" s="804">
        <v>0.4</v>
      </c>
      <c r="D50" s="804">
        <v>0.28000000000000003</v>
      </c>
      <c r="E50" s="804">
        <v>0.25</v>
      </c>
      <c r="F50" s="804">
        <v>0.25</v>
      </c>
      <c r="G50" s="804">
        <v>0.25</v>
      </c>
      <c r="H50" s="804">
        <v>0.2</v>
      </c>
    </row>
    <row r="51" spans="1:8" s="864" customFormat="1" ht="19.5" customHeight="1">
      <c r="A51" s="879" t="s">
        <v>163</v>
      </c>
      <c r="B51" s="804">
        <v>0.7</v>
      </c>
      <c r="C51" s="804">
        <v>0.4</v>
      </c>
      <c r="D51" s="804">
        <v>0.28000000000000003</v>
      </c>
      <c r="E51" s="804">
        <v>0.25</v>
      </c>
      <c r="F51" s="804">
        <v>0.25</v>
      </c>
      <c r="G51" s="804">
        <v>0.25</v>
      </c>
      <c r="H51" s="804">
        <v>0.2</v>
      </c>
    </row>
    <row r="52" spans="1:8" s="864" customFormat="1" ht="19.5" customHeight="1">
      <c r="A52" s="879" t="s">
        <v>164</v>
      </c>
      <c r="B52" s="804">
        <v>0.6</v>
      </c>
      <c r="C52" s="804">
        <v>0.3</v>
      </c>
      <c r="D52" s="804">
        <v>0.2</v>
      </c>
      <c r="E52" s="804">
        <v>0.2</v>
      </c>
      <c r="F52" s="804">
        <v>0.2</v>
      </c>
      <c r="G52" s="804">
        <v>0.2</v>
      </c>
      <c r="H52" s="804">
        <v>0.15</v>
      </c>
    </row>
    <row r="53" spans="1:8" s="864" customFormat="1" ht="19.5" customHeight="1">
      <c r="A53" s="879" t="s">
        <v>165</v>
      </c>
      <c r="B53" s="804">
        <v>0.6</v>
      </c>
      <c r="C53" s="804">
        <v>0.3</v>
      </c>
      <c r="D53" s="804">
        <v>0.2</v>
      </c>
      <c r="E53" s="804">
        <v>0.2</v>
      </c>
      <c r="F53" s="804">
        <v>0.2</v>
      </c>
      <c r="G53" s="804">
        <v>0.2</v>
      </c>
      <c r="H53" s="804">
        <v>0.15</v>
      </c>
    </row>
    <row r="54" spans="1:8" s="864" customFormat="1" ht="19.5" customHeight="1">
      <c r="A54" s="879" t="s">
        <v>166</v>
      </c>
      <c r="B54" s="804">
        <v>0.6</v>
      </c>
      <c r="C54" s="804">
        <v>0.3</v>
      </c>
      <c r="D54" s="804">
        <v>0.2</v>
      </c>
      <c r="E54" s="804">
        <v>0.2</v>
      </c>
      <c r="F54" s="804">
        <v>0.2</v>
      </c>
      <c r="G54" s="804">
        <v>0.2</v>
      </c>
      <c r="H54" s="804">
        <v>0.15</v>
      </c>
    </row>
    <row r="55" spans="1:8" s="864" customFormat="1" ht="19.5" customHeight="1">
      <c r="A55" s="879" t="s">
        <v>167</v>
      </c>
      <c r="B55" s="804">
        <v>0.6</v>
      </c>
      <c r="C55" s="804">
        <v>0.3</v>
      </c>
      <c r="D55" s="804">
        <v>0.2</v>
      </c>
      <c r="E55" s="804">
        <v>0.2</v>
      </c>
      <c r="F55" s="804">
        <v>0.2</v>
      </c>
      <c r="G55" s="804">
        <v>0.2</v>
      </c>
      <c r="H55" s="804">
        <v>0.15</v>
      </c>
    </row>
    <row r="56" spans="1:8" s="864" customFormat="1" ht="19.5" customHeight="1">
      <c r="A56" s="879" t="s">
        <v>168</v>
      </c>
      <c r="B56" s="804">
        <v>0.6</v>
      </c>
      <c r="C56" s="804">
        <v>0.3</v>
      </c>
      <c r="D56" s="804">
        <v>0.2</v>
      </c>
      <c r="E56" s="804">
        <v>0.2</v>
      </c>
      <c r="F56" s="804">
        <v>0.2</v>
      </c>
      <c r="G56" s="804">
        <v>0.2</v>
      </c>
      <c r="H56" s="804">
        <v>0.15</v>
      </c>
    </row>
    <row r="58" spans="1:8" s="864" customFormat="1" ht="19.5" customHeight="1">
      <c r="A58" s="880"/>
      <c r="B58" s="862"/>
      <c r="C58" s="862"/>
      <c r="D58" s="862" t="s">
        <v>607</v>
      </c>
      <c r="E58" s="862"/>
      <c r="F58" s="862"/>
    </row>
    <row r="59" spans="1:8" s="864" customFormat="1" ht="19.5" customHeight="1">
      <c r="A59" s="868" t="s">
        <v>608</v>
      </c>
      <c r="B59" s="868" t="s">
        <v>609</v>
      </c>
      <c r="C59" s="868" t="s">
        <v>610</v>
      </c>
      <c r="D59" s="868" t="s">
        <v>611</v>
      </c>
      <c r="E59" s="868" t="s">
        <v>612</v>
      </c>
      <c r="F59" s="868" t="s">
        <v>613</v>
      </c>
    </row>
    <row r="60" spans="1:8" ht="13.5">
      <c r="A60" s="929"/>
      <c r="B60" s="929"/>
      <c r="C60" s="929" t="s">
        <v>745</v>
      </c>
      <c r="D60" s="929"/>
      <c r="E60" s="881" t="s">
        <v>1</v>
      </c>
      <c r="F60" s="929" t="s">
        <v>1</v>
      </c>
    </row>
    <row r="61" spans="1:8" s="864" customFormat="1" ht="24">
      <c r="A61" s="868">
        <v>1</v>
      </c>
      <c r="B61" s="3387" t="s">
        <v>614</v>
      </c>
      <c r="C61" s="804" t="s">
        <v>615</v>
      </c>
      <c r="D61" s="804" t="s">
        <v>616</v>
      </c>
      <c r="E61" s="881">
        <v>0.5</v>
      </c>
      <c r="F61" s="868">
        <v>80</v>
      </c>
    </row>
    <row r="62" spans="1:8" s="864" customFormat="1" ht="24">
      <c r="A62" s="868">
        <v>2</v>
      </c>
      <c r="B62" s="3387"/>
      <c r="C62" s="804" t="s">
        <v>617</v>
      </c>
      <c r="D62" s="804" t="s">
        <v>618</v>
      </c>
      <c r="E62" s="881">
        <v>0.5</v>
      </c>
      <c r="F62" s="868">
        <v>80</v>
      </c>
    </row>
    <row r="63" spans="1:8" s="864" customFormat="1" ht="36">
      <c r="A63" s="868">
        <v>3</v>
      </c>
      <c r="B63" s="3387"/>
      <c r="C63" s="804" t="s">
        <v>619</v>
      </c>
      <c r="D63" s="804" t="s">
        <v>620</v>
      </c>
      <c r="E63" s="881">
        <v>0.5</v>
      </c>
      <c r="F63" s="868">
        <v>80</v>
      </c>
    </row>
    <row r="64" spans="1:8" s="864" customFormat="1" ht="36">
      <c r="A64" s="868">
        <v>4</v>
      </c>
      <c r="B64" s="3387"/>
      <c r="C64" s="804" t="s">
        <v>621</v>
      </c>
      <c r="D64" s="804" t="s">
        <v>622</v>
      </c>
      <c r="E64" s="881">
        <v>0.4</v>
      </c>
      <c r="F64" s="868">
        <v>60</v>
      </c>
    </row>
    <row r="65" spans="1:6" s="864" customFormat="1" ht="36">
      <c r="A65" s="868">
        <v>5</v>
      </c>
      <c r="B65" s="3387"/>
      <c r="C65" s="804" t="s">
        <v>623</v>
      </c>
      <c r="D65" s="804" t="s">
        <v>624</v>
      </c>
      <c r="E65" s="881">
        <v>0.2</v>
      </c>
      <c r="F65" s="868">
        <v>30</v>
      </c>
    </row>
    <row r="66" spans="1:6" s="864" customFormat="1" ht="36">
      <c r="A66" s="868">
        <v>6</v>
      </c>
      <c r="B66" s="3387"/>
      <c r="C66" s="804" t="s">
        <v>625</v>
      </c>
      <c r="D66" s="804" t="s">
        <v>626</v>
      </c>
      <c r="E66" s="881">
        <v>0.3</v>
      </c>
      <c r="F66" s="868">
        <v>50</v>
      </c>
    </row>
    <row r="67" spans="1:6" s="864" customFormat="1" ht="36">
      <c r="A67" s="868">
        <v>7</v>
      </c>
      <c r="B67" s="3387"/>
      <c r="C67" s="804" t="s">
        <v>627</v>
      </c>
      <c r="D67" s="804" t="s">
        <v>628</v>
      </c>
      <c r="E67" s="881">
        <v>0.2</v>
      </c>
      <c r="F67" s="868">
        <v>30</v>
      </c>
    </row>
    <row r="68" spans="1:6" s="864" customFormat="1" ht="36">
      <c r="A68" s="868">
        <v>8</v>
      </c>
      <c r="B68" s="3387"/>
      <c r="C68" s="804" t="s">
        <v>629</v>
      </c>
      <c r="D68" s="804" t="s">
        <v>630</v>
      </c>
      <c r="E68" s="881">
        <v>0.2</v>
      </c>
      <c r="F68" s="868">
        <v>30</v>
      </c>
    </row>
    <row r="69" spans="1:6" s="864" customFormat="1" ht="36">
      <c r="A69" s="868">
        <v>9</v>
      </c>
      <c r="B69" s="3387"/>
      <c r="C69" s="804" t="s">
        <v>631</v>
      </c>
      <c r="D69" s="804" t="s">
        <v>632</v>
      </c>
      <c r="E69" s="881">
        <v>0.2</v>
      </c>
      <c r="F69" s="868">
        <v>30</v>
      </c>
    </row>
    <row r="70" spans="1:6" s="864" customFormat="1" ht="48">
      <c r="A70" s="868">
        <v>10</v>
      </c>
      <c r="B70" s="3387"/>
      <c r="C70" s="804" t="s">
        <v>633</v>
      </c>
      <c r="D70" s="804" t="s">
        <v>634</v>
      </c>
      <c r="E70" s="881">
        <v>0.2</v>
      </c>
      <c r="F70" s="868">
        <v>30</v>
      </c>
    </row>
    <row r="71" spans="1:6" s="864" customFormat="1" ht="48">
      <c r="A71" s="868">
        <v>11</v>
      </c>
      <c r="B71" s="3387"/>
      <c r="C71" s="804" t="s">
        <v>635</v>
      </c>
      <c r="D71" s="804" t="s">
        <v>636</v>
      </c>
      <c r="E71" s="881">
        <v>0.2</v>
      </c>
      <c r="F71" s="868">
        <v>30</v>
      </c>
    </row>
    <row r="72" spans="1:6" s="864" customFormat="1" ht="36">
      <c r="A72" s="868">
        <v>12</v>
      </c>
      <c r="B72" s="3387"/>
      <c r="C72" s="804" t="s">
        <v>637</v>
      </c>
      <c r="D72" s="804" t="s">
        <v>638</v>
      </c>
      <c r="E72" s="881">
        <v>0.5</v>
      </c>
      <c r="F72" s="868">
        <v>80</v>
      </c>
    </row>
    <row r="73" spans="1:6" s="864" customFormat="1" ht="24">
      <c r="A73" s="868">
        <v>13</v>
      </c>
      <c r="B73" s="3387"/>
      <c r="C73" s="804" t="s">
        <v>639</v>
      </c>
      <c r="D73" s="804" t="s">
        <v>640</v>
      </c>
      <c r="E73" s="881">
        <v>0.4</v>
      </c>
      <c r="F73" s="868">
        <v>60</v>
      </c>
    </row>
    <row r="74" spans="1:6" s="864" customFormat="1" ht="24">
      <c r="A74" s="868">
        <v>14</v>
      </c>
      <c r="B74" s="3387"/>
      <c r="C74" s="804" t="s">
        <v>641</v>
      </c>
      <c r="D74" s="804" t="s">
        <v>642</v>
      </c>
      <c r="E74" s="881">
        <v>0.2</v>
      </c>
      <c r="F74" s="868">
        <v>30</v>
      </c>
    </row>
    <row r="75" spans="1:6" s="864" customFormat="1" ht="24">
      <c r="A75" s="868">
        <v>15</v>
      </c>
      <c r="B75" s="3387"/>
      <c r="C75" s="804" t="s">
        <v>643</v>
      </c>
      <c r="D75" s="804" t="s">
        <v>644</v>
      </c>
      <c r="E75" s="881">
        <v>0.2</v>
      </c>
      <c r="F75" s="868">
        <v>30</v>
      </c>
    </row>
    <row r="76" spans="1:6" s="864" customFormat="1" ht="24">
      <c r="A76" s="868">
        <v>16</v>
      </c>
      <c r="B76" s="3387" t="s">
        <v>645</v>
      </c>
      <c r="C76" s="804" t="s">
        <v>646</v>
      </c>
      <c r="D76" s="804" t="s">
        <v>647</v>
      </c>
      <c r="E76" s="881">
        <v>0.5</v>
      </c>
      <c r="F76" s="868">
        <v>80</v>
      </c>
    </row>
    <row r="77" spans="1:6" s="864" customFormat="1" ht="24">
      <c r="A77" s="868">
        <v>17</v>
      </c>
      <c r="B77" s="3387"/>
      <c r="C77" s="804" t="s">
        <v>648</v>
      </c>
      <c r="D77" s="804" t="s">
        <v>649</v>
      </c>
      <c r="E77" s="881">
        <v>0.5</v>
      </c>
      <c r="F77" s="868">
        <v>80</v>
      </c>
    </row>
    <row r="78" spans="1:6" s="864" customFormat="1" ht="24">
      <c r="A78" s="868">
        <v>18</v>
      </c>
      <c r="B78" s="3387"/>
      <c r="C78" s="804" t="s">
        <v>650</v>
      </c>
      <c r="D78" s="804" t="s">
        <v>651</v>
      </c>
      <c r="E78" s="881">
        <v>0.2</v>
      </c>
      <c r="F78" s="868">
        <v>30</v>
      </c>
    </row>
    <row r="79" spans="1:6" s="864" customFormat="1" ht="24">
      <c r="A79" s="868">
        <v>19</v>
      </c>
      <c r="B79" s="3387"/>
      <c r="C79" s="804" t="s">
        <v>652</v>
      </c>
      <c r="D79" s="804" t="s">
        <v>653</v>
      </c>
      <c r="E79" s="881">
        <v>0.5</v>
      </c>
      <c r="F79" s="868">
        <v>80</v>
      </c>
    </row>
    <row r="80" spans="1:6" s="864" customFormat="1" ht="36">
      <c r="A80" s="868">
        <v>20</v>
      </c>
      <c r="B80" s="3387"/>
      <c r="C80" s="804" t="s">
        <v>654</v>
      </c>
      <c r="D80" s="804" t="s">
        <v>655</v>
      </c>
      <c r="E80" s="881">
        <v>0.2</v>
      </c>
      <c r="F80" s="868">
        <v>30</v>
      </c>
    </row>
    <row r="81" spans="1:6" s="864" customFormat="1" ht="36">
      <c r="A81" s="868">
        <v>21</v>
      </c>
      <c r="B81" s="3387"/>
      <c r="C81" s="804" t="s">
        <v>656</v>
      </c>
      <c r="D81" s="804" t="s">
        <v>657</v>
      </c>
      <c r="E81" s="881">
        <v>0.2</v>
      </c>
      <c r="F81" s="868">
        <v>30</v>
      </c>
    </row>
    <row r="82" spans="1:6" s="864" customFormat="1" ht="48">
      <c r="A82" s="868">
        <v>22</v>
      </c>
      <c r="B82" s="3387"/>
      <c r="C82" s="804" t="s">
        <v>658</v>
      </c>
      <c r="D82" s="804" t="s">
        <v>659</v>
      </c>
      <c r="E82" s="881">
        <v>0.2</v>
      </c>
      <c r="F82" s="868">
        <v>30</v>
      </c>
    </row>
    <row r="83" spans="1:6" s="864" customFormat="1" ht="48">
      <c r="A83" s="868">
        <v>23</v>
      </c>
      <c r="B83" s="3387"/>
      <c r="C83" s="804" t="s">
        <v>660</v>
      </c>
      <c r="D83" s="804" t="s">
        <v>661</v>
      </c>
      <c r="E83" s="881">
        <v>0.2</v>
      </c>
      <c r="F83" s="868">
        <v>30</v>
      </c>
    </row>
    <row r="84" spans="1:6" s="864" customFormat="1" ht="36">
      <c r="A84" s="868">
        <v>24</v>
      </c>
      <c r="B84" s="3387"/>
      <c r="C84" s="804" t="s">
        <v>662</v>
      </c>
      <c r="D84" s="804" t="s">
        <v>663</v>
      </c>
      <c r="E84" s="881">
        <v>0.2</v>
      </c>
      <c r="F84" s="868">
        <v>30</v>
      </c>
    </row>
    <row r="85" spans="1:6" s="864" customFormat="1" ht="36">
      <c r="A85" s="868">
        <v>25</v>
      </c>
      <c r="B85" s="3387"/>
      <c r="C85" s="804" t="s">
        <v>664</v>
      </c>
      <c r="D85" s="804" t="s">
        <v>665</v>
      </c>
      <c r="E85" s="881">
        <v>0.5</v>
      </c>
      <c r="F85" s="868">
        <v>80</v>
      </c>
    </row>
    <row r="86" spans="1:6" s="864" customFormat="1" ht="36">
      <c r="A86" s="868">
        <v>26</v>
      </c>
      <c r="B86" s="3387"/>
      <c r="C86" s="804" t="s">
        <v>666</v>
      </c>
      <c r="D86" s="804" t="s">
        <v>667</v>
      </c>
      <c r="E86" s="881">
        <v>0.2</v>
      </c>
      <c r="F86" s="868">
        <v>30</v>
      </c>
    </row>
    <row r="87" spans="1:6" s="864" customFormat="1" ht="36">
      <c r="A87" s="868">
        <v>27</v>
      </c>
      <c r="B87" s="3387"/>
      <c r="C87" s="804" t="s">
        <v>668</v>
      </c>
      <c r="D87" s="804" t="s">
        <v>669</v>
      </c>
      <c r="E87" s="881">
        <v>0.2</v>
      </c>
      <c r="F87" s="868">
        <v>30</v>
      </c>
    </row>
    <row r="88" spans="1:6" s="864" customFormat="1" ht="36">
      <c r="A88" s="868">
        <v>28</v>
      </c>
      <c r="B88" s="3387"/>
      <c r="C88" s="804" t="s">
        <v>670</v>
      </c>
      <c r="D88" s="804" t="s">
        <v>671</v>
      </c>
      <c r="E88" s="881">
        <v>0.2</v>
      </c>
      <c r="F88" s="868">
        <v>30</v>
      </c>
    </row>
    <row r="89" spans="1:6" s="864" customFormat="1" ht="24">
      <c r="A89" s="868">
        <v>29</v>
      </c>
      <c r="B89" s="3387"/>
      <c r="C89" s="804" t="s">
        <v>672</v>
      </c>
      <c r="D89" s="804" t="s">
        <v>673</v>
      </c>
      <c r="E89" s="881">
        <v>0.2</v>
      </c>
      <c r="F89" s="868">
        <v>30</v>
      </c>
    </row>
    <row r="90" spans="1:6" s="864" customFormat="1" ht="24">
      <c r="A90" s="868">
        <v>30</v>
      </c>
      <c r="B90" s="3387"/>
      <c r="C90" s="804" t="s">
        <v>674</v>
      </c>
      <c r="D90" s="804" t="s">
        <v>675</v>
      </c>
      <c r="E90" s="881">
        <v>0.2</v>
      </c>
      <c r="F90" s="868">
        <v>30</v>
      </c>
    </row>
    <row r="91" spans="1:6" s="864" customFormat="1" ht="36">
      <c r="A91" s="868">
        <v>31</v>
      </c>
      <c r="B91" s="3387"/>
      <c r="C91" s="804" t="s">
        <v>676</v>
      </c>
      <c r="D91" s="804" t="s">
        <v>677</v>
      </c>
      <c r="E91" s="881">
        <v>0.2</v>
      </c>
      <c r="F91" s="868">
        <v>30</v>
      </c>
    </row>
    <row r="92" spans="1:6" s="864" customFormat="1" ht="24">
      <c r="A92" s="868">
        <v>32</v>
      </c>
      <c r="B92" s="3387" t="s">
        <v>678</v>
      </c>
      <c r="C92" s="868" t="s">
        <v>679</v>
      </c>
      <c r="D92" s="804" t="s">
        <v>680</v>
      </c>
      <c r="E92" s="881">
        <v>0.2</v>
      </c>
      <c r="F92" s="868">
        <v>30</v>
      </c>
    </row>
    <row r="93" spans="1:6" s="864" customFormat="1" ht="36">
      <c r="A93" s="868">
        <v>33</v>
      </c>
      <c r="B93" s="3387"/>
      <c r="C93" s="868" t="s">
        <v>681</v>
      </c>
      <c r="D93" s="804" t="s">
        <v>682</v>
      </c>
      <c r="E93" s="881">
        <v>0.2</v>
      </c>
      <c r="F93" s="868">
        <v>30</v>
      </c>
    </row>
    <row r="94" spans="1:6" s="864" customFormat="1" ht="48">
      <c r="A94" s="868">
        <v>34</v>
      </c>
      <c r="B94" s="3387"/>
      <c r="C94" s="868" t="s">
        <v>683</v>
      </c>
      <c r="D94" s="804" t="s">
        <v>684</v>
      </c>
      <c r="E94" s="881">
        <v>0.2</v>
      </c>
      <c r="F94" s="868">
        <v>30</v>
      </c>
    </row>
    <row r="95" spans="1:6" s="864" customFormat="1" ht="36">
      <c r="A95" s="868">
        <v>35</v>
      </c>
      <c r="B95" s="3387"/>
      <c r="C95" s="868" t="s">
        <v>685</v>
      </c>
      <c r="D95" s="804" t="s">
        <v>686</v>
      </c>
      <c r="E95" s="881">
        <v>0.2</v>
      </c>
      <c r="F95" s="868">
        <v>30</v>
      </c>
    </row>
    <row r="96" spans="1:6" s="864" customFormat="1" ht="48">
      <c r="A96" s="868">
        <v>36</v>
      </c>
      <c r="B96" s="3387"/>
      <c r="C96" s="804" t="s">
        <v>687</v>
      </c>
      <c r="D96" s="804" t="s">
        <v>688</v>
      </c>
      <c r="E96" s="881">
        <v>0.2</v>
      </c>
      <c r="F96" s="868">
        <v>30</v>
      </c>
    </row>
    <row r="97" spans="1:6" s="864" customFormat="1" ht="36">
      <c r="A97" s="868">
        <v>37</v>
      </c>
      <c r="B97" s="3387"/>
      <c r="C97" s="868" t="s">
        <v>689</v>
      </c>
      <c r="D97" s="804" t="s">
        <v>690</v>
      </c>
      <c r="E97" s="881">
        <v>0.2</v>
      </c>
      <c r="F97" s="868">
        <v>30</v>
      </c>
    </row>
    <row r="98" spans="1:6" s="864" customFormat="1" ht="36">
      <c r="A98" s="868">
        <v>38</v>
      </c>
      <c r="B98" s="3387"/>
      <c r="C98" s="868" t="s">
        <v>691</v>
      </c>
      <c r="D98" s="804" t="s">
        <v>692</v>
      </c>
      <c r="E98" s="881">
        <v>0.2</v>
      </c>
      <c r="F98" s="868">
        <v>30</v>
      </c>
    </row>
    <row r="99" spans="1:6" s="864" customFormat="1" ht="36">
      <c r="A99" s="868">
        <v>39</v>
      </c>
      <c r="B99" s="3387" t="s">
        <v>693</v>
      </c>
      <c r="C99" s="868" t="s">
        <v>694</v>
      </c>
      <c r="D99" s="804" t="s">
        <v>695</v>
      </c>
      <c r="E99" s="881">
        <v>0.3</v>
      </c>
      <c r="F99" s="868">
        <v>50</v>
      </c>
    </row>
    <row r="100" spans="1:6" s="864" customFormat="1" ht="24">
      <c r="A100" s="868">
        <v>40</v>
      </c>
      <c r="B100" s="3387"/>
      <c r="C100" s="868" t="s">
        <v>696</v>
      </c>
      <c r="D100" s="804" t="s">
        <v>697</v>
      </c>
      <c r="E100" s="881">
        <v>0.2</v>
      </c>
      <c r="F100" s="868">
        <v>30</v>
      </c>
    </row>
    <row r="101" spans="1:6" s="864" customFormat="1" ht="36">
      <c r="A101" s="868">
        <v>41</v>
      </c>
      <c r="B101" s="3387"/>
      <c r="C101" s="868" t="s">
        <v>698</v>
      </c>
      <c r="D101" s="804" t="s">
        <v>695</v>
      </c>
      <c r="E101" s="881">
        <v>0.2</v>
      </c>
      <c r="F101" s="868">
        <v>30</v>
      </c>
    </row>
    <row r="102" spans="1:6" s="864" customFormat="1" ht="48">
      <c r="A102" s="868">
        <v>42</v>
      </c>
      <c r="B102" s="868" t="s">
        <v>699</v>
      </c>
      <c r="C102" s="804" t="s">
        <v>700</v>
      </c>
      <c r="D102" s="804" t="s">
        <v>701</v>
      </c>
      <c r="E102" s="881">
        <v>0.2</v>
      </c>
      <c r="F102" s="868">
        <v>30</v>
      </c>
    </row>
    <row r="103" spans="1:6" s="864" customFormat="1" ht="24">
      <c r="A103" s="868">
        <v>43</v>
      </c>
      <c r="B103" s="868" t="s">
        <v>702</v>
      </c>
      <c r="C103" s="868" t="s">
        <v>703</v>
      </c>
      <c r="D103" s="804" t="s">
        <v>704</v>
      </c>
      <c r="E103" s="881">
        <v>0.2</v>
      </c>
      <c r="F103" s="868">
        <v>30</v>
      </c>
    </row>
    <row r="104" spans="1:6" s="864" customFormat="1" ht="36">
      <c r="A104" s="868">
        <v>44</v>
      </c>
      <c r="B104" s="868" t="s">
        <v>705</v>
      </c>
      <c r="C104" s="868" t="s">
        <v>706</v>
      </c>
      <c r="D104" s="804" t="s">
        <v>707</v>
      </c>
      <c r="E104" s="881">
        <v>0.2</v>
      </c>
      <c r="F104" s="868">
        <v>30</v>
      </c>
    </row>
    <row r="105" spans="1:6" s="864" customFormat="1" ht="36">
      <c r="A105" s="868">
        <v>45</v>
      </c>
      <c r="B105" s="3387" t="s">
        <v>708</v>
      </c>
      <c r="C105" s="868" t="s">
        <v>709</v>
      </c>
      <c r="D105" s="804" t="s">
        <v>710</v>
      </c>
      <c r="E105" s="881">
        <v>0.2</v>
      </c>
      <c r="F105" s="868">
        <v>30</v>
      </c>
    </row>
    <row r="106" spans="1:6" s="864" customFormat="1" ht="36">
      <c r="A106" s="868">
        <v>46</v>
      </c>
      <c r="B106" s="3387"/>
      <c r="C106" s="868" t="s">
        <v>711</v>
      </c>
      <c r="D106" s="804" t="s">
        <v>712</v>
      </c>
      <c r="E106" s="881">
        <v>0.2</v>
      </c>
      <c r="F106" s="868">
        <v>30</v>
      </c>
    </row>
    <row r="107" spans="1:6" s="864" customFormat="1" ht="36">
      <c r="A107" s="868">
        <v>47</v>
      </c>
      <c r="B107" s="3387" t="s">
        <v>713</v>
      </c>
      <c r="C107" s="868" t="s">
        <v>714</v>
      </c>
      <c r="D107" s="804" t="s">
        <v>715</v>
      </c>
      <c r="E107" s="881">
        <v>0.3</v>
      </c>
      <c r="F107" s="868">
        <v>50</v>
      </c>
    </row>
    <row r="108" spans="1:6" s="864" customFormat="1" ht="36">
      <c r="A108" s="868">
        <v>48</v>
      </c>
      <c r="B108" s="3387"/>
      <c r="C108" s="868" t="s">
        <v>716</v>
      </c>
      <c r="D108" s="804" t="s">
        <v>717</v>
      </c>
      <c r="E108" s="881">
        <v>0.2</v>
      </c>
      <c r="F108" s="868">
        <v>30</v>
      </c>
    </row>
    <row r="109" spans="1:6" s="864" customFormat="1" ht="36">
      <c r="A109" s="868">
        <v>49</v>
      </c>
      <c r="B109" s="868" t="s">
        <v>718</v>
      </c>
      <c r="C109" s="868" t="s">
        <v>719</v>
      </c>
      <c r="D109" s="804" t="s">
        <v>720</v>
      </c>
      <c r="E109" s="881">
        <v>0.2</v>
      </c>
      <c r="F109" s="868">
        <v>30</v>
      </c>
    </row>
    <row r="110" spans="1:6" s="864" customFormat="1" ht="36">
      <c r="A110" s="868">
        <v>50</v>
      </c>
      <c r="B110" s="868" t="s">
        <v>721</v>
      </c>
      <c r="C110" s="868" t="s">
        <v>722</v>
      </c>
      <c r="D110" s="804" t="s">
        <v>723</v>
      </c>
      <c r="E110" s="881">
        <v>0.2</v>
      </c>
      <c r="F110" s="868">
        <v>30</v>
      </c>
    </row>
    <row r="111" spans="1:6" s="864" customFormat="1" ht="36">
      <c r="A111" s="868">
        <v>51</v>
      </c>
      <c r="B111" s="3387" t="s">
        <v>724</v>
      </c>
      <c r="C111" s="868" t="s">
        <v>725</v>
      </c>
      <c r="D111" s="804" t="s">
        <v>726</v>
      </c>
      <c r="E111" s="881">
        <v>0.2</v>
      </c>
      <c r="F111" s="868">
        <v>30</v>
      </c>
    </row>
    <row r="112" spans="1:6" s="864" customFormat="1" ht="24">
      <c r="A112" s="868">
        <v>52</v>
      </c>
      <c r="B112" s="3387"/>
      <c r="C112" s="868" t="s">
        <v>727</v>
      </c>
      <c r="D112" s="804" t="s">
        <v>728</v>
      </c>
      <c r="E112" s="881">
        <v>0.2</v>
      </c>
      <c r="F112" s="868">
        <v>30</v>
      </c>
    </row>
    <row r="113" spans="1:6" s="864" customFormat="1" ht="24">
      <c r="A113" s="868">
        <v>53</v>
      </c>
      <c r="B113" s="3387"/>
      <c r="C113" s="868" t="s">
        <v>729</v>
      </c>
      <c r="D113" s="804" t="s">
        <v>730</v>
      </c>
      <c r="E113" s="881">
        <v>0.2</v>
      </c>
      <c r="F113" s="868">
        <v>30</v>
      </c>
    </row>
    <row r="114" spans="1:6" ht="36">
      <c r="A114" s="868">
        <v>54</v>
      </c>
      <c r="B114" s="868" t="s">
        <v>731</v>
      </c>
      <c r="C114" s="868" t="s">
        <v>732</v>
      </c>
      <c r="D114" s="804" t="s">
        <v>733</v>
      </c>
      <c r="E114" s="881">
        <v>0.2</v>
      </c>
      <c r="F114" s="868">
        <v>30</v>
      </c>
    </row>
    <row r="115" spans="1:6" ht="24">
      <c r="A115" s="868">
        <v>55</v>
      </c>
      <c r="B115" s="868" t="s">
        <v>734</v>
      </c>
      <c r="C115" s="868" t="s">
        <v>735</v>
      </c>
      <c r="D115" s="804" t="s">
        <v>736</v>
      </c>
      <c r="E115" s="881">
        <v>0.2</v>
      </c>
      <c r="F115" s="868">
        <v>30</v>
      </c>
    </row>
    <row r="116" spans="1:6" ht="24">
      <c r="A116" s="868">
        <v>56</v>
      </c>
      <c r="B116" s="3387" t="s">
        <v>737</v>
      </c>
      <c r="C116" s="868" t="s">
        <v>738</v>
      </c>
      <c r="D116" s="804" t="s">
        <v>739</v>
      </c>
      <c r="E116" s="881">
        <v>0.2</v>
      </c>
      <c r="F116" s="868">
        <v>30</v>
      </c>
    </row>
    <row r="117" spans="1:6" ht="36">
      <c r="A117" s="868">
        <v>57</v>
      </c>
      <c r="B117" s="3387"/>
      <c r="C117" s="868" t="s">
        <v>740</v>
      </c>
      <c r="D117" s="804" t="s">
        <v>741</v>
      </c>
      <c r="E117" s="881">
        <v>0.2</v>
      </c>
      <c r="F117" s="868">
        <v>30</v>
      </c>
    </row>
    <row r="118" spans="1:6" ht="36">
      <c r="A118" s="868">
        <v>58</v>
      </c>
      <c r="B118" s="868" t="s">
        <v>742</v>
      </c>
      <c r="C118" s="868" t="s">
        <v>743</v>
      </c>
      <c r="D118" s="804" t="s">
        <v>744</v>
      </c>
      <c r="E118" s="881">
        <v>0.2</v>
      </c>
      <c r="F118" s="868">
        <v>30</v>
      </c>
    </row>
    <row r="119" spans="1:6" ht="13.5">
      <c r="A119" s="868"/>
      <c r="B119" s="868"/>
      <c r="C119" s="868" t="s">
        <v>745</v>
      </c>
      <c r="D119" s="868"/>
      <c r="E119" s="881" t="s">
        <v>555</v>
      </c>
      <c r="F119" s="86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47" customWidth="1"/>
    <col min="2" max="2" width="37.25" style="1947" customWidth="1"/>
    <col min="3" max="3" width="11.375" style="1947" customWidth="1"/>
    <col min="4" max="4" width="31.75" style="1947" customWidth="1"/>
    <col min="5" max="5" width="0.5" style="1947" customWidth="1"/>
    <col min="6" max="7" width="13" style="1947" customWidth="1"/>
    <col min="8" max="16384" width="9" style="1947"/>
  </cols>
  <sheetData>
    <row r="1" spans="1:5" ht="18.75">
      <c r="A1" s="1945" t="s">
        <v>1621</v>
      </c>
      <c r="B1" s="1946"/>
      <c r="C1" s="1946"/>
      <c r="D1" s="1946"/>
      <c r="E1" s="1946"/>
    </row>
    <row r="2" spans="1:5" ht="78" customHeight="1">
      <c r="A2" s="30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3"/>
      <c r="C2" s="3083"/>
      <c r="D2" s="3083"/>
      <c r="E2" s="3083"/>
    </row>
    <row r="3" spans="1:5" ht="18">
      <c r="A3" s="3084" t="str">
        <f>IF(项目基本情况!B9="房地产市场价值","估价结果一览表（市场价值不需“结果表-1”）","估价结果一览表")</f>
        <v>估价结果一览表</v>
      </c>
      <c r="B3" s="3084"/>
      <c r="C3" s="3084"/>
      <c r="D3" s="3084"/>
      <c r="E3" s="3084"/>
    </row>
    <row r="4" spans="1:5" ht="19.5" thickBot="1">
      <c r="A4" s="1948"/>
      <c r="B4" s="3082" t="s">
        <v>1630</v>
      </c>
      <c r="C4" s="3082"/>
      <c r="D4" s="3082"/>
      <c r="E4" s="1948"/>
    </row>
    <row r="5" spans="1:5" ht="16.5" thickTop="1">
      <c r="A5" s="1946"/>
      <c r="B5" s="3080" t="s">
        <v>1622</v>
      </c>
      <c r="C5" s="1949" t="s">
        <v>1623</v>
      </c>
      <c r="D5" s="1028">
        <f ca="1">结果表!H101</f>
        <v>15703</v>
      </c>
      <c r="E5" s="1946"/>
    </row>
    <row r="6" spans="1:5" ht="15.75">
      <c r="A6" s="1946"/>
      <c r="B6" s="3080"/>
      <c r="C6" s="1949" t="s">
        <v>1624</v>
      </c>
      <c r="D6" s="1028" t="str">
        <f ca="1">NUMBERSTRING(INT(D5*10000),2)&amp;"元整"</f>
        <v>壹亿伍仟柒佰零叁万元整</v>
      </c>
      <c r="E6" s="1946"/>
    </row>
    <row r="7" spans="1:5" ht="15.75">
      <c r="A7" s="1946"/>
      <c r="B7" s="3085"/>
      <c r="C7" s="1950" t="s">
        <v>1625</v>
      </c>
      <c r="D7" s="1029">
        <f ca="1">结果表!H102</f>
        <v>7687</v>
      </c>
      <c r="E7" s="1946"/>
    </row>
    <row r="8" spans="1:5" ht="15.75">
      <c r="A8" s="1946"/>
      <c r="B8" s="3086" t="str">
        <f>结果表!E103</f>
        <v>2.估价师知悉的法定优先受偿款</v>
      </c>
      <c r="C8" s="1951" t="s">
        <v>1626</v>
      </c>
      <c r="D8" s="1029">
        <f>结果表!H103</f>
        <v>0</v>
      </c>
      <c r="E8" s="1946"/>
    </row>
    <row r="9" spans="1:5" ht="15.75">
      <c r="A9" s="1946"/>
      <c r="B9" s="3088"/>
      <c r="C9" s="1949" t="s">
        <v>1624</v>
      </c>
      <c r="D9" s="1028" t="str">
        <f>NUMBERSTRING(INT(D8*10000),2)&amp;"元整"</f>
        <v>零元整</v>
      </c>
      <c r="E9" s="1946"/>
    </row>
    <row r="10" spans="1:5" ht="15">
      <c r="A10" s="1946"/>
      <c r="B10" s="1952" t="s">
        <v>1629</v>
      </c>
      <c r="C10" s="1953" t="s">
        <v>1627</v>
      </c>
      <c r="D10" s="1030">
        <f>结果表!H104</f>
        <v>0</v>
      </c>
      <c r="E10" s="1946"/>
    </row>
    <row r="11" spans="1:5" ht="15">
      <c r="A11" s="1946"/>
      <c r="B11" s="1952" t="s">
        <v>1631</v>
      </c>
      <c r="C11" s="1953" t="s">
        <v>1632</v>
      </c>
      <c r="D11" s="1030">
        <f>结果表!H105</f>
        <v>0</v>
      </c>
      <c r="E11" s="1946"/>
    </row>
    <row r="12" spans="1:5" ht="15">
      <c r="A12" s="1946"/>
      <c r="B12" s="1952" t="s">
        <v>1633</v>
      </c>
      <c r="C12" s="1953" t="s">
        <v>1632</v>
      </c>
      <c r="D12" s="1030">
        <f>结果表!H106</f>
        <v>0</v>
      </c>
      <c r="E12" s="1946"/>
    </row>
    <row r="13" spans="1:5" ht="15.75">
      <c r="A13" s="1946"/>
      <c r="B13" s="3079" t="str">
        <f>结果表!E107</f>
        <v>3.房地产抵押价值</v>
      </c>
      <c r="C13" s="1954" t="s">
        <v>1623</v>
      </c>
      <c r="D13" s="1031">
        <f ca="1">结果表!H107</f>
        <v>15703</v>
      </c>
      <c r="E13" s="1946"/>
    </row>
    <row r="14" spans="1:5" ht="15.75">
      <c r="A14" s="1946"/>
      <c r="B14" s="3080"/>
      <c r="C14" s="1949" t="s">
        <v>1624</v>
      </c>
      <c r="D14" s="1028" t="str">
        <f ca="1">NUMBERSTRING(INT(D13*10000),2)&amp;"元整"</f>
        <v>壹亿伍仟柒佰零叁万元整</v>
      </c>
      <c r="E14" s="1946"/>
    </row>
    <row r="15" spans="1:5" ht="15">
      <c r="A15" s="1946"/>
      <c r="B15" s="3085"/>
      <c r="C15" s="1950" t="s">
        <v>1634</v>
      </c>
      <c r="D15" s="1040">
        <f ca="1">结果表!H108</f>
        <v>7687</v>
      </c>
      <c r="E15" s="1946"/>
    </row>
    <row r="16" spans="1:5" ht="15">
      <c r="A16" s="1946"/>
      <c r="B16" s="3086" t="str">
        <f>结果表!E109</f>
        <v>——</v>
      </c>
      <c r="C16" s="1954" t="s">
        <v>1635</v>
      </c>
      <c r="D16" s="1955" t="str">
        <f>结果表!H109</f>
        <v>——</v>
      </c>
      <c r="E16" s="1946"/>
    </row>
    <row r="17" spans="1:5" ht="15.75">
      <c r="A17" s="1946"/>
      <c r="B17" s="3087"/>
      <c r="C17" s="1949" t="s">
        <v>1636</v>
      </c>
      <c r="D17" s="1028" t="e">
        <f>NUMBERSTRING(INT(D16*10000),2)&amp;"元整"</f>
        <v>#VALUE!</v>
      </c>
      <c r="E17" s="1946"/>
    </row>
    <row r="18" spans="1:5" ht="15">
      <c r="A18" s="1946"/>
      <c r="B18" s="3088"/>
      <c r="C18" s="1950" t="s">
        <v>1625</v>
      </c>
      <c r="D18" s="1040" t="str">
        <f>结果表!H110</f>
        <v>——</v>
      </c>
      <c r="E18" s="1946"/>
    </row>
    <row r="19" spans="1:5" ht="15.75">
      <c r="A19" s="1946"/>
      <c r="B19" s="3079" t="str">
        <f>结果表!E111</f>
        <v>——</v>
      </c>
      <c r="C19" s="1954" t="s">
        <v>1623</v>
      </c>
      <c r="D19" s="1029" t="str">
        <f>结果表!H111</f>
        <v>——</v>
      </c>
      <c r="E19" s="1946"/>
    </row>
    <row r="20" spans="1:5" ht="15.75">
      <c r="A20" s="1946"/>
      <c r="B20" s="3080"/>
      <c r="C20" s="1949" t="s">
        <v>1636</v>
      </c>
      <c r="D20" s="1028" t="e">
        <f>NUMBERSTRING(INT(D19*10000),2)&amp;"元整"</f>
        <v>#VALUE!</v>
      </c>
      <c r="E20" s="1946"/>
    </row>
    <row r="21" spans="1:5" ht="15.75" thickBot="1">
      <c r="A21" s="1946"/>
      <c r="B21" s="3081"/>
      <c r="C21" s="1956" t="s">
        <v>1634</v>
      </c>
      <c r="D21" s="1041" t="str">
        <f>结果表!H112</f>
        <v>——</v>
      </c>
      <c r="E21" s="1946"/>
    </row>
    <row r="22" spans="1:5" ht="15" thickTop="1">
      <c r="A22" s="1946"/>
      <c r="B22" s="1957" t="s">
        <v>1637</v>
      </c>
      <c r="C22" s="1946"/>
      <c r="D22" s="1946"/>
      <c r="E22" s="1946"/>
    </row>
    <row r="23" spans="1:5">
      <c r="A23" s="1946"/>
      <c r="B23" s="1946"/>
      <c r="C23" s="1946"/>
      <c r="D23" s="1946"/>
      <c r="E23" s="1946"/>
    </row>
    <row r="24" spans="1:5" ht="18.75">
      <c r="A24" s="1958"/>
      <c r="B24" s="1959" t="s">
        <v>1628</v>
      </c>
      <c r="C24" s="1958"/>
      <c r="D24" s="1958"/>
      <c r="E24" s="1958"/>
    </row>
    <row r="25" spans="1:5">
      <c r="A25" s="1958"/>
      <c r="B25" s="1958"/>
      <c r="C25" s="1958"/>
      <c r="D25" s="1958"/>
      <c r="E25" s="1958"/>
    </row>
    <row r="26" spans="1:5">
      <c r="A26" s="1958"/>
      <c r="B26" s="1958"/>
      <c r="C26" s="1958"/>
      <c r="D26" s="1958"/>
      <c r="E26" s="1958"/>
    </row>
    <row r="27" spans="1:5">
      <c r="A27" s="1958"/>
      <c r="B27" s="1958"/>
      <c r="C27" s="1958"/>
      <c r="D27" s="1958"/>
      <c r="E27" s="1958"/>
    </row>
    <row r="28" spans="1:5">
      <c r="A28" s="1958"/>
      <c r="B28" s="1958"/>
      <c r="C28" s="1958"/>
      <c r="D28" s="1958"/>
      <c r="E28" s="1958"/>
    </row>
    <row r="29" spans="1:5">
      <c r="A29" s="1958"/>
      <c r="B29" s="1958"/>
      <c r="C29" s="1958"/>
      <c r="D29" s="1958"/>
      <c r="E29" s="1958"/>
    </row>
    <row r="30" spans="1:5">
      <c r="A30" s="1958"/>
      <c r="B30" s="1958"/>
      <c r="C30" s="1958"/>
      <c r="D30" s="1958"/>
      <c r="E30" s="1958"/>
    </row>
    <row r="31" spans="1:5">
      <c r="A31" s="1958"/>
      <c r="B31" s="1958"/>
      <c r="C31" s="1958"/>
      <c r="D31" s="1958"/>
      <c r="E31" s="1958"/>
    </row>
    <row r="32" spans="1:5">
      <c r="A32" s="1958"/>
      <c r="B32" s="1958"/>
      <c r="C32" s="1958"/>
      <c r="D32" s="1958"/>
      <c r="E32" s="1958"/>
    </row>
    <row r="33" spans="1:5">
      <c r="A33" s="1958"/>
      <c r="B33" s="1958"/>
      <c r="C33" s="1958"/>
      <c r="D33" s="1958"/>
      <c r="E33" s="1958"/>
    </row>
    <row r="34" spans="1:5">
      <c r="A34" s="1958"/>
      <c r="B34" s="1958"/>
      <c r="C34" s="1958"/>
      <c r="D34" s="1958"/>
      <c r="E34" s="1958"/>
    </row>
    <row r="35" spans="1:5">
      <c r="A35" s="1958"/>
      <c r="B35" s="1958"/>
      <c r="C35" s="1958"/>
      <c r="D35" s="1958"/>
      <c r="E35" s="1958"/>
    </row>
    <row r="36" spans="1:5">
      <c r="A36" s="1958"/>
      <c r="B36" s="1958"/>
      <c r="C36" s="1958"/>
      <c r="D36" s="1958"/>
      <c r="E36" s="1958"/>
    </row>
    <row r="37" spans="1:5">
      <c r="A37" s="1958"/>
      <c r="B37" s="1958"/>
      <c r="C37" s="1958"/>
      <c r="D37" s="1958"/>
      <c r="E37" s="1958"/>
    </row>
    <row r="38" spans="1:5">
      <c r="A38" s="1958"/>
      <c r="B38" s="1958"/>
      <c r="C38" s="1958"/>
      <c r="D38" s="1958"/>
      <c r="E38" s="1958"/>
    </row>
    <row r="39" spans="1:5">
      <c r="A39" s="1958"/>
      <c r="B39" s="1958"/>
      <c r="C39" s="1958"/>
      <c r="D39" s="1958"/>
      <c r="E39" s="1958"/>
    </row>
    <row r="40" spans="1:5">
      <c r="A40" s="1958"/>
      <c r="B40" s="1958"/>
      <c r="C40" s="1958"/>
      <c r="D40" s="1958"/>
      <c r="E40" s="1958"/>
    </row>
    <row r="41" spans="1:5">
      <c r="A41" s="1958"/>
      <c r="B41" s="1958"/>
      <c r="C41" s="1958"/>
      <c r="D41" s="1958"/>
      <c r="E41" s="1958"/>
    </row>
    <row r="42" spans="1:5">
      <c r="A42" s="1958"/>
      <c r="B42" s="1958"/>
      <c r="C42" s="1958"/>
      <c r="D42" s="1958"/>
      <c r="E42" s="19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1"/>
    <col min="2" max="16384" width="9" style="884"/>
  </cols>
  <sheetData>
    <row r="1" spans="1:14" ht="14.25">
      <c r="A1" s="882" t="s">
        <v>747</v>
      </c>
      <c r="B1" s="883"/>
      <c r="C1" s="883"/>
      <c r="D1" s="883"/>
      <c r="E1" s="883"/>
      <c r="F1" s="883"/>
      <c r="G1" s="883"/>
      <c r="H1" s="883"/>
      <c r="I1" s="883"/>
      <c r="J1" s="883"/>
      <c r="K1" s="883"/>
      <c r="L1" s="883"/>
      <c r="M1" s="883"/>
      <c r="N1" s="883"/>
    </row>
    <row r="2" spans="1:14">
      <c r="A2" s="885" t="s">
        <v>746</v>
      </c>
      <c r="B2" s="886" t="s">
        <v>157</v>
      </c>
      <c r="C2" s="886" t="s">
        <v>158</v>
      </c>
      <c r="D2" s="886" t="s">
        <v>159</v>
      </c>
      <c r="E2" s="886" t="s">
        <v>160</v>
      </c>
      <c r="F2" s="886" t="s">
        <v>161</v>
      </c>
      <c r="G2" s="886" t="s">
        <v>162</v>
      </c>
      <c r="H2" s="887" t="s">
        <v>163</v>
      </c>
      <c r="I2" s="887" t="s">
        <v>164</v>
      </c>
      <c r="J2" s="888" t="s">
        <v>165</v>
      </c>
      <c r="K2" s="888" t="s">
        <v>166</v>
      </c>
      <c r="L2" s="888" t="s">
        <v>167</v>
      </c>
      <c r="M2" s="888" t="s">
        <v>168</v>
      </c>
    </row>
    <row r="3" spans="1:14">
      <c r="A3" s="885">
        <v>0.1</v>
      </c>
      <c r="B3" s="892">
        <v>15.052</v>
      </c>
      <c r="C3" s="892">
        <v>15.052</v>
      </c>
      <c r="D3" s="892">
        <v>14.263</v>
      </c>
      <c r="E3" s="892">
        <v>14.263</v>
      </c>
      <c r="F3" s="892">
        <v>14.263</v>
      </c>
      <c r="G3" s="892">
        <v>14.263</v>
      </c>
      <c r="H3" s="892">
        <v>14.263</v>
      </c>
      <c r="I3" s="892">
        <v>14.097</v>
      </c>
      <c r="J3" s="892">
        <v>14.097</v>
      </c>
      <c r="K3" s="892">
        <v>14.097</v>
      </c>
      <c r="L3" s="892">
        <v>14.097</v>
      </c>
      <c r="M3" s="892">
        <v>14.097</v>
      </c>
      <c r="N3" s="893"/>
    </row>
    <row r="4" spans="1:14">
      <c r="A4" s="885">
        <v>0.2</v>
      </c>
      <c r="B4" s="892">
        <v>7.5259999999999998</v>
      </c>
      <c r="C4" s="892">
        <v>7.5259999999999998</v>
      </c>
      <c r="D4" s="892">
        <v>7.1315</v>
      </c>
      <c r="E4" s="892">
        <v>7.1315</v>
      </c>
      <c r="F4" s="892">
        <v>7.1315</v>
      </c>
      <c r="G4" s="892">
        <v>7.1315</v>
      </c>
      <c r="H4" s="892">
        <v>7.1315</v>
      </c>
      <c r="I4" s="892">
        <v>7.0484999999999998</v>
      </c>
      <c r="J4" s="892">
        <v>7.0484999999999998</v>
      </c>
      <c r="K4" s="892">
        <v>7.0484999999999998</v>
      </c>
      <c r="L4" s="892">
        <v>7.0484999999999998</v>
      </c>
      <c r="M4" s="892">
        <v>7.0484999999999998</v>
      </c>
    </row>
    <row r="5" spans="1:14">
      <c r="A5" s="885">
        <v>0.3</v>
      </c>
      <c r="B5" s="892">
        <v>5.0172999999999996</v>
      </c>
      <c r="C5" s="892">
        <v>5.0172999999999996</v>
      </c>
      <c r="D5" s="892">
        <v>4.7542999999999997</v>
      </c>
      <c r="E5" s="892">
        <v>4.7542999999999997</v>
      </c>
      <c r="F5" s="892">
        <v>4.7542999999999997</v>
      </c>
      <c r="G5" s="892">
        <v>4.7542999999999997</v>
      </c>
      <c r="H5" s="892">
        <v>4.7542999999999997</v>
      </c>
      <c r="I5" s="892">
        <v>4.6989999999999998</v>
      </c>
      <c r="J5" s="892">
        <v>4.6989999999999998</v>
      </c>
      <c r="K5" s="892">
        <v>4.6989999999999998</v>
      </c>
      <c r="L5" s="892">
        <v>4.6989999999999998</v>
      </c>
      <c r="M5" s="892">
        <v>4.6989999999999998</v>
      </c>
    </row>
    <row r="6" spans="1:14">
      <c r="A6" s="885">
        <v>0.4</v>
      </c>
      <c r="B6" s="892">
        <v>3.7629999999999999</v>
      </c>
      <c r="C6" s="892">
        <v>3.7629999999999999</v>
      </c>
      <c r="D6" s="892">
        <v>3.5657999999999999</v>
      </c>
      <c r="E6" s="892">
        <v>3.5657999999999999</v>
      </c>
      <c r="F6" s="892">
        <v>3.5657999999999999</v>
      </c>
      <c r="G6" s="892">
        <v>3.5657999999999999</v>
      </c>
      <c r="H6" s="892">
        <v>3.5657999999999999</v>
      </c>
      <c r="I6" s="892">
        <v>3.5243000000000002</v>
      </c>
      <c r="J6" s="892">
        <v>3.5243000000000002</v>
      </c>
      <c r="K6" s="892">
        <v>3.5243000000000002</v>
      </c>
      <c r="L6" s="892">
        <v>3.5243000000000002</v>
      </c>
      <c r="M6" s="892">
        <v>3.5243000000000002</v>
      </c>
    </row>
    <row r="7" spans="1:14">
      <c r="A7" s="885">
        <v>0.5</v>
      </c>
      <c r="B7" s="892">
        <v>3.0104000000000002</v>
      </c>
      <c r="C7" s="892">
        <v>3.0104000000000002</v>
      </c>
      <c r="D7" s="892">
        <v>2.8525999999999998</v>
      </c>
      <c r="E7" s="892">
        <v>2.8525999999999998</v>
      </c>
      <c r="F7" s="892">
        <v>2.8525999999999998</v>
      </c>
      <c r="G7" s="892">
        <v>2.8525999999999998</v>
      </c>
      <c r="H7" s="892">
        <v>2.8525999999999998</v>
      </c>
      <c r="I7" s="892">
        <v>2.8193999999999999</v>
      </c>
      <c r="J7" s="892">
        <v>2.8193999999999999</v>
      </c>
      <c r="K7" s="892">
        <v>2.8193999999999999</v>
      </c>
      <c r="L7" s="892">
        <v>2.8193999999999999</v>
      </c>
      <c r="M7" s="892">
        <v>2.8193999999999999</v>
      </c>
    </row>
    <row r="8" spans="1:14">
      <c r="A8" s="885">
        <v>0.6</v>
      </c>
      <c r="B8" s="892">
        <v>2.5087000000000002</v>
      </c>
      <c r="C8" s="892">
        <v>2.5087000000000002</v>
      </c>
      <c r="D8" s="892">
        <v>2.3772000000000002</v>
      </c>
      <c r="E8" s="892">
        <v>2.3772000000000002</v>
      </c>
      <c r="F8" s="892">
        <v>2.3772000000000002</v>
      </c>
      <c r="G8" s="892">
        <v>2.3772000000000002</v>
      </c>
      <c r="H8" s="892">
        <v>2.3772000000000002</v>
      </c>
      <c r="I8" s="892">
        <v>2.3494999999999999</v>
      </c>
      <c r="J8" s="892">
        <v>2.3494999999999999</v>
      </c>
      <c r="K8" s="892">
        <v>2.3494999999999999</v>
      </c>
      <c r="L8" s="892">
        <v>2.3494999999999999</v>
      </c>
      <c r="M8" s="892">
        <v>2.3494999999999999</v>
      </c>
    </row>
    <row r="9" spans="1:14">
      <c r="A9" s="885">
        <v>0.7</v>
      </c>
      <c r="B9" s="892">
        <v>2.1503000000000001</v>
      </c>
      <c r="C9" s="892">
        <v>2.1503000000000001</v>
      </c>
      <c r="D9" s="892">
        <v>2.0375999999999999</v>
      </c>
      <c r="E9" s="892">
        <v>2.0375999999999999</v>
      </c>
      <c r="F9" s="892">
        <v>2.0375999999999999</v>
      </c>
      <c r="G9" s="892">
        <v>2.0375999999999999</v>
      </c>
      <c r="H9" s="892">
        <v>2.0375999999999999</v>
      </c>
      <c r="I9" s="892">
        <v>2.0139</v>
      </c>
      <c r="J9" s="892">
        <v>2.0139</v>
      </c>
      <c r="K9" s="892">
        <v>2.0139</v>
      </c>
      <c r="L9" s="892">
        <v>2.0139</v>
      </c>
      <c r="M9" s="892">
        <v>2.0139</v>
      </c>
    </row>
    <row r="10" spans="1:14">
      <c r="A10" s="885">
        <v>0.8</v>
      </c>
      <c r="B10" s="892">
        <v>1.8815</v>
      </c>
      <c r="C10" s="892">
        <v>1.8815</v>
      </c>
      <c r="D10" s="892">
        <v>1.7828999999999999</v>
      </c>
      <c r="E10" s="892">
        <v>1.7828999999999999</v>
      </c>
      <c r="F10" s="892">
        <v>1.7828999999999999</v>
      </c>
      <c r="G10" s="892">
        <v>1.7828999999999999</v>
      </c>
      <c r="H10" s="892">
        <v>1.7828999999999999</v>
      </c>
      <c r="I10" s="892">
        <v>1.7621</v>
      </c>
      <c r="J10" s="892">
        <v>1.7621</v>
      </c>
      <c r="K10" s="892">
        <v>1.7621</v>
      </c>
      <c r="L10" s="892">
        <v>1.7621</v>
      </c>
      <c r="M10" s="892">
        <v>1.7621</v>
      </c>
    </row>
    <row r="11" spans="1:14">
      <c r="A11" s="885">
        <v>0.9</v>
      </c>
      <c r="B11" s="892">
        <v>1.6724000000000001</v>
      </c>
      <c r="C11" s="892">
        <v>1.6724000000000001</v>
      </c>
      <c r="D11" s="892">
        <v>1.5848</v>
      </c>
      <c r="E11" s="892">
        <v>1.5848</v>
      </c>
      <c r="F11" s="892">
        <v>1.5848</v>
      </c>
      <c r="G11" s="892">
        <v>1.5848</v>
      </c>
      <c r="H11" s="892">
        <v>1.5848</v>
      </c>
      <c r="I11" s="892">
        <v>1.5663</v>
      </c>
      <c r="J11" s="892">
        <v>1.5663</v>
      </c>
      <c r="K11" s="892">
        <v>1.5663</v>
      </c>
      <c r="L11" s="892">
        <v>1.5663</v>
      </c>
      <c r="M11" s="892">
        <v>1.5663</v>
      </c>
    </row>
    <row r="12" spans="1:14">
      <c r="A12" s="885">
        <v>1</v>
      </c>
      <c r="B12" s="892">
        <v>1.5052000000000001</v>
      </c>
      <c r="C12" s="892">
        <v>1.5052000000000001</v>
      </c>
      <c r="D12" s="892">
        <v>1.4262999999999999</v>
      </c>
      <c r="E12" s="892">
        <v>1.4262999999999999</v>
      </c>
      <c r="F12" s="892">
        <v>1.4262999999999999</v>
      </c>
      <c r="G12" s="892">
        <v>1.4262999999999999</v>
      </c>
      <c r="H12" s="892">
        <v>1.4262999999999999</v>
      </c>
      <c r="I12" s="892">
        <v>1.4097</v>
      </c>
      <c r="J12" s="892">
        <v>1.4097</v>
      </c>
      <c r="K12" s="892">
        <v>1.4097</v>
      </c>
      <c r="L12" s="892">
        <v>1.4097</v>
      </c>
      <c r="M12" s="892">
        <v>1.4097</v>
      </c>
    </row>
    <row r="13" spans="1:14">
      <c r="A13" s="885">
        <v>1.1000000000000001</v>
      </c>
      <c r="B13" s="892">
        <v>1.4509000000000001</v>
      </c>
      <c r="C13" s="892">
        <v>1.4509000000000001</v>
      </c>
      <c r="D13" s="892">
        <v>1.3697999999999999</v>
      </c>
      <c r="E13" s="892">
        <v>1.3697999999999999</v>
      </c>
      <c r="F13" s="892">
        <v>1.3697999999999999</v>
      </c>
      <c r="G13" s="892">
        <v>1.3697999999999999</v>
      </c>
      <c r="H13" s="892">
        <v>1.3697999999999999</v>
      </c>
      <c r="I13" s="892">
        <v>1.343</v>
      </c>
      <c r="J13" s="892">
        <v>1.343</v>
      </c>
      <c r="K13" s="892">
        <v>1.343</v>
      </c>
      <c r="L13" s="892">
        <v>1.343</v>
      </c>
      <c r="M13" s="892">
        <v>1.343</v>
      </c>
    </row>
    <row r="14" spans="1:14">
      <c r="A14" s="885">
        <v>1.2</v>
      </c>
      <c r="B14" s="892">
        <v>1.4035</v>
      </c>
      <c r="C14" s="892">
        <v>1.4035</v>
      </c>
      <c r="D14" s="892">
        <v>1.3205</v>
      </c>
      <c r="E14" s="892">
        <v>1.3205</v>
      </c>
      <c r="F14" s="892">
        <v>1.3205</v>
      </c>
      <c r="G14" s="892">
        <v>1.3205</v>
      </c>
      <c r="H14" s="892">
        <v>1.3205</v>
      </c>
      <c r="I14" s="892">
        <v>1.2845</v>
      </c>
      <c r="J14" s="892">
        <v>1.2845</v>
      </c>
      <c r="K14" s="892">
        <v>1.2845</v>
      </c>
      <c r="L14" s="892">
        <v>1.2845</v>
      </c>
      <c r="M14" s="892">
        <v>1.2845</v>
      </c>
    </row>
    <row r="15" spans="1:14">
      <c r="A15" s="885">
        <v>1.3</v>
      </c>
      <c r="B15" s="892">
        <v>1.3622000000000001</v>
      </c>
      <c r="C15" s="892">
        <v>1.3622000000000001</v>
      </c>
      <c r="D15" s="892">
        <v>1.2775000000000001</v>
      </c>
      <c r="E15" s="892">
        <v>1.2775000000000001</v>
      </c>
      <c r="F15" s="892">
        <v>1.2775000000000001</v>
      </c>
      <c r="G15" s="892">
        <v>1.2775000000000001</v>
      </c>
      <c r="H15" s="892">
        <v>1.2775000000000001</v>
      </c>
      <c r="I15" s="892">
        <v>1.2332000000000001</v>
      </c>
      <c r="J15" s="892">
        <v>1.2332000000000001</v>
      </c>
      <c r="K15" s="892">
        <v>1.2332000000000001</v>
      </c>
      <c r="L15" s="892">
        <v>1.2332000000000001</v>
      </c>
      <c r="M15" s="892">
        <v>1.2332000000000001</v>
      </c>
    </row>
    <row r="16" spans="1:14">
      <c r="A16" s="885">
        <v>1.4</v>
      </c>
      <c r="B16" s="892">
        <v>1.3262</v>
      </c>
      <c r="C16" s="892">
        <v>1.3262</v>
      </c>
      <c r="D16" s="892">
        <v>1.2402</v>
      </c>
      <c r="E16" s="892">
        <v>1.2402</v>
      </c>
      <c r="F16" s="892">
        <v>1.2402</v>
      </c>
      <c r="G16" s="892">
        <v>1.2402</v>
      </c>
      <c r="H16" s="892">
        <v>1.2402</v>
      </c>
      <c r="I16" s="892">
        <v>1.1881999999999999</v>
      </c>
      <c r="J16" s="892">
        <v>1.1881999999999999</v>
      </c>
      <c r="K16" s="892">
        <v>1.1881999999999999</v>
      </c>
      <c r="L16" s="892">
        <v>1.1881999999999999</v>
      </c>
      <c r="M16" s="892">
        <v>1.1881999999999999</v>
      </c>
      <c r="N16" s="893"/>
    </row>
    <row r="17" spans="1:14">
      <c r="A17" s="885">
        <v>1.5</v>
      </c>
      <c r="B17" s="892">
        <v>1.2948</v>
      </c>
      <c r="C17" s="892">
        <v>1.2948</v>
      </c>
      <c r="D17" s="892">
        <v>1.2075</v>
      </c>
      <c r="E17" s="892">
        <v>1.2075</v>
      </c>
      <c r="F17" s="892">
        <v>1.2075</v>
      </c>
      <c r="G17" s="892">
        <v>1.2075</v>
      </c>
      <c r="H17" s="892">
        <v>1.2075</v>
      </c>
      <c r="I17" s="892">
        <v>1.1486000000000001</v>
      </c>
      <c r="J17" s="892">
        <v>1.1486000000000001</v>
      </c>
      <c r="K17" s="892">
        <v>1.1486000000000001</v>
      </c>
      <c r="L17" s="892">
        <v>1.1486000000000001</v>
      </c>
      <c r="M17" s="892">
        <v>1.1486000000000001</v>
      </c>
      <c r="N17" s="893"/>
    </row>
    <row r="18" spans="1:14">
      <c r="A18" s="885">
        <v>1.6</v>
      </c>
      <c r="B18" s="892">
        <v>1.2673000000000001</v>
      </c>
      <c r="C18" s="892">
        <v>1.2673000000000001</v>
      </c>
      <c r="D18" s="892">
        <v>1.1789000000000001</v>
      </c>
      <c r="E18" s="892">
        <v>1.1789000000000001</v>
      </c>
      <c r="F18" s="892">
        <v>1.1789000000000001</v>
      </c>
      <c r="G18" s="892">
        <v>1.1789000000000001</v>
      </c>
      <c r="H18" s="892">
        <v>1.1789000000000001</v>
      </c>
      <c r="I18" s="892">
        <v>1.1134999999999999</v>
      </c>
      <c r="J18" s="892">
        <v>1.1134999999999999</v>
      </c>
      <c r="K18" s="892">
        <v>1.1134999999999999</v>
      </c>
      <c r="L18" s="892">
        <v>1.1134999999999999</v>
      </c>
      <c r="M18" s="892">
        <v>1.1134999999999999</v>
      </c>
    </row>
    <row r="19" spans="1:14">
      <c r="A19" s="885">
        <v>1.7</v>
      </c>
      <c r="B19" s="892">
        <v>1.2428999999999999</v>
      </c>
      <c r="C19" s="892">
        <v>1.2428999999999999</v>
      </c>
      <c r="D19" s="892">
        <v>1.1534</v>
      </c>
      <c r="E19" s="892">
        <v>1.1534</v>
      </c>
      <c r="F19" s="892">
        <v>1.1534</v>
      </c>
      <c r="G19" s="892">
        <v>1.1534</v>
      </c>
      <c r="H19" s="892">
        <v>1.1534</v>
      </c>
      <c r="I19" s="892">
        <v>1.0820000000000001</v>
      </c>
      <c r="J19" s="892">
        <v>1.0820000000000001</v>
      </c>
      <c r="K19" s="892">
        <v>1.0820000000000001</v>
      </c>
      <c r="L19" s="892">
        <v>1.0820000000000001</v>
      </c>
      <c r="M19" s="892">
        <v>1.0820000000000001</v>
      </c>
    </row>
    <row r="20" spans="1:14">
      <c r="A20" s="885">
        <v>1.8</v>
      </c>
      <c r="B20" s="892">
        <v>1.2206999999999999</v>
      </c>
      <c r="C20" s="892">
        <v>1.2206999999999999</v>
      </c>
      <c r="D20" s="892">
        <v>1.1304000000000001</v>
      </c>
      <c r="E20" s="892">
        <v>1.1304000000000001</v>
      </c>
      <c r="F20" s="892">
        <v>1.1304000000000001</v>
      </c>
      <c r="G20" s="892">
        <v>1.1304000000000001</v>
      </c>
      <c r="H20" s="892">
        <v>1.1304000000000001</v>
      </c>
      <c r="I20" s="892">
        <v>1.0531999999999999</v>
      </c>
      <c r="J20" s="892">
        <v>1.0531999999999999</v>
      </c>
      <c r="K20" s="892">
        <v>1.0531999999999999</v>
      </c>
      <c r="L20" s="892">
        <v>1.0531999999999999</v>
      </c>
      <c r="M20" s="892">
        <v>1.0531999999999999</v>
      </c>
    </row>
    <row r="21" spans="1:14">
      <c r="A21" s="885">
        <v>1.9</v>
      </c>
      <c r="B21" s="892">
        <v>1.2</v>
      </c>
      <c r="C21" s="892">
        <v>1.2</v>
      </c>
      <c r="D21" s="892">
        <v>1.1089</v>
      </c>
      <c r="E21" s="892">
        <v>1.1089</v>
      </c>
      <c r="F21" s="892">
        <v>1.1089</v>
      </c>
      <c r="G21" s="892">
        <v>1.1089</v>
      </c>
      <c r="H21" s="892">
        <v>1.1089</v>
      </c>
      <c r="I21" s="892">
        <v>1.0261</v>
      </c>
      <c r="J21" s="892">
        <v>1.0261</v>
      </c>
      <c r="K21" s="892">
        <v>1.0261</v>
      </c>
      <c r="L21" s="892">
        <v>1.0261</v>
      </c>
      <c r="M21" s="892">
        <v>1.0261</v>
      </c>
    </row>
    <row r="22" spans="1:14">
      <c r="A22" s="885">
        <v>2</v>
      </c>
      <c r="B22" s="892">
        <v>1.1800999999999999</v>
      </c>
      <c r="C22" s="892">
        <v>1.1800999999999999</v>
      </c>
      <c r="D22" s="892">
        <v>1.0883</v>
      </c>
      <c r="E22" s="892">
        <v>1.0883</v>
      </c>
      <c r="F22" s="892">
        <v>1.0883</v>
      </c>
      <c r="G22" s="892">
        <v>1.0883</v>
      </c>
      <c r="H22" s="892">
        <v>1.0883</v>
      </c>
      <c r="I22" s="892">
        <v>1</v>
      </c>
      <c r="J22" s="892">
        <v>1</v>
      </c>
      <c r="K22" s="892">
        <v>1</v>
      </c>
      <c r="L22" s="892">
        <v>1</v>
      </c>
      <c r="M22" s="892">
        <v>1</v>
      </c>
    </row>
    <row r="23" spans="1:14">
      <c r="A23" s="900">
        <v>2.1</v>
      </c>
      <c r="B23" s="892">
        <v>1.1616</v>
      </c>
      <c r="C23" s="892">
        <v>1.1616</v>
      </c>
      <c r="D23" s="892">
        <v>1.0685</v>
      </c>
      <c r="E23" s="892">
        <v>1.0685</v>
      </c>
      <c r="F23" s="892">
        <v>1.0685</v>
      </c>
      <c r="G23" s="892">
        <v>1.0685</v>
      </c>
      <c r="H23" s="892">
        <v>1.0685</v>
      </c>
      <c r="I23" s="892">
        <v>0.97550000000000003</v>
      </c>
      <c r="J23" s="892">
        <v>0.97550000000000003</v>
      </c>
      <c r="K23" s="892">
        <v>0.97550000000000003</v>
      </c>
      <c r="L23" s="892">
        <v>0.97550000000000003</v>
      </c>
      <c r="M23" s="892">
        <v>0.97550000000000003</v>
      </c>
    </row>
    <row r="24" spans="1:14">
      <c r="A24" s="900">
        <v>2.2000000000000002</v>
      </c>
      <c r="B24" s="892">
        <v>1.1440999999999999</v>
      </c>
      <c r="C24" s="892">
        <v>1.1440999999999999</v>
      </c>
      <c r="D24" s="892">
        <v>1.0497000000000001</v>
      </c>
      <c r="E24" s="892">
        <v>1.0497000000000001</v>
      </c>
      <c r="F24" s="892">
        <v>1.0497000000000001</v>
      </c>
      <c r="G24" s="892">
        <v>1.0497000000000001</v>
      </c>
      <c r="H24" s="892">
        <v>1.0497000000000001</v>
      </c>
      <c r="I24" s="892">
        <v>0.95230000000000004</v>
      </c>
      <c r="J24" s="892">
        <v>0.95230000000000004</v>
      </c>
      <c r="K24" s="892">
        <v>0.95230000000000004</v>
      </c>
      <c r="L24" s="892">
        <v>0.95230000000000004</v>
      </c>
      <c r="M24" s="892">
        <v>0.95230000000000004</v>
      </c>
    </row>
    <row r="25" spans="1:14">
      <c r="A25" s="900">
        <v>2.2999999999999998</v>
      </c>
      <c r="B25" s="892">
        <v>1.1275999999999999</v>
      </c>
      <c r="C25" s="892">
        <v>1.1275999999999999</v>
      </c>
      <c r="D25" s="892">
        <v>1.032</v>
      </c>
      <c r="E25" s="892">
        <v>1.032</v>
      </c>
      <c r="F25" s="892">
        <v>1.032</v>
      </c>
      <c r="G25" s="892">
        <v>1.032</v>
      </c>
      <c r="H25" s="892">
        <v>1.032</v>
      </c>
      <c r="I25" s="892">
        <v>0.9304</v>
      </c>
      <c r="J25" s="892">
        <v>0.9304</v>
      </c>
      <c r="K25" s="892">
        <v>0.9304</v>
      </c>
      <c r="L25" s="892">
        <v>0.9304</v>
      </c>
      <c r="M25" s="892">
        <v>0.9304</v>
      </c>
    </row>
    <row r="26" spans="1:14">
      <c r="A26" s="900">
        <v>2.4</v>
      </c>
      <c r="B26" s="892">
        <v>1.1121000000000001</v>
      </c>
      <c r="C26" s="892">
        <v>1.1121000000000001</v>
      </c>
      <c r="D26" s="892">
        <v>1.0155000000000001</v>
      </c>
      <c r="E26" s="892">
        <v>1.0155000000000001</v>
      </c>
      <c r="F26" s="892">
        <v>1.0155000000000001</v>
      </c>
      <c r="G26" s="892">
        <v>1.0155000000000001</v>
      </c>
      <c r="H26" s="892">
        <v>1.0155000000000001</v>
      </c>
      <c r="I26" s="892">
        <v>0.91</v>
      </c>
      <c r="J26" s="892">
        <v>0.91</v>
      </c>
      <c r="K26" s="892">
        <v>0.91</v>
      </c>
      <c r="L26" s="892">
        <v>0.91</v>
      </c>
      <c r="M26" s="892">
        <v>0.91</v>
      </c>
    </row>
    <row r="27" spans="1:14">
      <c r="A27" s="900">
        <v>2.5</v>
      </c>
      <c r="B27" s="892">
        <v>1.0975999999999999</v>
      </c>
      <c r="C27" s="892">
        <v>1.0975999999999999</v>
      </c>
      <c r="D27" s="892">
        <v>1</v>
      </c>
      <c r="E27" s="892">
        <v>1</v>
      </c>
      <c r="F27" s="892">
        <v>1</v>
      </c>
      <c r="G27" s="892">
        <v>1</v>
      </c>
      <c r="H27" s="892">
        <v>1</v>
      </c>
      <c r="I27" s="892">
        <v>0.89080000000000004</v>
      </c>
      <c r="J27" s="892">
        <v>0.89080000000000004</v>
      </c>
      <c r="K27" s="892">
        <v>0.89080000000000004</v>
      </c>
      <c r="L27" s="892">
        <v>0.89080000000000004</v>
      </c>
      <c r="M27" s="892">
        <v>0.89080000000000004</v>
      </c>
    </row>
    <row r="28" spans="1:14">
      <c r="A28" s="900">
        <v>2.6</v>
      </c>
      <c r="B28" s="892">
        <v>1.0841000000000001</v>
      </c>
      <c r="C28" s="892">
        <v>1.0841000000000001</v>
      </c>
      <c r="D28" s="892">
        <v>0.98619999999999997</v>
      </c>
      <c r="E28" s="892">
        <v>0.98619999999999997</v>
      </c>
      <c r="F28" s="892">
        <v>0.98619999999999997</v>
      </c>
      <c r="G28" s="892">
        <v>0.98619999999999997</v>
      </c>
      <c r="H28" s="892">
        <v>0.98619999999999997</v>
      </c>
      <c r="I28" s="892">
        <v>0.873</v>
      </c>
      <c r="J28" s="892">
        <v>0.873</v>
      </c>
      <c r="K28" s="892">
        <v>0.873</v>
      </c>
      <c r="L28" s="892">
        <v>0.873</v>
      </c>
      <c r="M28" s="892">
        <v>0.873</v>
      </c>
    </row>
    <row r="29" spans="1:14">
      <c r="A29" s="900">
        <v>2.7</v>
      </c>
      <c r="B29" s="892">
        <v>1.0716000000000001</v>
      </c>
      <c r="C29" s="892">
        <v>1.0716000000000001</v>
      </c>
      <c r="D29" s="892">
        <v>0.97330000000000005</v>
      </c>
      <c r="E29" s="892">
        <v>0.97330000000000005</v>
      </c>
      <c r="F29" s="892">
        <v>0.97330000000000005</v>
      </c>
      <c r="G29" s="892">
        <v>0.97330000000000005</v>
      </c>
      <c r="H29" s="892">
        <v>0.97330000000000005</v>
      </c>
      <c r="I29" s="892">
        <v>0.85670000000000002</v>
      </c>
      <c r="J29" s="892">
        <v>0.85670000000000002</v>
      </c>
      <c r="K29" s="892">
        <v>0.85670000000000002</v>
      </c>
      <c r="L29" s="892">
        <v>0.85670000000000002</v>
      </c>
      <c r="M29" s="892">
        <v>0.85670000000000002</v>
      </c>
    </row>
    <row r="30" spans="1:14">
      <c r="A30" s="900">
        <v>2.8</v>
      </c>
      <c r="B30" s="892">
        <v>1.0602</v>
      </c>
      <c r="C30" s="892">
        <v>1.0602</v>
      </c>
      <c r="D30" s="892">
        <v>0.96160000000000001</v>
      </c>
      <c r="E30" s="892">
        <v>0.96160000000000001</v>
      </c>
      <c r="F30" s="892">
        <v>0.96160000000000001</v>
      </c>
      <c r="G30" s="892">
        <v>0.96160000000000001</v>
      </c>
      <c r="H30" s="892">
        <v>0.96160000000000001</v>
      </c>
      <c r="I30" s="892">
        <v>0.8417</v>
      </c>
      <c r="J30" s="892">
        <v>0.8417</v>
      </c>
      <c r="K30" s="892">
        <v>0.8417</v>
      </c>
      <c r="L30" s="892">
        <v>0.8417</v>
      </c>
      <c r="M30" s="892">
        <v>0.8417</v>
      </c>
    </row>
    <row r="31" spans="1:14">
      <c r="A31" s="900">
        <v>2.9</v>
      </c>
      <c r="B31" s="892">
        <v>1.0497000000000001</v>
      </c>
      <c r="C31" s="892">
        <v>1.0497000000000001</v>
      </c>
      <c r="D31" s="892">
        <v>0.95089999999999997</v>
      </c>
      <c r="E31" s="892">
        <v>0.95089999999999997</v>
      </c>
      <c r="F31" s="892">
        <v>0.95089999999999997</v>
      </c>
      <c r="G31" s="892">
        <v>0.95089999999999997</v>
      </c>
      <c r="H31" s="892">
        <v>0.95089999999999997</v>
      </c>
      <c r="I31" s="892">
        <v>0.82809999999999995</v>
      </c>
      <c r="J31" s="892">
        <v>0.82809999999999995</v>
      </c>
      <c r="K31" s="892">
        <v>0.82809999999999995</v>
      </c>
      <c r="L31" s="892">
        <v>0.82809999999999995</v>
      </c>
      <c r="M31" s="892">
        <v>0.82809999999999995</v>
      </c>
    </row>
    <row r="32" spans="1:14">
      <c r="A32" s="900">
        <v>3</v>
      </c>
      <c r="B32" s="892">
        <v>1.0401</v>
      </c>
      <c r="C32" s="892">
        <v>1.0401</v>
      </c>
      <c r="D32" s="892">
        <v>0.94089999999999996</v>
      </c>
      <c r="E32" s="892">
        <v>0.94089999999999996</v>
      </c>
      <c r="F32" s="892">
        <v>0.94089999999999996</v>
      </c>
      <c r="G32" s="892">
        <v>0.94089999999999996</v>
      </c>
      <c r="H32" s="892">
        <v>0.94089999999999996</v>
      </c>
      <c r="I32" s="892">
        <v>0.81579999999999997</v>
      </c>
      <c r="J32" s="892">
        <v>0.81579999999999997</v>
      </c>
      <c r="K32" s="892">
        <v>0.81579999999999997</v>
      </c>
      <c r="L32" s="892">
        <v>0.81579999999999997</v>
      </c>
      <c r="M32" s="892">
        <v>0.81579999999999997</v>
      </c>
    </row>
    <row r="33" spans="1:13">
      <c r="A33" s="900">
        <v>3.1</v>
      </c>
      <c r="B33" s="892">
        <v>1.0314000000000001</v>
      </c>
      <c r="C33" s="892">
        <v>1.0314000000000001</v>
      </c>
      <c r="D33" s="892">
        <v>0.93169999999999997</v>
      </c>
      <c r="E33" s="892">
        <v>0.93169999999999997</v>
      </c>
      <c r="F33" s="892">
        <v>0.93169999999999997</v>
      </c>
      <c r="G33" s="892">
        <v>0.93169999999999997</v>
      </c>
      <c r="H33" s="892">
        <v>0.93169999999999997</v>
      </c>
      <c r="I33" s="892">
        <v>0.80410000000000004</v>
      </c>
      <c r="J33" s="892">
        <v>0.80410000000000004</v>
      </c>
      <c r="K33" s="892">
        <v>0.80410000000000004</v>
      </c>
      <c r="L33" s="892">
        <v>0.80410000000000004</v>
      </c>
      <c r="M33" s="892">
        <v>0.80410000000000004</v>
      </c>
    </row>
    <row r="34" spans="1:13">
      <c r="A34" s="900">
        <v>3.2</v>
      </c>
      <c r="B34" s="892">
        <v>1.0229999999999999</v>
      </c>
      <c r="C34" s="892">
        <v>1.0229999999999999</v>
      </c>
      <c r="D34" s="892">
        <v>0.92279999999999995</v>
      </c>
      <c r="E34" s="892">
        <v>0.92279999999999995</v>
      </c>
      <c r="F34" s="892">
        <v>0.92279999999999995</v>
      </c>
      <c r="G34" s="892">
        <v>0.92279999999999995</v>
      </c>
      <c r="H34" s="892">
        <v>0.92279999999999995</v>
      </c>
      <c r="I34" s="892">
        <v>0.79300000000000004</v>
      </c>
      <c r="J34" s="892">
        <v>0.79300000000000004</v>
      </c>
      <c r="K34" s="892">
        <v>0.79300000000000004</v>
      </c>
      <c r="L34" s="892">
        <v>0.79300000000000004</v>
      </c>
      <c r="M34" s="892">
        <v>0.79300000000000004</v>
      </c>
    </row>
    <row r="35" spans="1:13">
      <c r="A35" s="900">
        <v>3.3</v>
      </c>
      <c r="B35" s="892">
        <v>1.0149999999999999</v>
      </c>
      <c r="C35" s="892">
        <v>1.0149999999999999</v>
      </c>
      <c r="D35" s="892">
        <v>0.91439999999999999</v>
      </c>
      <c r="E35" s="892">
        <v>0.91439999999999999</v>
      </c>
      <c r="F35" s="892">
        <v>0.91439999999999999</v>
      </c>
      <c r="G35" s="892">
        <v>0.91439999999999999</v>
      </c>
      <c r="H35" s="892">
        <v>0.91439999999999999</v>
      </c>
      <c r="I35" s="892">
        <v>0.78220000000000001</v>
      </c>
      <c r="J35" s="892">
        <v>0.78220000000000001</v>
      </c>
      <c r="K35" s="892">
        <v>0.78220000000000001</v>
      </c>
      <c r="L35" s="892">
        <v>0.78220000000000001</v>
      </c>
      <c r="M35" s="892">
        <v>0.78220000000000001</v>
      </c>
    </row>
    <row r="36" spans="1:13">
      <c r="A36" s="900">
        <v>3.4</v>
      </c>
      <c r="B36" s="892">
        <v>1.0073000000000001</v>
      </c>
      <c r="C36" s="892">
        <v>1.0073000000000001</v>
      </c>
      <c r="D36" s="892">
        <v>0.90629999999999999</v>
      </c>
      <c r="E36" s="892">
        <v>0.90629999999999999</v>
      </c>
      <c r="F36" s="892">
        <v>0.90629999999999999</v>
      </c>
      <c r="G36" s="892">
        <v>0.90629999999999999</v>
      </c>
      <c r="H36" s="892">
        <v>0.90629999999999999</v>
      </c>
      <c r="I36" s="892">
        <v>0.77210000000000001</v>
      </c>
      <c r="J36" s="892">
        <v>0.77210000000000001</v>
      </c>
      <c r="K36" s="892">
        <v>0.77210000000000001</v>
      </c>
      <c r="L36" s="892">
        <v>0.77210000000000001</v>
      </c>
      <c r="M36" s="892">
        <v>0.77210000000000001</v>
      </c>
    </row>
    <row r="37" spans="1:13">
      <c r="A37" s="900">
        <v>3.5</v>
      </c>
      <c r="B37" s="892">
        <v>1</v>
      </c>
      <c r="C37" s="892">
        <v>1</v>
      </c>
      <c r="D37" s="892">
        <v>0.89870000000000005</v>
      </c>
      <c r="E37" s="892">
        <v>0.89870000000000005</v>
      </c>
      <c r="F37" s="892">
        <v>0.89870000000000005</v>
      </c>
      <c r="G37" s="892">
        <v>0.89870000000000005</v>
      </c>
      <c r="H37" s="892">
        <v>0.89870000000000005</v>
      </c>
      <c r="I37" s="892">
        <v>0.76239999999999997</v>
      </c>
      <c r="J37" s="892">
        <v>0.76239999999999997</v>
      </c>
      <c r="K37" s="892">
        <v>0.76239999999999997</v>
      </c>
      <c r="L37" s="892">
        <v>0.76239999999999997</v>
      </c>
      <c r="M37" s="892">
        <v>0.76239999999999997</v>
      </c>
    </row>
    <row r="38" spans="1:13">
      <c r="A38" s="900">
        <v>3.6</v>
      </c>
      <c r="B38" s="892">
        <v>0.99329999999999996</v>
      </c>
      <c r="C38" s="892">
        <v>0.99329999999999996</v>
      </c>
      <c r="D38" s="892">
        <v>0.89139999999999997</v>
      </c>
      <c r="E38" s="892">
        <v>0.89139999999999997</v>
      </c>
      <c r="F38" s="892">
        <v>0.89139999999999997</v>
      </c>
      <c r="G38" s="892">
        <v>0.89139999999999997</v>
      </c>
      <c r="H38" s="892">
        <v>0.89139999999999997</v>
      </c>
      <c r="I38" s="892">
        <v>0.75319999999999998</v>
      </c>
      <c r="J38" s="892">
        <v>0.75319999999999998</v>
      </c>
      <c r="K38" s="892">
        <v>0.75319999999999998</v>
      </c>
      <c r="L38" s="892">
        <v>0.75319999999999998</v>
      </c>
      <c r="M38" s="892">
        <v>0.75319999999999998</v>
      </c>
    </row>
    <row r="39" spans="1:13">
      <c r="A39" s="900">
        <v>3.7</v>
      </c>
      <c r="B39" s="892">
        <v>0.9869</v>
      </c>
      <c r="C39" s="892">
        <v>0.9869</v>
      </c>
      <c r="D39" s="892">
        <v>0.88449999999999995</v>
      </c>
      <c r="E39" s="892">
        <v>0.88449999999999995</v>
      </c>
      <c r="F39" s="892">
        <v>0.88449999999999995</v>
      </c>
      <c r="G39" s="892">
        <v>0.88449999999999995</v>
      </c>
      <c r="H39" s="892">
        <v>0.88449999999999995</v>
      </c>
      <c r="I39" s="892">
        <v>0.74460000000000004</v>
      </c>
      <c r="J39" s="892">
        <v>0.74460000000000004</v>
      </c>
      <c r="K39" s="892">
        <v>0.74460000000000004</v>
      </c>
      <c r="L39" s="892">
        <v>0.74460000000000004</v>
      </c>
      <c r="M39" s="892">
        <v>0.74460000000000004</v>
      </c>
    </row>
    <row r="40" spans="1:13">
      <c r="A40" s="900">
        <v>3.8</v>
      </c>
      <c r="B40" s="892">
        <v>0.98080000000000001</v>
      </c>
      <c r="C40" s="892">
        <v>0.98080000000000001</v>
      </c>
      <c r="D40" s="892">
        <v>0.87809999999999999</v>
      </c>
      <c r="E40" s="892">
        <v>0.87809999999999999</v>
      </c>
      <c r="F40" s="892">
        <v>0.87809999999999999</v>
      </c>
      <c r="G40" s="892">
        <v>0.87809999999999999</v>
      </c>
      <c r="H40" s="892">
        <v>0.87809999999999999</v>
      </c>
      <c r="I40" s="892">
        <v>0.73640000000000005</v>
      </c>
      <c r="J40" s="892">
        <v>0.73640000000000005</v>
      </c>
      <c r="K40" s="892">
        <v>0.73640000000000005</v>
      </c>
      <c r="L40" s="892">
        <v>0.73640000000000005</v>
      </c>
      <c r="M40" s="892">
        <v>0.73640000000000005</v>
      </c>
    </row>
    <row r="41" spans="1:13">
      <c r="A41" s="900">
        <v>3.9</v>
      </c>
      <c r="B41" s="892">
        <v>0.97509999999999997</v>
      </c>
      <c r="C41" s="892">
        <v>0.97509999999999997</v>
      </c>
      <c r="D41" s="892">
        <v>0.87209999999999999</v>
      </c>
      <c r="E41" s="892">
        <v>0.87209999999999999</v>
      </c>
      <c r="F41" s="892">
        <v>0.87209999999999999</v>
      </c>
      <c r="G41" s="892">
        <v>0.87209999999999999</v>
      </c>
      <c r="H41" s="892">
        <v>0.87209999999999999</v>
      </c>
      <c r="I41" s="892">
        <v>0.7288</v>
      </c>
      <c r="J41" s="892">
        <v>0.7288</v>
      </c>
      <c r="K41" s="892">
        <v>0.7288</v>
      </c>
      <c r="L41" s="892">
        <v>0.7288</v>
      </c>
      <c r="M41" s="892">
        <v>0.7288</v>
      </c>
    </row>
    <row r="42" spans="1:13">
      <c r="A42" s="900">
        <v>4</v>
      </c>
      <c r="B42" s="892">
        <v>0.96989999999999998</v>
      </c>
      <c r="C42" s="892">
        <v>0.96989999999999998</v>
      </c>
      <c r="D42" s="892">
        <v>0.86650000000000005</v>
      </c>
      <c r="E42" s="892">
        <v>0.86650000000000005</v>
      </c>
      <c r="F42" s="892">
        <v>0.86650000000000005</v>
      </c>
      <c r="G42" s="892">
        <v>0.86650000000000005</v>
      </c>
      <c r="H42" s="892">
        <v>0.86650000000000005</v>
      </c>
      <c r="I42" s="892">
        <v>0.7218</v>
      </c>
      <c r="J42" s="892">
        <v>0.7218</v>
      </c>
      <c r="K42" s="892">
        <v>0.7218</v>
      </c>
      <c r="L42" s="892">
        <v>0.7218</v>
      </c>
      <c r="M42" s="892">
        <v>0.7218</v>
      </c>
    </row>
    <row r="43" spans="1:13">
      <c r="A43" s="900">
        <v>4.0999999999999996</v>
      </c>
      <c r="B43" s="892">
        <v>0.96479999999999999</v>
      </c>
      <c r="C43" s="892">
        <v>0.96479999999999999</v>
      </c>
      <c r="D43" s="892">
        <v>0.86109999999999998</v>
      </c>
      <c r="E43" s="892">
        <v>0.86109999999999998</v>
      </c>
      <c r="F43" s="892">
        <v>0.86109999999999998</v>
      </c>
      <c r="G43" s="892">
        <v>0.86109999999999998</v>
      </c>
      <c r="H43" s="892">
        <v>0.86109999999999998</v>
      </c>
      <c r="I43" s="892">
        <v>0.71499999999999997</v>
      </c>
      <c r="J43" s="892">
        <v>0.71499999999999997</v>
      </c>
      <c r="K43" s="892">
        <v>0.71499999999999997</v>
      </c>
      <c r="L43" s="892">
        <v>0.71499999999999997</v>
      </c>
      <c r="M43" s="892">
        <v>0.71499999999999997</v>
      </c>
    </row>
    <row r="44" spans="1:13">
      <c r="A44" s="900">
        <v>4.2</v>
      </c>
      <c r="B44" s="892">
        <v>0.96</v>
      </c>
      <c r="C44" s="892">
        <v>0.96</v>
      </c>
      <c r="D44" s="892">
        <v>0.85599999999999998</v>
      </c>
      <c r="E44" s="892">
        <v>0.85599999999999998</v>
      </c>
      <c r="F44" s="892">
        <v>0.85599999999999998</v>
      </c>
      <c r="G44" s="892">
        <v>0.85599999999999998</v>
      </c>
      <c r="H44" s="892">
        <v>0.85599999999999998</v>
      </c>
      <c r="I44" s="892">
        <v>0.70840000000000003</v>
      </c>
      <c r="J44" s="892">
        <v>0.70840000000000003</v>
      </c>
      <c r="K44" s="892">
        <v>0.70840000000000003</v>
      </c>
      <c r="L44" s="892">
        <v>0.70840000000000003</v>
      </c>
      <c r="M44" s="892">
        <v>0.70840000000000003</v>
      </c>
    </row>
    <row r="45" spans="1:13">
      <c r="A45" s="900">
        <v>4.3</v>
      </c>
      <c r="B45" s="892">
        <v>0.95530000000000004</v>
      </c>
      <c r="C45" s="892">
        <v>0.95530000000000004</v>
      </c>
      <c r="D45" s="892">
        <v>0.85099999999999998</v>
      </c>
      <c r="E45" s="892">
        <v>0.85099999999999998</v>
      </c>
      <c r="F45" s="892">
        <v>0.85099999999999998</v>
      </c>
      <c r="G45" s="892">
        <v>0.85099999999999998</v>
      </c>
      <c r="H45" s="892">
        <v>0.85099999999999998</v>
      </c>
      <c r="I45" s="892">
        <v>0.70199999999999996</v>
      </c>
      <c r="J45" s="892">
        <v>0.70199999999999996</v>
      </c>
      <c r="K45" s="892">
        <v>0.70199999999999996</v>
      </c>
      <c r="L45" s="892">
        <v>0.70199999999999996</v>
      </c>
      <c r="M45" s="892">
        <v>0.70199999999999996</v>
      </c>
    </row>
    <row r="46" spans="1:13">
      <c r="A46" s="900">
        <v>4.4000000000000004</v>
      </c>
      <c r="B46" s="892">
        <v>0.95079999999999998</v>
      </c>
      <c r="C46" s="892">
        <v>0.95079999999999998</v>
      </c>
      <c r="D46" s="892">
        <v>0.84619999999999995</v>
      </c>
      <c r="E46" s="892">
        <v>0.84619999999999995</v>
      </c>
      <c r="F46" s="892">
        <v>0.84619999999999995</v>
      </c>
      <c r="G46" s="892">
        <v>0.84619999999999995</v>
      </c>
      <c r="H46" s="892">
        <v>0.84619999999999995</v>
      </c>
      <c r="I46" s="892">
        <v>0.69579999999999997</v>
      </c>
      <c r="J46" s="892">
        <v>0.69579999999999997</v>
      </c>
      <c r="K46" s="892">
        <v>0.69579999999999997</v>
      </c>
      <c r="L46" s="892">
        <v>0.69579999999999997</v>
      </c>
      <c r="M46" s="892">
        <v>0.69579999999999997</v>
      </c>
    </row>
    <row r="47" spans="1:13">
      <c r="A47" s="900">
        <v>4.5</v>
      </c>
      <c r="B47" s="892">
        <v>0.94640000000000002</v>
      </c>
      <c r="C47" s="892">
        <v>0.94640000000000002</v>
      </c>
      <c r="D47" s="892">
        <v>0.84150000000000003</v>
      </c>
      <c r="E47" s="892">
        <v>0.84150000000000003</v>
      </c>
      <c r="F47" s="892">
        <v>0.84150000000000003</v>
      </c>
      <c r="G47" s="892">
        <v>0.84150000000000003</v>
      </c>
      <c r="H47" s="892">
        <v>0.84150000000000003</v>
      </c>
      <c r="I47" s="892">
        <v>0.68989999999999996</v>
      </c>
      <c r="J47" s="892">
        <v>0.68989999999999996</v>
      </c>
      <c r="K47" s="892">
        <v>0.68989999999999996</v>
      </c>
      <c r="L47" s="892">
        <v>0.68989999999999996</v>
      </c>
      <c r="M47" s="892">
        <v>0.68989999999999996</v>
      </c>
    </row>
    <row r="48" spans="1:13">
      <c r="A48" s="900">
        <v>4.5999999999999996</v>
      </c>
      <c r="B48" s="892">
        <v>0.94230000000000003</v>
      </c>
      <c r="C48" s="892">
        <v>0.94230000000000003</v>
      </c>
      <c r="D48" s="892">
        <v>0.83709999999999996</v>
      </c>
      <c r="E48" s="892">
        <v>0.83709999999999996</v>
      </c>
      <c r="F48" s="892">
        <v>0.83709999999999996</v>
      </c>
      <c r="G48" s="892">
        <v>0.83709999999999996</v>
      </c>
      <c r="H48" s="892">
        <v>0.83709999999999996</v>
      </c>
      <c r="I48" s="892">
        <v>0.68430000000000002</v>
      </c>
      <c r="J48" s="892">
        <v>0.68430000000000002</v>
      </c>
      <c r="K48" s="892">
        <v>0.68430000000000002</v>
      </c>
      <c r="L48" s="892">
        <v>0.68430000000000002</v>
      </c>
      <c r="M48" s="892">
        <v>0.68430000000000002</v>
      </c>
    </row>
    <row r="49" spans="1:13">
      <c r="A49" s="900">
        <v>4.7</v>
      </c>
      <c r="B49" s="892">
        <v>0.93830000000000002</v>
      </c>
      <c r="C49" s="892">
        <v>0.93830000000000002</v>
      </c>
      <c r="D49" s="892">
        <v>0.83279999999999998</v>
      </c>
      <c r="E49" s="892">
        <v>0.83279999999999998</v>
      </c>
      <c r="F49" s="892">
        <v>0.83279999999999998</v>
      </c>
      <c r="G49" s="892">
        <v>0.83279999999999998</v>
      </c>
      <c r="H49" s="892">
        <v>0.83279999999999998</v>
      </c>
      <c r="I49" s="892">
        <v>0.67879999999999996</v>
      </c>
      <c r="J49" s="892">
        <v>0.67879999999999996</v>
      </c>
      <c r="K49" s="892">
        <v>0.67879999999999996</v>
      </c>
      <c r="L49" s="892">
        <v>0.67879999999999996</v>
      </c>
      <c r="M49" s="892">
        <v>0.67879999999999996</v>
      </c>
    </row>
    <row r="50" spans="1:13">
      <c r="A50" s="900">
        <v>4.8</v>
      </c>
      <c r="B50" s="892">
        <v>0.9345</v>
      </c>
      <c r="C50" s="892">
        <v>0.9345</v>
      </c>
      <c r="D50" s="892">
        <v>0.82869999999999999</v>
      </c>
      <c r="E50" s="892">
        <v>0.82869999999999999</v>
      </c>
      <c r="F50" s="892">
        <v>0.82869999999999999</v>
      </c>
      <c r="G50" s="892">
        <v>0.82869999999999999</v>
      </c>
      <c r="H50" s="892">
        <v>0.82869999999999999</v>
      </c>
      <c r="I50" s="892">
        <v>0.67359999999999998</v>
      </c>
      <c r="J50" s="892">
        <v>0.67359999999999998</v>
      </c>
      <c r="K50" s="892">
        <v>0.67359999999999998</v>
      </c>
      <c r="L50" s="892">
        <v>0.67359999999999998</v>
      </c>
      <c r="M50" s="892">
        <v>0.67359999999999998</v>
      </c>
    </row>
    <row r="51" spans="1:13">
      <c r="A51" s="900">
        <v>4.9000000000000004</v>
      </c>
      <c r="B51" s="892">
        <v>0.93079999999999996</v>
      </c>
      <c r="C51" s="892">
        <v>0.93079999999999996</v>
      </c>
      <c r="D51" s="892">
        <v>0.82479999999999998</v>
      </c>
      <c r="E51" s="892">
        <v>0.82479999999999998</v>
      </c>
      <c r="F51" s="892">
        <v>0.82479999999999998</v>
      </c>
      <c r="G51" s="892">
        <v>0.82479999999999998</v>
      </c>
      <c r="H51" s="892">
        <v>0.82479999999999998</v>
      </c>
      <c r="I51" s="892">
        <v>0.66849999999999998</v>
      </c>
      <c r="J51" s="892">
        <v>0.66849999999999998</v>
      </c>
      <c r="K51" s="892">
        <v>0.66849999999999998</v>
      </c>
      <c r="L51" s="892">
        <v>0.66849999999999998</v>
      </c>
      <c r="M51" s="892">
        <v>0.66849999999999998</v>
      </c>
    </row>
    <row r="52" spans="1:13">
      <c r="A52" s="900">
        <v>5</v>
      </c>
      <c r="B52" s="892">
        <v>0.9274</v>
      </c>
      <c r="C52" s="892">
        <v>0.9274</v>
      </c>
      <c r="D52" s="892">
        <v>0.82110000000000005</v>
      </c>
      <c r="E52" s="892">
        <v>0.82110000000000005</v>
      </c>
      <c r="F52" s="892">
        <v>0.82110000000000005</v>
      </c>
      <c r="G52" s="892">
        <v>0.82110000000000005</v>
      </c>
      <c r="H52" s="892">
        <v>0.82110000000000005</v>
      </c>
      <c r="I52" s="892">
        <v>0.66369999999999996</v>
      </c>
      <c r="J52" s="892">
        <v>0.66369999999999996</v>
      </c>
      <c r="K52" s="892">
        <v>0.66369999999999996</v>
      </c>
      <c r="L52" s="892">
        <v>0.66369999999999996</v>
      </c>
      <c r="M52" s="892">
        <v>0.66369999999999996</v>
      </c>
    </row>
    <row r="53" spans="1:13">
      <c r="A53" s="885">
        <v>5.0999999999999996</v>
      </c>
      <c r="B53" s="892">
        <v>0.92410000000000003</v>
      </c>
      <c r="C53" s="892">
        <v>0.92410000000000003</v>
      </c>
      <c r="D53" s="892">
        <v>0.8175</v>
      </c>
      <c r="E53" s="892">
        <v>0.8175</v>
      </c>
      <c r="F53" s="892">
        <v>0.8175</v>
      </c>
      <c r="G53" s="892">
        <v>0.8175</v>
      </c>
      <c r="H53" s="892">
        <v>0.8175</v>
      </c>
      <c r="I53" s="892">
        <v>0.65900000000000003</v>
      </c>
      <c r="J53" s="892">
        <v>0.65900000000000003</v>
      </c>
      <c r="K53" s="892">
        <v>0.65900000000000003</v>
      </c>
      <c r="L53" s="892">
        <v>0.65900000000000003</v>
      </c>
      <c r="M53" s="892">
        <v>0.65900000000000003</v>
      </c>
    </row>
    <row r="54" spans="1:13">
      <c r="A54" s="885">
        <v>5.2</v>
      </c>
      <c r="B54" s="892">
        <v>0.92090000000000005</v>
      </c>
      <c r="C54" s="892">
        <v>0.92090000000000005</v>
      </c>
      <c r="D54" s="892">
        <v>0.81399999999999995</v>
      </c>
      <c r="E54" s="892">
        <v>0.81399999999999995</v>
      </c>
      <c r="F54" s="892">
        <v>0.81399999999999995</v>
      </c>
      <c r="G54" s="892">
        <v>0.81399999999999995</v>
      </c>
      <c r="H54" s="892">
        <v>0.81399999999999995</v>
      </c>
      <c r="I54" s="892">
        <v>0.65449999999999997</v>
      </c>
      <c r="J54" s="892">
        <v>0.65449999999999997</v>
      </c>
      <c r="K54" s="892">
        <v>0.65449999999999997</v>
      </c>
      <c r="L54" s="892">
        <v>0.65449999999999997</v>
      </c>
      <c r="M54" s="892">
        <v>0.65449999999999997</v>
      </c>
    </row>
    <row r="55" spans="1:13">
      <c r="A55" s="885">
        <v>5.3</v>
      </c>
      <c r="B55" s="892">
        <v>0.91790000000000005</v>
      </c>
      <c r="C55" s="892">
        <v>0.91790000000000005</v>
      </c>
      <c r="D55" s="892">
        <v>0.81059999999999999</v>
      </c>
      <c r="E55" s="892">
        <v>0.81059999999999999</v>
      </c>
      <c r="F55" s="892">
        <v>0.81059999999999999</v>
      </c>
      <c r="G55" s="892">
        <v>0.81059999999999999</v>
      </c>
      <c r="H55" s="892">
        <v>0.81059999999999999</v>
      </c>
      <c r="I55" s="892">
        <v>0.6502</v>
      </c>
      <c r="J55" s="892">
        <v>0.6502</v>
      </c>
      <c r="K55" s="892">
        <v>0.6502</v>
      </c>
      <c r="L55" s="892">
        <v>0.6502</v>
      </c>
      <c r="M55" s="892">
        <v>0.6502</v>
      </c>
    </row>
    <row r="56" spans="1:13">
      <c r="A56" s="885">
        <v>5.4</v>
      </c>
      <c r="B56" s="892">
        <v>0.91490000000000005</v>
      </c>
      <c r="C56" s="892">
        <v>0.91490000000000005</v>
      </c>
      <c r="D56" s="892">
        <v>0.80740000000000001</v>
      </c>
      <c r="E56" s="892">
        <v>0.80740000000000001</v>
      </c>
      <c r="F56" s="892">
        <v>0.80740000000000001</v>
      </c>
      <c r="G56" s="892">
        <v>0.80740000000000001</v>
      </c>
      <c r="H56" s="892">
        <v>0.80740000000000001</v>
      </c>
      <c r="I56" s="892">
        <v>0.64590000000000003</v>
      </c>
      <c r="J56" s="892">
        <v>0.64590000000000003</v>
      </c>
      <c r="K56" s="892">
        <v>0.64590000000000003</v>
      </c>
      <c r="L56" s="892">
        <v>0.64590000000000003</v>
      </c>
      <c r="M56" s="892">
        <v>0.64590000000000003</v>
      </c>
    </row>
    <row r="57" spans="1:13">
      <c r="A57" s="885">
        <v>5.5</v>
      </c>
      <c r="B57" s="892">
        <v>0.91200000000000003</v>
      </c>
      <c r="C57" s="892">
        <v>0.91200000000000003</v>
      </c>
      <c r="D57" s="892">
        <v>0.80420000000000003</v>
      </c>
      <c r="E57" s="892">
        <v>0.80420000000000003</v>
      </c>
      <c r="F57" s="892">
        <v>0.80420000000000003</v>
      </c>
      <c r="G57" s="892">
        <v>0.80420000000000003</v>
      </c>
      <c r="H57" s="892">
        <v>0.80420000000000003</v>
      </c>
      <c r="I57" s="892">
        <v>0.64180000000000004</v>
      </c>
      <c r="J57" s="892">
        <v>0.64180000000000004</v>
      </c>
      <c r="K57" s="892">
        <v>0.64180000000000004</v>
      </c>
      <c r="L57" s="892">
        <v>0.64180000000000004</v>
      </c>
      <c r="M57" s="892">
        <v>0.64180000000000004</v>
      </c>
    </row>
    <row r="58" spans="1:13">
      <c r="A58" s="885">
        <v>5.6</v>
      </c>
      <c r="B58" s="892">
        <v>0.90910000000000002</v>
      </c>
      <c r="C58" s="892">
        <v>0.90910000000000002</v>
      </c>
      <c r="D58" s="892">
        <v>0.80120000000000002</v>
      </c>
      <c r="E58" s="892">
        <v>0.80120000000000002</v>
      </c>
      <c r="F58" s="892">
        <v>0.80120000000000002</v>
      </c>
      <c r="G58" s="892">
        <v>0.80120000000000002</v>
      </c>
      <c r="H58" s="892">
        <v>0.80120000000000002</v>
      </c>
      <c r="I58" s="892">
        <v>0.63790000000000002</v>
      </c>
      <c r="J58" s="892">
        <v>0.63790000000000002</v>
      </c>
      <c r="K58" s="892">
        <v>0.63790000000000002</v>
      </c>
      <c r="L58" s="892">
        <v>0.63790000000000002</v>
      </c>
      <c r="M58" s="892">
        <v>0.63790000000000002</v>
      </c>
    </row>
    <row r="59" spans="1:13">
      <c r="A59" s="900">
        <v>5.7</v>
      </c>
      <c r="B59" s="892">
        <v>0.90639999999999998</v>
      </c>
      <c r="C59" s="892">
        <v>0.90639999999999998</v>
      </c>
      <c r="D59" s="892">
        <v>0.79820000000000002</v>
      </c>
      <c r="E59" s="892">
        <v>0.79820000000000002</v>
      </c>
      <c r="F59" s="892">
        <v>0.79820000000000002</v>
      </c>
      <c r="G59" s="892">
        <v>0.79820000000000002</v>
      </c>
      <c r="H59" s="892">
        <v>0.79820000000000002</v>
      </c>
      <c r="I59" s="892">
        <v>0.6341</v>
      </c>
      <c r="J59" s="892">
        <v>0.6341</v>
      </c>
      <c r="K59" s="892">
        <v>0.6341</v>
      </c>
      <c r="L59" s="892">
        <v>0.6341</v>
      </c>
      <c r="M59" s="892">
        <v>0.6341</v>
      </c>
    </row>
    <row r="60" spans="1:13">
      <c r="A60" s="885">
        <v>5.8</v>
      </c>
      <c r="B60" s="892">
        <v>0.90380000000000005</v>
      </c>
      <c r="C60" s="892">
        <v>0.90380000000000005</v>
      </c>
      <c r="D60" s="892">
        <v>0.7954</v>
      </c>
      <c r="E60" s="892">
        <v>0.7954</v>
      </c>
      <c r="F60" s="892">
        <v>0.7954</v>
      </c>
      <c r="G60" s="892">
        <v>0.7954</v>
      </c>
      <c r="H60" s="892">
        <v>0.7954</v>
      </c>
      <c r="I60" s="892">
        <v>0.63039999999999996</v>
      </c>
      <c r="J60" s="892">
        <v>0.63039999999999996</v>
      </c>
      <c r="K60" s="892">
        <v>0.63039999999999996</v>
      </c>
      <c r="L60" s="892">
        <v>0.63039999999999996</v>
      </c>
      <c r="M60" s="892">
        <v>0.63039999999999996</v>
      </c>
    </row>
    <row r="61" spans="1:13">
      <c r="A61" s="885">
        <v>5.9</v>
      </c>
      <c r="B61" s="892">
        <v>0.90129999999999999</v>
      </c>
      <c r="C61" s="892">
        <v>0.90129999999999999</v>
      </c>
      <c r="D61" s="892">
        <v>0.79269999999999996</v>
      </c>
      <c r="E61" s="892">
        <v>0.79269999999999996</v>
      </c>
      <c r="F61" s="892">
        <v>0.79269999999999996</v>
      </c>
      <c r="G61" s="892">
        <v>0.79269999999999996</v>
      </c>
      <c r="H61" s="892">
        <v>0.79269999999999996</v>
      </c>
      <c r="I61" s="892">
        <v>0.62690000000000001</v>
      </c>
      <c r="J61" s="892">
        <v>0.62690000000000001</v>
      </c>
      <c r="K61" s="892">
        <v>0.62690000000000001</v>
      </c>
      <c r="L61" s="892">
        <v>0.62690000000000001</v>
      </c>
      <c r="M61" s="892">
        <v>0.62690000000000001</v>
      </c>
    </row>
    <row r="62" spans="1:13">
      <c r="A62" s="885">
        <v>6</v>
      </c>
      <c r="B62" s="892">
        <v>0.89890000000000003</v>
      </c>
      <c r="C62" s="892">
        <v>0.89890000000000003</v>
      </c>
      <c r="D62" s="892">
        <v>0.79020000000000001</v>
      </c>
      <c r="E62" s="892">
        <v>0.79020000000000001</v>
      </c>
      <c r="F62" s="892">
        <v>0.79020000000000001</v>
      </c>
      <c r="G62" s="892">
        <v>0.79020000000000001</v>
      </c>
      <c r="H62" s="892">
        <v>0.79020000000000001</v>
      </c>
      <c r="I62" s="892">
        <v>0.62350000000000005</v>
      </c>
      <c r="J62" s="892">
        <v>0.62350000000000005</v>
      </c>
      <c r="K62" s="892">
        <v>0.62350000000000005</v>
      </c>
      <c r="L62" s="892">
        <v>0.62350000000000005</v>
      </c>
      <c r="M62" s="892">
        <v>0.62350000000000005</v>
      </c>
    </row>
    <row r="63" spans="1:13">
      <c r="A63" s="885">
        <v>6.1</v>
      </c>
      <c r="B63" s="892">
        <v>0.89649999999999996</v>
      </c>
      <c r="C63" s="892">
        <v>0.89649999999999996</v>
      </c>
      <c r="D63" s="892">
        <v>0.78769999999999996</v>
      </c>
      <c r="E63" s="892">
        <v>0.78769999999999996</v>
      </c>
      <c r="F63" s="892">
        <v>0.78769999999999996</v>
      </c>
      <c r="G63" s="892">
        <v>0.78769999999999996</v>
      </c>
      <c r="H63" s="892">
        <v>0.78769999999999996</v>
      </c>
      <c r="I63" s="892">
        <v>0.62029999999999996</v>
      </c>
      <c r="J63" s="892">
        <v>0.62029999999999996</v>
      </c>
      <c r="K63" s="892">
        <v>0.62029999999999996</v>
      </c>
      <c r="L63" s="892">
        <v>0.62029999999999996</v>
      </c>
      <c r="M63" s="892">
        <v>0.62029999999999996</v>
      </c>
    </row>
    <row r="64" spans="1:13">
      <c r="A64" s="885">
        <v>6.2</v>
      </c>
      <c r="B64" s="892">
        <v>0.89429999999999998</v>
      </c>
      <c r="C64" s="892">
        <v>0.89429999999999998</v>
      </c>
      <c r="D64" s="892">
        <v>0.78520000000000001</v>
      </c>
      <c r="E64" s="892">
        <v>0.78520000000000001</v>
      </c>
      <c r="F64" s="892">
        <v>0.78520000000000001</v>
      </c>
      <c r="G64" s="892">
        <v>0.78520000000000001</v>
      </c>
      <c r="H64" s="892">
        <v>0.78520000000000001</v>
      </c>
      <c r="I64" s="892">
        <v>0.61719999999999997</v>
      </c>
      <c r="J64" s="892">
        <v>0.61719999999999997</v>
      </c>
      <c r="K64" s="892">
        <v>0.61719999999999997</v>
      </c>
      <c r="L64" s="892">
        <v>0.61719999999999997</v>
      </c>
      <c r="M64" s="892">
        <v>0.61719999999999997</v>
      </c>
    </row>
    <row r="65" spans="1:13">
      <c r="A65" s="885">
        <v>6.3</v>
      </c>
      <c r="B65" s="892">
        <v>0.89200000000000002</v>
      </c>
      <c r="C65" s="892">
        <v>0.89200000000000002</v>
      </c>
      <c r="D65" s="892">
        <v>0.78280000000000005</v>
      </c>
      <c r="E65" s="892">
        <v>0.78280000000000005</v>
      </c>
      <c r="F65" s="892">
        <v>0.78280000000000005</v>
      </c>
      <c r="G65" s="892">
        <v>0.78280000000000005</v>
      </c>
      <c r="H65" s="892">
        <v>0.78280000000000005</v>
      </c>
      <c r="I65" s="892">
        <v>0.61409999999999998</v>
      </c>
      <c r="J65" s="892">
        <v>0.61409999999999998</v>
      </c>
      <c r="K65" s="892">
        <v>0.61409999999999998</v>
      </c>
      <c r="L65" s="892">
        <v>0.61409999999999998</v>
      </c>
      <c r="M65" s="892">
        <v>0.61409999999999998</v>
      </c>
    </row>
    <row r="66" spans="1:13">
      <c r="A66" s="885">
        <v>6.4</v>
      </c>
      <c r="B66" s="892">
        <v>0.88990000000000002</v>
      </c>
      <c r="C66" s="892">
        <v>0.88990000000000002</v>
      </c>
      <c r="D66" s="892">
        <v>0.78039999999999998</v>
      </c>
      <c r="E66" s="892">
        <v>0.78039999999999998</v>
      </c>
      <c r="F66" s="892">
        <v>0.78039999999999998</v>
      </c>
      <c r="G66" s="892">
        <v>0.78039999999999998</v>
      </c>
      <c r="H66" s="892">
        <v>0.78039999999999998</v>
      </c>
      <c r="I66" s="892">
        <v>0.61099999999999999</v>
      </c>
      <c r="J66" s="892">
        <v>0.61099999999999999</v>
      </c>
      <c r="K66" s="892">
        <v>0.61099999999999999</v>
      </c>
      <c r="L66" s="892">
        <v>0.61099999999999999</v>
      </c>
      <c r="M66" s="892">
        <v>0.61099999999999999</v>
      </c>
    </row>
    <row r="67" spans="1:13">
      <c r="A67" s="885">
        <v>6.5</v>
      </c>
      <c r="B67" s="892">
        <v>0.88780000000000003</v>
      </c>
      <c r="C67" s="892">
        <v>0.88780000000000003</v>
      </c>
      <c r="D67" s="892">
        <v>0.77810000000000001</v>
      </c>
      <c r="E67" s="892">
        <v>0.77810000000000001</v>
      </c>
      <c r="F67" s="892">
        <v>0.77810000000000001</v>
      </c>
      <c r="G67" s="892">
        <v>0.77810000000000001</v>
      </c>
      <c r="H67" s="892">
        <v>0.77810000000000001</v>
      </c>
      <c r="I67" s="892">
        <v>0.60799999999999998</v>
      </c>
      <c r="J67" s="892">
        <v>0.60799999999999998</v>
      </c>
      <c r="K67" s="892">
        <v>0.60799999999999998</v>
      </c>
      <c r="L67" s="892">
        <v>0.60799999999999998</v>
      </c>
      <c r="M67" s="892">
        <v>0.60799999999999998</v>
      </c>
    </row>
    <row r="68" spans="1:13">
      <c r="A68" s="885">
        <v>6.6</v>
      </c>
      <c r="B68" s="892">
        <v>0.88580000000000003</v>
      </c>
      <c r="C68" s="892">
        <v>0.88580000000000003</v>
      </c>
      <c r="D68" s="892">
        <v>0.77580000000000005</v>
      </c>
      <c r="E68" s="892">
        <v>0.77580000000000005</v>
      </c>
      <c r="F68" s="892">
        <v>0.77580000000000005</v>
      </c>
      <c r="G68" s="892">
        <v>0.77580000000000005</v>
      </c>
      <c r="H68" s="892">
        <v>0.77580000000000005</v>
      </c>
      <c r="I68" s="892">
        <v>0.60499999999999998</v>
      </c>
      <c r="J68" s="892">
        <v>0.60499999999999998</v>
      </c>
      <c r="K68" s="892">
        <v>0.60499999999999998</v>
      </c>
      <c r="L68" s="892">
        <v>0.60499999999999998</v>
      </c>
      <c r="M68" s="892">
        <v>0.60499999999999998</v>
      </c>
    </row>
    <row r="69" spans="1:13">
      <c r="A69" s="885">
        <v>6.7</v>
      </c>
      <c r="B69" s="892">
        <v>0.88380000000000003</v>
      </c>
      <c r="C69" s="892">
        <v>0.88380000000000003</v>
      </c>
      <c r="D69" s="892">
        <v>0.77359999999999995</v>
      </c>
      <c r="E69" s="892">
        <v>0.77359999999999995</v>
      </c>
      <c r="F69" s="892">
        <v>0.77359999999999995</v>
      </c>
      <c r="G69" s="892">
        <v>0.77359999999999995</v>
      </c>
      <c r="H69" s="892">
        <v>0.77359999999999995</v>
      </c>
      <c r="I69" s="892">
        <v>0.60209999999999997</v>
      </c>
      <c r="J69" s="892">
        <v>0.60209999999999997</v>
      </c>
      <c r="K69" s="892">
        <v>0.60209999999999997</v>
      </c>
      <c r="L69" s="892">
        <v>0.60209999999999997</v>
      </c>
      <c r="M69" s="892">
        <v>0.60209999999999997</v>
      </c>
    </row>
    <row r="70" spans="1:13">
      <c r="A70" s="885">
        <v>6.8</v>
      </c>
      <c r="B70" s="892">
        <v>0.88190000000000002</v>
      </c>
      <c r="C70" s="892">
        <v>0.88190000000000002</v>
      </c>
      <c r="D70" s="892">
        <v>0.77159999999999995</v>
      </c>
      <c r="E70" s="892">
        <v>0.77159999999999995</v>
      </c>
      <c r="F70" s="892">
        <v>0.77159999999999995</v>
      </c>
      <c r="G70" s="892">
        <v>0.77159999999999995</v>
      </c>
      <c r="H70" s="892">
        <v>0.77159999999999995</v>
      </c>
      <c r="I70" s="892">
        <v>0.59930000000000005</v>
      </c>
      <c r="J70" s="892">
        <v>0.59930000000000005</v>
      </c>
      <c r="K70" s="892">
        <v>0.59930000000000005</v>
      </c>
      <c r="L70" s="892">
        <v>0.59930000000000005</v>
      </c>
      <c r="M70" s="892">
        <v>0.59930000000000005</v>
      </c>
    </row>
    <row r="71" spans="1:13">
      <c r="A71" s="885">
        <v>6.9</v>
      </c>
      <c r="B71" s="892">
        <v>0.88</v>
      </c>
      <c r="C71" s="892">
        <v>0.88</v>
      </c>
      <c r="D71" s="892">
        <v>0.76949999999999996</v>
      </c>
      <c r="E71" s="892">
        <v>0.76949999999999996</v>
      </c>
      <c r="F71" s="892">
        <v>0.76949999999999996</v>
      </c>
      <c r="G71" s="892">
        <v>0.76949999999999996</v>
      </c>
      <c r="H71" s="892">
        <v>0.76949999999999996</v>
      </c>
      <c r="I71" s="892">
        <v>0.59640000000000004</v>
      </c>
      <c r="J71" s="892">
        <v>0.59640000000000004</v>
      </c>
      <c r="K71" s="892">
        <v>0.59640000000000004</v>
      </c>
      <c r="L71" s="892">
        <v>0.59640000000000004</v>
      </c>
      <c r="M71" s="892">
        <v>0.59640000000000004</v>
      </c>
    </row>
    <row r="72" spans="1:13">
      <c r="A72" s="885">
        <v>7</v>
      </c>
      <c r="B72" s="892">
        <v>0.87819999999999998</v>
      </c>
      <c r="C72" s="892">
        <v>0.87819999999999998</v>
      </c>
      <c r="D72" s="892">
        <v>0.76749999999999996</v>
      </c>
      <c r="E72" s="892">
        <v>0.76749999999999996</v>
      </c>
      <c r="F72" s="892">
        <v>0.76749999999999996</v>
      </c>
      <c r="G72" s="892">
        <v>0.76749999999999996</v>
      </c>
      <c r="H72" s="892">
        <v>0.76749999999999996</v>
      </c>
      <c r="I72" s="892">
        <v>0.59360000000000002</v>
      </c>
      <c r="J72" s="892">
        <v>0.59360000000000002</v>
      </c>
      <c r="K72" s="892">
        <v>0.59360000000000002</v>
      </c>
      <c r="L72" s="892">
        <v>0.59360000000000002</v>
      </c>
      <c r="M72" s="892">
        <v>0.59360000000000002</v>
      </c>
    </row>
    <row r="73" spans="1:13">
      <c r="A73" s="885">
        <v>7.1</v>
      </c>
      <c r="B73" s="892">
        <v>0.87660000000000005</v>
      </c>
      <c r="C73" s="892">
        <v>0.87660000000000005</v>
      </c>
      <c r="D73" s="892">
        <v>0.76570000000000005</v>
      </c>
      <c r="E73" s="892">
        <v>0.76570000000000005</v>
      </c>
      <c r="F73" s="892">
        <v>0.76570000000000005</v>
      </c>
      <c r="G73" s="892">
        <v>0.76570000000000005</v>
      </c>
      <c r="H73" s="892">
        <v>0.76570000000000005</v>
      </c>
      <c r="I73" s="892">
        <v>0.59109999999999996</v>
      </c>
      <c r="J73" s="892">
        <v>0.59109999999999996</v>
      </c>
      <c r="K73" s="892">
        <v>0.59109999999999996</v>
      </c>
      <c r="L73" s="892">
        <v>0.59109999999999996</v>
      </c>
      <c r="M73" s="892">
        <v>0.59109999999999996</v>
      </c>
    </row>
    <row r="74" spans="1:13">
      <c r="A74" s="885">
        <v>7.2</v>
      </c>
      <c r="B74" s="892">
        <v>0.87490000000000001</v>
      </c>
      <c r="C74" s="892">
        <v>0.87490000000000001</v>
      </c>
      <c r="D74" s="892">
        <v>0.76380000000000003</v>
      </c>
      <c r="E74" s="892">
        <v>0.76380000000000003</v>
      </c>
      <c r="F74" s="892">
        <v>0.76380000000000003</v>
      </c>
      <c r="G74" s="892">
        <v>0.76380000000000003</v>
      </c>
      <c r="H74" s="892">
        <v>0.76380000000000003</v>
      </c>
      <c r="I74" s="892">
        <v>0.58860000000000001</v>
      </c>
      <c r="J74" s="892">
        <v>0.58860000000000001</v>
      </c>
      <c r="K74" s="892">
        <v>0.58860000000000001</v>
      </c>
      <c r="L74" s="892">
        <v>0.58860000000000001</v>
      </c>
      <c r="M74" s="892">
        <v>0.58860000000000001</v>
      </c>
    </row>
    <row r="75" spans="1:13">
      <c r="A75" s="885">
        <v>7.3</v>
      </c>
      <c r="B75" s="892">
        <v>0.87329999999999997</v>
      </c>
      <c r="C75" s="892">
        <v>0.87329999999999997</v>
      </c>
      <c r="D75" s="892">
        <v>0.76200000000000001</v>
      </c>
      <c r="E75" s="892">
        <v>0.76200000000000001</v>
      </c>
      <c r="F75" s="892">
        <v>0.76200000000000001</v>
      </c>
      <c r="G75" s="892">
        <v>0.76200000000000001</v>
      </c>
      <c r="H75" s="892">
        <v>0.76200000000000001</v>
      </c>
      <c r="I75" s="892">
        <v>0.58620000000000005</v>
      </c>
      <c r="J75" s="892">
        <v>0.58620000000000005</v>
      </c>
      <c r="K75" s="892">
        <v>0.58620000000000005</v>
      </c>
      <c r="L75" s="892">
        <v>0.58620000000000005</v>
      </c>
      <c r="M75" s="892">
        <v>0.58620000000000005</v>
      </c>
    </row>
    <row r="76" spans="1:13">
      <c r="A76" s="885">
        <v>7.4</v>
      </c>
      <c r="B76" s="892">
        <v>0.87160000000000004</v>
      </c>
      <c r="C76" s="892">
        <v>0.87160000000000004</v>
      </c>
      <c r="D76" s="892">
        <v>0.76029999999999998</v>
      </c>
      <c r="E76" s="892">
        <v>0.76029999999999998</v>
      </c>
      <c r="F76" s="892">
        <v>0.76029999999999998</v>
      </c>
      <c r="G76" s="892">
        <v>0.76029999999999998</v>
      </c>
      <c r="H76" s="892">
        <v>0.76029999999999998</v>
      </c>
      <c r="I76" s="892">
        <v>0.58379999999999999</v>
      </c>
      <c r="J76" s="892">
        <v>0.58379999999999999</v>
      </c>
      <c r="K76" s="892">
        <v>0.58379999999999999</v>
      </c>
      <c r="L76" s="892">
        <v>0.58379999999999999</v>
      </c>
      <c r="M76" s="892">
        <v>0.58379999999999999</v>
      </c>
    </row>
    <row r="77" spans="1:13">
      <c r="A77" s="885">
        <v>7.5</v>
      </c>
      <c r="B77" s="892">
        <v>0.87</v>
      </c>
      <c r="C77" s="892">
        <v>0.87</v>
      </c>
      <c r="D77" s="892">
        <v>0.75849999999999995</v>
      </c>
      <c r="E77" s="892">
        <v>0.75849999999999995</v>
      </c>
      <c r="F77" s="892">
        <v>0.75849999999999995</v>
      </c>
      <c r="G77" s="892">
        <v>0.75849999999999995</v>
      </c>
      <c r="H77" s="892">
        <v>0.75849999999999995</v>
      </c>
      <c r="I77" s="892">
        <v>0.58140000000000003</v>
      </c>
      <c r="J77" s="892">
        <v>0.58140000000000003</v>
      </c>
      <c r="K77" s="892">
        <v>0.58140000000000003</v>
      </c>
      <c r="L77" s="892">
        <v>0.58140000000000003</v>
      </c>
      <c r="M77" s="892">
        <v>0.58140000000000003</v>
      </c>
    </row>
    <row r="78" spans="1:13">
      <c r="A78" s="885">
        <v>7.6</v>
      </c>
      <c r="B78" s="892">
        <v>0.86839999999999995</v>
      </c>
      <c r="C78" s="892">
        <v>0.86839999999999995</v>
      </c>
      <c r="D78" s="892">
        <v>0.75680000000000003</v>
      </c>
      <c r="E78" s="892">
        <v>0.75680000000000003</v>
      </c>
      <c r="F78" s="892">
        <v>0.75680000000000003</v>
      </c>
      <c r="G78" s="892">
        <v>0.75680000000000003</v>
      </c>
      <c r="H78" s="892">
        <v>0.75680000000000003</v>
      </c>
      <c r="I78" s="892">
        <v>0.57899999999999996</v>
      </c>
      <c r="J78" s="892">
        <v>0.57899999999999996</v>
      </c>
      <c r="K78" s="892">
        <v>0.57899999999999996</v>
      </c>
      <c r="L78" s="892">
        <v>0.57899999999999996</v>
      </c>
      <c r="M78" s="892">
        <v>0.57899999999999996</v>
      </c>
    </row>
    <row r="79" spans="1:13">
      <c r="A79" s="885">
        <v>7.7</v>
      </c>
      <c r="B79" s="892">
        <v>0.8669</v>
      </c>
      <c r="C79" s="892">
        <v>0.8669</v>
      </c>
      <c r="D79" s="892">
        <v>0.755</v>
      </c>
      <c r="E79" s="892">
        <v>0.755</v>
      </c>
      <c r="F79" s="892">
        <v>0.755</v>
      </c>
      <c r="G79" s="892">
        <v>0.755</v>
      </c>
      <c r="H79" s="892">
        <v>0.755</v>
      </c>
      <c r="I79" s="892">
        <v>0.57669999999999999</v>
      </c>
      <c r="J79" s="892">
        <v>0.57669999999999999</v>
      </c>
      <c r="K79" s="892">
        <v>0.57669999999999999</v>
      </c>
      <c r="L79" s="892">
        <v>0.57669999999999999</v>
      </c>
      <c r="M79" s="892">
        <v>0.57669999999999999</v>
      </c>
    </row>
    <row r="80" spans="1:13">
      <c r="A80" s="885">
        <v>7.8</v>
      </c>
      <c r="B80" s="892">
        <v>0.86539999999999995</v>
      </c>
      <c r="C80" s="892">
        <v>0.86539999999999995</v>
      </c>
      <c r="D80" s="892">
        <v>0.75329999999999997</v>
      </c>
      <c r="E80" s="892">
        <v>0.75329999999999997</v>
      </c>
      <c r="F80" s="892">
        <v>0.75329999999999997</v>
      </c>
      <c r="G80" s="892">
        <v>0.75329999999999997</v>
      </c>
      <c r="H80" s="892">
        <v>0.75329999999999997</v>
      </c>
      <c r="I80" s="892">
        <v>0.57450000000000001</v>
      </c>
      <c r="J80" s="892">
        <v>0.57450000000000001</v>
      </c>
      <c r="K80" s="892">
        <v>0.57450000000000001</v>
      </c>
      <c r="L80" s="892">
        <v>0.57450000000000001</v>
      </c>
      <c r="M80" s="892">
        <v>0.57450000000000001</v>
      </c>
    </row>
    <row r="81" spans="1:13">
      <c r="A81" s="885">
        <v>7.9</v>
      </c>
      <c r="B81" s="892">
        <v>0.86380000000000001</v>
      </c>
      <c r="C81" s="892">
        <v>0.86380000000000001</v>
      </c>
      <c r="D81" s="892">
        <v>0.75170000000000003</v>
      </c>
      <c r="E81" s="892">
        <v>0.75170000000000003</v>
      </c>
      <c r="F81" s="892">
        <v>0.75170000000000003</v>
      </c>
      <c r="G81" s="892">
        <v>0.75170000000000003</v>
      </c>
      <c r="H81" s="892">
        <v>0.75170000000000003</v>
      </c>
      <c r="I81" s="892">
        <v>0.57220000000000004</v>
      </c>
      <c r="J81" s="892">
        <v>0.57220000000000004</v>
      </c>
      <c r="K81" s="892">
        <v>0.57220000000000004</v>
      </c>
      <c r="L81" s="892">
        <v>0.57220000000000004</v>
      </c>
      <c r="M81" s="892">
        <v>0.57220000000000004</v>
      </c>
    </row>
    <row r="82" spans="1:13">
      <c r="A82" s="885">
        <v>8</v>
      </c>
      <c r="B82" s="892">
        <v>0.86240000000000006</v>
      </c>
      <c r="C82" s="892">
        <v>0.86240000000000006</v>
      </c>
      <c r="D82" s="892">
        <v>0.75</v>
      </c>
      <c r="E82" s="892">
        <v>0.75</v>
      </c>
      <c r="F82" s="892">
        <v>0.75</v>
      </c>
      <c r="G82" s="892">
        <v>0.75</v>
      </c>
      <c r="H82" s="892">
        <v>0.75</v>
      </c>
      <c r="I82" s="892">
        <v>0.56989999999999996</v>
      </c>
      <c r="J82" s="892">
        <v>0.56989999999999996</v>
      </c>
      <c r="K82" s="892">
        <v>0.56989999999999996</v>
      </c>
      <c r="L82" s="892">
        <v>0.56989999999999996</v>
      </c>
      <c r="M82" s="892">
        <v>0.56989999999999996</v>
      </c>
    </row>
    <row r="83" spans="1:13">
      <c r="A83" s="885">
        <v>8.1</v>
      </c>
      <c r="B83" s="892">
        <v>0.86099999999999999</v>
      </c>
      <c r="C83" s="892">
        <v>0.86099999999999999</v>
      </c>
      <c r="D83" s="892">
        <v>0.74850000000000005</v>
      </c>
      <c r="E83" s="892">
        <v>0.74850000000000005</v>
      </c>
      <c r="F83" s="892">
        <v>0.74850000000000005</v>
      </c>
      <c r="G83" s="892">
        <v>0.74850000000000005</v>
      </c>
      <c r="H83" s="892">
        <v>0.74850000000000005</v>
      </c>
      <c r="I83" s="892">
        <v>0.56779999999999997</v>
      </c>
      <c r="J83" s="892">
        <v>0.56779999999999997</v>
      </c>
      <c r="K83" s="892">
        <v>0.56779999999999997</v>
      </c>
      <c r="L83" s="892">
        <v>0.56779999999999997</v>
      </c>
      <c r="M83" s="892">
        <v>0.56779999999999997</v>
      </c>
    </row>
    <row r="84" spans="1:13">
      <c r="A84" s="885">
        <v>8.1999999999999993</v>
      </c>
      <c r="B84" s="892">
        <v>0.85970000000000002</v>
      </c>
      <c r="C84" s="892">
        <v>0.85970000000000002</v>
      </c>
      <c r="D84" s="892">
        <v>0.747</v>
      </c>
      <c r="E84" s="892">
        <v>0.747</v>
      </c>
      <c r="F84" s="892">
        <v>0.747</v>
      </c>
      <c r="G84" s="892">
        <v>0.747</v>
      </c>
      <c r="H84" s="892">
        <v>0.747</v>
      </c>
      <c r="I84" s="892">
        <v>0.56589999999999996</v>
      </c>
      <c r="J84" s="892">
        <v>0.56589999999999996</v>
      </c>
      <c r="K84" s="892">
        <v>0.56589999999999996</v>
      </c>
      <c r="L84" s="892">
        <v>0.56589999999999996</v>
      </c>
      <c r="M84" s="892">
        <v>0.56589999999999996</v>
      </c>
    </row>
    <row r="85" spans="1:13">
      <c r="A85" s="885">
        <v>8.3000000000000007</v>
      </c>
      <c r="B85" s="892">
        <v>0.85840000000000005</v>
      </c>
      <c r="C85" s="892">
        <v>0.85840000000000005</v>
      </c>
      <c r="D85" s="892">
        <v>0.74560000000000004</v>
      </c>
      <c r="E85" s="892">
        <v>0.74560000000000004</v>
      </c>
      <c r="F85" s="892">
        <v>0.74560000000000004</v>
      </c>
      <c r="G85" s="892">
        <v>0.74560000000000004</v>
      </c>
      <c r="H85" s="892">
        <v>0.74560000000000004</v>
      </c>
      <c r="I85" s="892">
        <v>0.56389999999999996</v>
      </c>
      <c r="J85" s="892">
        <v>0.56389999999999996</v>
      </c>
      <c r="K85" s="892">
        <v>0.56389999999999996</v>
      </c>
      <c r="L85" s="892">
        <v>0.56389999999999996</v>
      </c>
      <c r="M85" s="892">
        <v>0.56389999999999996</v>
      </c>
    </row>
    <row r="86" spans="1:13">
      <c r="A86" s="885">
        <v>8.4</v>
      </c>
      <c r="B86" s="892">
        <v>0.85709999999999997</v>
      </c>
      <c r="C86" s="892">
        <v>0.85709999999999997</v>
      </c>
      <c r="D86" s="892">
        <v>0.74419999999999997</v>
      </c>
      <c r="E86" s="892">
        <v>0.74419999999999997</v>
      </c>
      <c r="F86" s="892">
        <v>0.74419999999999997</v>
      </c>
      <c r="G86" s="892">
        <v>0.74419999999999997</v>
      </c>
      <c r="H86" s="892">
        <v>0.74419999999999997</v>
      </c>
      <c r="I86" s="892">
        <v>0.56189999999999996</v>
      </c>
      <c r="J86" s="892">
        <v>0.56189999999999996</v>
      </c>
      <c r="K86" s="892">
        <v>0.56189999999999996</v>
      </c>
      <c r="L86" s="892">
        <v>0.56189999999999996</v>
      </c>
      <c r="M86" s="892">
        <v>0.56189999999999996</v>
      </c>
    </row>
    <row r="87" spans="1:13">
      <c r="A87" s="885">
        <v>8.5</v>
      </c>
      <c r="B87" s="892">
        <v>0.85580000000000001</v>
      </c>
      <c r="C87" s="892">
        <v>0.85580000000000001</v>
      </c>
      <c r="D87" s="892">
        <v>0.74270000000000003</v>
      </c>
      <c r="E87" s="892">
        <v>0.74270000000000003</v>
      </c>
      <c r="F87" s="892">
        <v>0.74270000000000003</v>
      </c>
      <c r="G87" s="892">
        <v>0.74270000000000003</v>
      </c>
      <c r="H87" s="892">
        <v>0.74270000000000003</v>
      </c>
      <c r="I87" s="892">
        <v>0.55989999999999995</v>
      </c>
      <c r="J87" s="892">
        <v>0.55989999999999995</v>
      </c>
      <c r="K87" s="892">
        <v>0.55989999999999995</v>
      </c>
      <c r="L87" s="892">
        <v>0.55989999999999995</v>
      </c>
      <c r="M87" s="892">
        <v>0.55989999999999995</v>
      </c>
    </row>
    <row r="88" spans="1:13">
      <c r="A88" s="885">
        <v>8.6</v>
      </c>
      <c r="B88" s="892">
        <v>0.85450000000000004</v>
      </c>
      <c r="C88" s="892">
        <v>0.85450000000000004</v>
      </c>
      <c r="D88" s="892">
        <v>0.74129999999999996</v>
      </c>
      <c r="E88" s="892">
        <v>0.74129999999999996</v>
      </c>
      <c r="F88" s="892">
        <v>0.74129999999999996</v>
      </c>
      <c r="G88" s="892">
        <v>0.74129999999999996</v>
      </c>
      <c r="H88" s="892">
        <v>0.74129999999999996</v>
      </c>
      <c r="I88" s="892">
        <v>0.55800000000000005</v>
      </c>
      <c r="J88" s="892">
        <v>0.55800000000000005</v>
      </c>
      <c r="K88" s="892">
        <v>0.55800000000000005</v>
      </c>
      <c r="L88" s="892">
        <v>0.55800000000000005</v>
      </c>
      <c r="M88" s="892">
        <v>0.55800000000000005</v>
      </c>
    </row>
    <row r="89" spans="1:13">
      <c r="A89" s="885">
        <v>8.6999999999999993</v>
      </c>
      <c r="B89" s="892">
        <v>0.85329999999999995</v>
      </c>
      <c r="C89" s="892">
        <v>0.85329999999999995</v>
      </c>
      <c r="D89" s="892">
        <v>0.7399</v>
      </c>
      <c r="E89" s="892">
        <v>0.7399</v>
      </c>
      <c r="F89" s="892">
        <v>0.7399</v>
      </c>
      <c r="G89" s="892">
        <v>0.7399</v>
      </c>
      <c r="H89" s="892">
        <v>0.7399</v>
      </c>
      <c r="I89" s="892">
        <v>0.55600000000000005</v>
      </c>
      <c r="J89" s="892">
        <v>0.55600000000000005</v>
      </c>
      <c r="K89" s="892">
        <v>0.55600000000000005</v>
      </c>
      <c r="L89" s="892">
        <v>0.55600000000000005</v>
      </c>
      <c r="M89" s="892">
        <v>0.55600000000000005</v>
      </c>
    </row>
    <row r="90" spans="1:13">
      <c r="A90" s="885">
        <v>8.8000000000000007</v>
      </c>
      <c r="B90" s="892">
        <v>0.85209999999999997</v>
      </c>
      <c r="C90" s="892">
        <v>0.85209999999999997</v>
      </c>
      <c r="D90" s="892">
        <v>0.73850000000000005</v>
      </c>
      <c r="E90" s="892">
        <v>0.73850000000000005</v>
      </c>
      <c r="F90" s="892">
        <v>0.73850000000000005</v>
      </c>
      <c r="G90" s="892">
        <v>0.73850000000000005</v>
      </c>
      <c r="H90" s="892">
        <v>0.73850000000000005</v>
      </c>
      <c r="I90" s="892">
        <v>0.55420000000000003</v>
      </c>
      <c r="J90" s="892">
        <v>0.55420000000000003</v>
      </c>
      <c r="K90" s="892">
        <v>0.55420000000000003</v>
      </c>
      <c r="L90" s="892">
        <v>0.55420000000000003</v>
      </c>
      <c r="M90" s="892">
        <v>0.55420000000000003</v>
      </c>
    </row>
    <row r="91" spans="1:13">
      <c r="A91" s="885">
        <v>8.9</v>
      </c>
      <c r="B91" s="892">
        <v>0.85099999999999998</v>
      </c>
      <c r="C91" s="892">
        <v>0.85099999999999998</v>
      </c>
      <c r="D91" s="892">
        <v>0.73719999999999997</v>
      </c>
      <c r="E91" s="892">
        <v>0.73719999999999997</v>
      </c>
      <c r="F91" s="892">
        <v>0.73719999999999997</v>
      </c>
      <c r="G91" s="892">
        <v>0.73719999999999997</v>
      </c>
      <c r="H91" s="892">
        <v>0.73719999999999997</v>
      </c>
      <c r="I91" s="892">
        <v>0.55230000000000001</v>
      </c>
      <c r="J91" s="892">
        <v>0.55230000000000001</v>
      </c>
      <c r="K91" s="892">
        <v>0.55230000000000001</v>
      </c>
      <c r="L91" s="892">
        <v>0.55230000000000001</v>
      </c>
      <c r="M91" s="892">
        <v>0.55230000000000001</v>
      </c>
    </row>
    <row r="92" spans="1:13">
      <c r="A92" s="900">
        <v>9</v>
      </c>
      <c r="B92" s="892">
        <v>0.8498</v>
      </c>
      <c r="C92" s="892">
        <v>0.8498</v>
      </c>
      <c r="D92" s="892">
        <v>0.7359</v>
      </c>
      <c r="E92" s="892">
        <v>0.7359</v>
      </c>
      <c r="F92" s="892">
        <v>0.7359</v>
      </c>
      <c r="G92" s="892">
        <v>0.7359</v>
      </c>
      <c r="H92" s="892">
        <v>0.7359</v>
      </c>
      <c r="I92" s="892">
        <v>0.55049999999999999</v>
      </c>
      <c r="J92" s="892">
        <v>0.55049999999999999</v>
      </c>
      <c r="K92" s="892">
        <v>0.55049999999999999</v>
      </c>
      <c r="L92" s="892">
        <v>0.55049999999999999</v>
      </c>
      <c r="M92" s="892">
        <v>0.55049999999999999</v>
      </c>
    </row>
    <row r="93" spans="1:13">
      <c r="A93" s="900">
        <v>9.1</v>
      </c>
      <c r="B93" s="892">
        <v>0.84870000000000001</v>
      </c>
      <c r="C93" s="892">
        <v>0.84870000000000001</v>
      </c>
      <c r="D93" s="892">
        <v>0.73470000000000002</v>
      </c>
      <c r="E93" s="892">
        <v>0.73470000000000002</v>
      </c>
      <c r="F93" s="892">
        <v>0.73470000000000002</v>
      </c>
      <c r="G93" s="892">
        <v>0.73470000000000002</v>
      </c>
      <c r="H93" s="892">
        <v>0.73470000000000002</v>
      </c>
      <c r="I93" s="892">
        <v>0.54879999999999995</v>
      </c>
      <c r="J93" s="892">
        <v>0.54879999999999995</v>
      </c>
      <c r="K93" s="892">
        <v>0.54879999999999995</v>
      </c>
      <c r="L93" s="892">
        <v>0.54879999999999995</v>
      </c>
      <c r="M93" s="892">
        <v>0.54879999999999995</v>
      </c>
    </row>
    <row r="94" spans="1:13">
      <c r="A94" s="900">
        <v>9.1999999999999993</v>
      </c>
      <c r="B94" s="892">
        <v>0.84770000000000001</v>
      </c>
      <c r="C94" s="892">
        <v>0.84770000000000001</v>
      </c>
      <c r="D94" s="892">
        <v>0.73350000000000004</v>
      </c>
      <c r="E94" s="892">
        <v>0.73350000000000004</v>
      </c>
      <c r="F94" s="892">
        <v>0.73350000000000004</v>
      </c>
      <c r="G94" s="892">
        <v>0.73350000000000004</v>
      </c>
      <c r="H94" s="892">
        <v>0.73350000000000004</v>
      </c>
      <c r="I94" s="892">
        <v>0.54710000000000003</v>
      </c>
      <c r="J94" s="892">
        <v>0.54710000000000003</v>
      </c>
      <c r="K94" s="892">
        <v>0.54710000000000003</v>
      </c>
      <c r="L94" s="892">
        <v>0.54710000000000003</v>
      </c>
      <c r="M94" s="892">
        <v>0.54710000000000003</v>
      </c>
    </row>
    <row r="95" spans="1:13">
      <c r="A95" s="900">
        <v>9.3000000000000007</v>
      </c>
      <c r="B95" s="892">
        <v>0.84660000000000002</v>
      </c>
      <c r="C95" s="892">
        <v>0.84660000000000002</v>
      </c>
      <c r="D95" s="892">
        <v>0.73229999999999995</v>
      </c>
      <c r="E95" s="892">
        <v>0.73229999999999995</v>
      </c>
      <c r="F95" s="892">
        <v>0.73229999999999995</v>
      </c>
      <c r="G95" s="892">
        <v>0.73229999999999995</v>
      </c>
      <c r="H95" s="892">
        <v>0.73229999999999995</v>
      </c>
      <c r="I95" s="892">
        <v>0.5454</v>
      </c>
      <c r="J95" s="892">
        <v>0.5454</v>
      </c>
      <c r="K95" s="892">
        <v>0.5454</v>
      </c>
      <c r="L95" s="892">
        <v>0.5454</v>
      </c>
      <c r="M95" s="892">
        <v>0.5454</v>
      </c>
    </row>
    <row r="96" spans="1:13">
      <c r="A96" s="900">
        <v>9.4</v>
      </c>
      <c r="B96" s="892">
        <v>0.84550000000000003</v>
      </c>
      <c r="C96" s="892">
        <v>0.84550000000000003</v>
      </c>
      <c r="D96" s="892">
        <v>0.73109999999999997</v>
      </c>
      <c r="E96" s="892">
        <v>0.73109999999999997</v>
      </c>
      <c r="F96" s="892">
        <v>0.73109999999999997</v>
      </c>
      <c r="G96" s="892">
        <v>0.73109999999999997</v>
      </c>
      <c r="H96" s="892">
        <v>0.73109999999999997</v>
      </c>
      <c r="I96" s="892">
        <v>0.54369999999999996</v>
      </c>
      <c r="J96" s="892">
        <v>0.54369999999999996</v>
      </c>
      <c r="K96" s="892">
        <v>0.54369999999999996</v>
      </c>
      <c r="L96" s="892">
        <v>0.54369999999999996</v>
      </c>
      <c r="M96" s="892">
        <v>0.54369999999999996</v>
      </c>
    </row>
    <row r="97" spans="1:14">
      <c r="A97" s="900">
        <v>9.5</v>
      </c>
      <c r="B97" s="892">
        <v>0.84450000000000003</v>
      </c>
      <c r="C97" s="892">
        <v>0.84450000000000003</v>
      </c>
      <c r="D97" s="892">
        <v>0.72989999999999999</v>
      </c>
      <c r="E97" s="892">
        <v>0.72989999999999999</v>
      </c>
      <c r="F97" s="892">
        <v>0.72989999999999999</v>
      </c>
      <c r="G97" s="892">
        <v>0.72989999999999999</v>
      </c>
      <c r="H97" s="892">
        <v>0.72989999999999999</v>
      </c>
      <c r="I97" s="892">
        <v>0.54200000000000004</v>
      </c>
      <c r="J97" s="892">
        <v>0.54200000000000004</v>
      </c>
      <c r="K97" s="892">
        <v>0.54200000000000004</v>
      </c>
      <c r="L97" s="892">
        <v>0.54200000000000004</v>
      </c>
      <c r="M97" s="892">
        <v>0.54200000000000004</v>
      </c>
    </row>
    <row r="98" spans="1:14">
      <c r="A98" s="900">
        <v>9.6</v>
      </c>
      <c r="B98" s="892">
        <v>0.84340000000000004</v>
      </c>
      <c r="C98" s="892">
        <v>0.84340000000000004</v>
      </c>
      <c r="D98" s="892">
        <v>0.72870000000000001</v>
      </c>
      <c r="E98" s="892">
        <v>0.72870000000000001</v>
      </c>
      <c r="F98" s="892">
        <v>0.72870000000000001</v>
      </c>
      <c r="G98" s="892">
        <v>0.72870000000000001</v>
      </c>
      <c r="H98" s="892">
        <v>0.72870000000000001</v>
      </c>
      <c r="I98" s="892">
        <v>0.5403</v>
      </c>
      <c r="J98" s="892">
        <v>0.5403</v>
      </c>
      <c r="K98" s="892">
        <v>0.5403</v>
      </c>
      <c r="L98" s="892">
        <v>0.5403</v>
      </c>
      <c r="M98" s="892">
        <v>0.5403</v>
      </c>
    </row>
    <row r="99" spans="1:14">
      <c r="A99" s="900">
        <v>9.6999999999999993</v>
      </c>
      <c r="B99" s="892">
        <v>0.84230000000000005</v>
      </c>
      <c r="C99" s="892">
        <v>0.84230000000000005</v>
      </c>
      <c r="D99" s="892">
        <v>0.72750000000000004</v>
      </c>
      <c r="E99" s="892">
        <v>0.72750000000000004</v>
      </c>
      <c r="F99" s="892">
        <v>0.72750000000000004</v>
      </c>
      <c r="G99" s="892">
        <v>0.72750000000000004</v>
      </c>
      <c r="H99" s="892">
        <v>0.72750000000000004</v>
      </c>
      <c r="I99" s="892">
        <v>0.53859999999999997</v>
      </c>
      <c r="J99" s="892">
        <v>0.53859999999999997</v>
      </c>
      <c r="K99" s="892">
        <v>0.53859999999999997</v>
      </c>
      <c r="L99" s="892">
        <v>0.53859999999999997</v>
      </c>
      <c r="M99" s="892">
        <v>0.53859999999999997</v>
      </c>
    </row>
    <row r="100" spans="1:14">
      <c r="A100" s="900">
        <v>9.8000000000000007</v>
      </c>
      <c r="B100" s="892">
        <v>0.84140000000000004</v>
      </c>
      <c r="C100" s="892">
        <v>0.84140000000000004</v>
      </c>
      <c r="D100" s="892">
        <v>0.72629999999999995</v>
      </c>
      <c r="E100" s="892">
        <v>0.72629999999999995</v>
      </c>
      <c r="F100" s="892">
        <v>0.72629999999999995</v>
      </c>
      <c r="G100" s="892">
        <v>0.72629999999999995</v>
      </c>
      <c r="H100" s="892">
        <v>0.72629999999999995</v>
      </c>
      <c r="I100" s="892">
        <v>0.53710000000000002</v>
      </c>
      <c r="J100" s="892">
        <v>0.53710000000000002</v>
      </c>
      <c r="K100" s="892">
        <v>0.53710000000000002</v>
      </c>
      <c r="L100" s="892">
        <v>0.53710000000000002</v>
      </c>
      <c r="M100" s="892">
        <v>0.53710000000000002</v>
      </c>
    </row>
    <row r="101" spans="1:14">
      <c r="A101" s="900">
        <v>9.9</v>
      </c>
      <c r="B101" s="892">
        <v>0.84050000000000002</v>
      </c>
      <c r="C101" s="892">
        <v>0.84050000000000002</v>
      </c>
      <c r="D101" s="892">
        <v>0.72519999999999996</v>
      </c>
      <c r="E101" s="892">
        <v>0.72519999999999996</v>
      </c>
      <c r="F101" s="892">
        <v>0.72519999999999996</v>
      </c>
      <c r="G101" s="892">
        <v>0.72519999999999996</v>
      </c>
      <c r="H101" s="892">
        <v>0.72519999999999996</v>
      </c>
      <c r="I101" s="892">
        <v>0.53549999999999998</v>
      </c>
      <c r="J101" s="892">
        <v>0.53549999999999998</v>
      </c>
      <c r="K101" s="892">
        <v>0.53549999999999998</v>
      </c>
      <c r="L101" s="892">
        <v>0.53549999999999998</v>
      </c>
      <c r="M101" s="892">
        <v>0.53549999999999998</v>
      </c>
    </row>
    <row r="102" spans="1:14">
      <c r="A102" s="900">
        <v>10</v>
      </c>
      <c r="B102" s="892">
        <v>0.83950000000000002</v>
      </c>
      <c r="C102" s="892">
        <v>0.83950000000000002</v>
      </c>
      <c r="D102" s="892">
        <v>0.72409999999999997</v>
      </c>
      <c r="E102" s="892">
        <v>0.72409999999999997</v>
      </c>
      <c r="F102" s="892">
        <v>0.72409999999999997</v>
      </c>
      <c r="G102" s="892">
        <v>0.72409999999999997</v>
      </c>
      <c r="H102" s="892">
        <v>0.72409999999999997</v>
      </c>
      <c r="I102" s="892">
        <v>0.53400000000000003</v>
      </c>
      <c r="J102" s="892">
        <v>0.53400000000000003</v>
      </c>
      <c r="K102" s="892">
        <v>0.53400000000000003</v>
      </c>
      <c r="L102" s="892">
        <v>0.53400000000000003</v>
      </c>
      <c r="M102" s="892">
        <v>0.53400000000000003</v>
      </c>
    </row>
    <row r="103" spans="1:14" ht="14.25">
      <c r="A103" s="882" t="s">
        <v>748</v>
      </c>
      <c r="B103" s="883"/>
      <c r="C103" s="883"/>
      <c r="D103" s="883"/>
      <c r="E103" s="883"/>
      <c r="F103" s="883"/>
      <c r="G103" s="883"/>
      <c r="H103" s="883"/>
      <c r="I103" s="883"/>
      <c r="J103" s="883"/>
      <c r="K103" s="883"/>
      <c r="L103" s="883"/>
      <c r="M103" s="883"/>
      <c r="N103" s="883"/>
    </row>
    <row r="104" spans="1:14" ht="14.25">
      <c r="A104" s="885" t="s">
        <v>746</v>
      </c>
      <c r="B104" s="886" t="s">
        <v>157</v>
      </c>
      <c r="C104" s="886" t="s">
        <v>158</v>
      </c>
      <c r="D104" s="886" t="s">
        <v>159</v>
      </c>
      <c r="E104" s="886" t="s">
        <v>160</v>
      </c>
      <c r="F104" s="886" t="s">
        <v>161</v>
      </c>
      <c r="G104" s="886" t="s">
        <v>162</v>
      </c>
      <c r="H104" s="887" t="s">
        <v>163</v>
      </c>
      <c r="I104" s="887" t="s">
        <v>164</v>
      </c>
      <c r="J104" s="888" t="s">
        <v>165</v>
      </c>
      <c r="K104" s="888" t="s">
        <v>166</v>
      </c>
      <c r="L104" s="888" t="s">
        <v>167</v>
      </c>
      <c r="M104" s="888" t="s">
        <v>168</v>
      </c>
      <c r="N104" s="883">
        <f>SUMPRODUCT((A105:A204=ROUNDDOWN(基准地价修正!G3,1))*(B104:M104=基准地价修正!G2)*(B105:M204))</f>
        <v>0</v>
      </c>
    </row>
    <row r="105" spans="1:14">
      <c r="A105" s="885">
        <v>0.1</v>
      </c>
      <c r="B105" s="892">
        <v>13.733000000000001</v>
      </c>
      <c r="C105" s="892">
        <v>13.733000000000001</v>
      </c>
      <c r="D105" s="892">
        <v>12.787000000000001</v>
      </c>
      <c r="E105" s="892">
        <v>12.787000000000001</v>
      </c>
      <c r="F105" s="892">
        <v>12.787000000000001</v>
      </c>
      <c r="G105" s="892">
        <v>12.787000000000001</v>
      </c>
      <c r="H105" s="892">
        <v>12.787000000000001</v>
      </c>
      <c r="I105" s="892">
        <v>12.384</v>
      </c>
      <c r="J105" s="892">
        <v>12.384</v>
      </c>
      <c r="K105" s="892">
        <v>12.384</v>
      </c>
      <c r="L105" s="892">
        <v>12.384</v>
      </c>
      <c r="M105" s="892">
        <v>12.384</v>
      </c>
    </row>
    <row r="106" spans="1:14">
      <c r="A106" s="885">
        <v>0.2</v>
      </c>
      <c r="B106" s="892">
        <v>6.8665000000000003</v>
      </c>
      <c r="C106" s="892">
        <v>6.8665000000000003</v>
      </c>
      <c r="D106" s="892">
        <v>6.3935000000000004</v>
      </c>
      <c r="E106" s="892">
        <v>6.3935000000000004</v>
      </c>
      <c r="F106" s="892">
        <v>6.3935000000000004</v>
      </c>
      <c r="G106" s="892">
        <v>6.3935000000000004</v>
      </c>
      <c r="H106" s="892">
        <v>6.3935000000000004</v>
      </c>
      <c r="I106" s="892">
        <v>6.1920000000000002</v>
      </c>
      <c r="J106" s="892">
        <v>6.1920000000000002</v>
      </c>
      <c r="K106" s="892">
        <v>6.1920000000000002</v>
      </c>
      <c r="L106" s="892">
        <v>6.1920000000000002</v>
      </c>
      <c r="M106" s="892">
        <v>6.1920000000000002</v>
      </c>
    </row>
    <row r="107" spans="1:14">
      <c r="A107" s="885">
        <v>0.3</v>
      </c>
      <c r="B107" s="892">
        <v>4.5777000000000001</v>
      </c>
      <c r="C107" s="892">
        <v>4.5777000000000001</v>
      </c>
      <c r="D107" s="892">
        <v>4.2622999999999998</v>
      </c>
      <c r="E107" s="892">
        <v>4.2622999999999998</v>
      </c>
      <c r="F107" s="892">
        <v>4.2622999999999998</v>
      </c>
      <c r="G107" s="892">
        <v>4.2622999999999998</v>
      </c>
      <c r="H107" s="892">
        <v>4.2622999999999998</v>
      </c>
      <c r="I107" s="892">
        <v>4.1280000000000001</v>
      </c>
      <c r="J107" s="892">
        <v>4.1280000000000001</v>
      </c>
      <c r="K107" s="892">
        <v>4.1280000000000001</v>
      </c>
      <c r="L107" s="892">
        <v>4.1280000000000001</v>
      </c>
      <c r="M107" s="892">
        <v>4.1280000000000001</v>
      </c>
    </row>
    <row r="108" spans="1:14">
      <c r="A108" s="885">
        <v>0.4</v>
      </c>
      <c r="B108" s="892">
        <v>3.4333</v>
      </c>
      <c r="C108" s="892">
        <v>3.4333</v>
      </c>
      <c r="D108" s="892">
        <v>3.1968000000000001</v>
      </c>
      <c r="E108" s="892">
        <v>3.1968000000000001</v>
      </c>
      <c r="F108" s="892">
        <v>3.1968000000000001</v>
      </c>
      <c r="G108" s="892">
        <v>3.1968000000000001</v>
      </c>
      <c r="H108" s="892">
        <v>3.1968000000000001</v>
      </c>
      <c r="I108" s="892">
        <v>3.0960000000000001</v>
      </c>
      <c r="J108" s="892">
        <v>3.0960000000000001</v>
      </c>
      <c r="K108" s="892">
        <v>3.0960000000000001</v>
      </c>
      <c r="L108" s="892">
        <v>3.0960000000000001</v>
      </c>
      <c r="M108" s="892">
        <v>3.0960000000000001</v>
      </c>
    </row>
    <row r="109" spans="1:14">
      <c r="A109" s="885">
        <v>0.5</v>
      </c>
      <c r="B109" s="892">
        <v>2.7465999999999999</v>
      </c>
      <c r="C109" s="892">
        <v>2.7465999999999999</v>
      </c>
      <c r="D109" s="892">
        <v>2.5573999999999999</v>
      </c>
      <c r="E109" s="892">
        <v>2.5573999999999999</v>
      </c>
      <c r="F109" s="892">
        <v>2.5573999999999999</v>
      </c>
      <c r="G109" s="892">
        <v>2.5573999999999999</v>
      </c>
      <c r="H109" s="892">
        <v>2.5573999999999999</v>
      </c>
      <c r="I109" s="892">
        <v>2.4767999999999999</v>
      </c>
      <c r="J109" s="892">
        <v>2.4767999999999999</v>
      </c>
      <c r="K109" s="892">
        <v>2.4767999999999999</v>
      </c>
      <c r="L109" s="892">
        <v>2.4767999999999999</v>
      </c>
      <c r="M109" s="892">
        <v>2.4767999999999999</v>
      </c>
    </row>
    <row r="110" spans="1:14">
      <c r="A110" s="885">
        <v>0.6</v>
      </c>
      <c r="B110" s="892">
        <v>2.2888000000000002</v>
      </c>
      <c r="C110" s="892">
        <v>2.2888000000000002</v>
      </c>
      <c r="D110" s="892">
        <v>2.1312000000000002</v>
      </c>
      <c r="E110" s="892">
        <v>2.1312000000000002</v>
      </c>
      <c r="F110" s="892">
        <v>2.1312000000000002</v>
      </c>
      <c r="G110" s="892">
        <v>2.1312000000000002</v>
      </c>
      <c r="H110" s="892">
        <v>2.1312000000000002</v>
      </c>
      <c r="I110" s="892">
        <v>2.0640000000000001</v>
      </c>
      <c r="J110" s="892">
        <v>2.0640000000000001</v>
      </c>
      <c r="K110" s="892">
        <v>2.0640000000000001</v>
      </c>
      <c r="L110" s="892">
        <v>2.0640000000000001</v>
      </c>
      <c r="M110" s="892">
        <v>2.0640000000000001</v>
      </c>
    </row>
    <row r="111" spans="1:14">
      <c r="A111" s="885">
        <v>0.7</v>
      </c>
      <c r="B111" s="892">
        <v>1.9619</v>
      </c>
      <c r="C111" s="892">
        <v>1.9619</v>
      </c>
      <c r="D111" s="892">
        <v>1.8267</v>
      </c>
      <c r="E111" s="892">
        <v>1.8267</v>
      </c>
      <c r="F111" s="892">
        <v>1.8267</v>
      </c>
      <c r="G111" s="892">
        <v>1.8267</v>
      </c>
      <c r="H111" s="892">
        <v>1.8267</v>
      </c>
      <c r="I111" s="892">
        <v>1.7690999999999999</v>
      </c>
      <c r="J111" s="892">
        <v>1.7690999999999999</v>
      </c>
      <c r="K111" s="892">
        <v>1.7690999999999999</v>
      </c>
      <c r="L111" s="892">
        <v>1.7690999999999999</v>
      </c>
      <c r="M111" s="892">
        <v>1.7690999999999999</v>
      </c>
    </row>
    <row r="112" spans="1:14">
      <c r="A112" s="885">
        <v>0.8</v>
      </c>
      <c r="B112" s="892">
        <v>1.7165999999999999</v>
      </c>
      <c r="C112" s="892">
        <v>1.7165999999999999</v>
      </c>
      <c r="D112" s="892">
        <v>1.5984</v>
      </c>
      <c r="E112" s="892">
        <v>1.5984</v>
      </c>
      <c r="F112" s="892">
        <v>1.5984</v>
      </c>
      <c r="G112" s="892">
        <v>1.5984</v>
      </c>
      <c r="H112" s="892">
        <v>1.5984</v>
      </c>
      <c r="I112" s="892">
        <v>1.548</v>
      </c>
      <c r="J112" s="892">
        <v>1.548</v>
      </c>
      <c r="K112" s="892">
        <v>1.548</v>
      </c>
      <c r="L112" s="892">
        <v>1.548</v>
      </c>
      <c r="M112" s="892">
        <v>1.548</v>
      </c>
    </row>
    <row r="113" spans="1:13">
      <c r="A113" s="885">
        <v>0.9</v>
      </c>
      <c r="B113" s="892">
        <v>1.5259</v>
      </c>
      <c r="C113" s="892">
        <v>1.5259</v>
      </c>
      <c r="D113" s="892">
        <v>1.4208000000000001</v>
      </c>
      <c r="E113" s="892">
        <v>1.4208000000000001</v>
      </c>
      <c r="F113" s="892">
        <v>1.4208000000000001</v>
      </c>
      <c r="G113" s="892">
        <v>1.4208000000000001</v>
      </c>
      <c r="H113" s="892">
        <v>1.4208000000000001</v>
      </c>
      <c r="I113" s="892">
        <v>1.3759999999999999</v>
      </c>
      <c r="J113" s="892">
        <v>1.3759999999999999</v>
      </c>
      <c r="K113" s="892">
        <v>1.3759999999999999</v>
      </c>
      <c r="L113" s="892">
        <v>1.3759999999999999</v>
      </c>
      <c r="M113" s="892">
        <v>1.3759999999999999</v>
      </c>
    </row>
    <row r="114" spans="1:13">
      <c r="A114" s="885">
        <v>1</v>
      </c>
      <c r="B114" s="892">
        <v>1.3733</v>
      </c>
      <c r="C114" s="892">
        <v>1.3733</v>
      </c>
      <c r="D114" s="892">
        <v>1.2786999999999999</v>
      </c>
      <c r="E114" s="892">
        <v>1.2786999999999999</v>
      </c>
      <c r="F114" s="892">
        <v>1.2786999999999999</v>
      </c>
      <c r="G114" s="892">
        <v>1.2786999999999999</v>
      </c>
      <c r="H114" s="892">
        <v>1.2786999999999999</v>
      </c>
      <c r="I114" s="892">
        <v>1.2383999999999999</v>
      </c>
      <c r="J114" s="892">
        <v>1.2383999999999999</v>
      </c>
      <c r="K114" s="892">
        <v>1.2383999999999999</v>
      </c>
      <c r="L114" s="892">
        <v>1.2383999999999999</v>
      </c>
      <c r="M114" s="892">
        <v>1.2383999999999999</v>
      </c>
    </row>
    <row r="115" spans="1:13">
      <c r="A115" s="885">
        <v>1.1000000000000001</v>
      </c>
      <c r="B115" s="892">
        <v>1.3489</v>
      </c>
      <c r="C115" s="892">
        <v>1.3489</v>
      </c>
      <c r="D115" s="892">
        <v>1.2542</v>
      </c>
      <c r="E115" s="892">
        <v>1.2542</v>
      </c>
      <c r="F115" s="892">
        <v>1.2542</v>
      </c>
      <c r="G115" s="892">
        <v>1.2542</v>
      </c>
      <c r="H115" s="892">
        <v>1.2542</v>
      </c>
      <c r="I115" s="892">
        <v>1.2050000000000001</v>
      </c>
      <c r="J115" s="892">
        <v>1.2050000000000001</v>
      </c>
      <c r="K115" s="892">
        <v>1.2050000000000001</v>
      </c>
      <c r="L115" s="892">
        <v>1.2050000000000001</v>
      </c>
      <c r="M115" s="892">
        <v>1.2050000000000001</v>
      </c>
    </row>
    <row r="116" spans="1:13">
      <c r="A116" s="885">
        <v>1.2</v>
      </c>
      <c r="B116" s="892">
        <v>1.3255999999999999</v>
      </c>
      <c r="C116" s="892">
        <v>1.3255999999999999</v>
      </c>
      <c r="D116" s="892">
        <v>1.2305999999999999</v>
      </c>
      <c r="E116" s="892">
        <v>1.2305999999999999</v>
      </c>
      <c r="F116" s="892">
        <v>1.2305999999999999</v>
      </c>
      <c r="G116" s="892">
        <v>1.2305999999999999</v>
      </c>
      <c r="H116" s="892">
        <v>1.2305999999999999</v>
      </c>
      <c r="I116" s="892">
        <v>1.1741999999999999</v>
      </c>
      <c r="J116" s="892">
        <v>1.1741999999999999</v>
      </c>
      <c r="K116" s="892">
        <v>1.1741999999999999</v>
      </c>
      <c r="L116" s="892">
        <v>1.1741999999999999</v>
      </c>
      <c r="M116" s="892">
        <v>1.1741999999999999</v>
      </c>
    </row>
    <row r="117" spans="1:13">
      <c r="A117" s="885">
        <v>1.3</v>
      </c>
      <c r="B117" s="892">
        <v>1.3032999999999999</v>
      </c>
      <c r="C117" s="892">
        <v>1.3032999999999999</v>
      </c>
      <c r="D117" s="892">
        <v>1.2079</v>
      </c>
      <c r="E117" s="892">
        <v>1.2079</v>
      </c>
      <c r="F117" s="892">
        <v>1.2079</v>
      </c>
      <c r="G117" s="892">
        <v>1.2079</v>
      </c>
      <c r="H117" s="892">
        <v>1.2079</v>
      </c>
      <c r="I117" s="892">
        <v>1.1459999999999999</v>
      </c>
      <c r="J117" s="892">
        <v>1.1459999999999999</v>
      </c>
      <c r="K117" s="892">
        <v>1.1459999999999999</v>
      </c>
      <c r="L117" s="892">
        <v>1.1459999999999999</v>
      </c>
      <c r="M117" s="892">
        <v>1.1459999999999999</v>
      </c>
    </row>
    <row r="118" spans="1:13">
      <c r="A118" s="885">
        <v>1.4</v>
      </c>
      <c r="B118" s="892">
        <v>1.282</v>
      </c>
      <c r="C118" s="892">
        <v>1.282</v>
      </c>
      <c r="D118" s="892">
        <v>1.1861999999999999</v>
      </c>
      <c r="E118" s="892">
        <v>1.1861999999999999</v>
      </c>
      <c r="F118" s="892">
        <v>1.1861999999999999</v>
      </c>
      <c r="G118" s="892">
        <v>1.1861999999999999</v>
      </c>
      <c r="H118" s="892">
        <v>1.1861999999999999</v>
      </c>
      <c r="I118" s="892">
        <v>1.1200000000000001</v>
      </c>
      <c r="J118" s="892">
        <v>1.1200000000000001</v>
      </c>
      <c r="K118" s="892">
        <v>1.1200000000000001</v>
      </c>
      <c r="L118" s="892">
        <v>1.1200000000000001</v>
      </c>
      <c r="M118" s="892">
        <v>1.1200000000000001</v>
      </c>
    </row>
    <row r="119" spans="1:13">
      <c r="A119" s="885">
        <v>1.5</v>
      </c>
      <c r="B119" s="892">
        <v>1.2617</v>
      </c>
      <c r="C119" s="892">
        <v>1.2617</v>
      </c>
      <c r="D119" s="892">
        <v>1.1653</v>
      </c>
      <c r="E119" s="892">
        <v>1.1653</v>
      </c>
      <c r="F119" s="892">
        <v>1.1653</v>
      </c>
      <c r="G119" s="892">
        <v>1.1653</v>
      </c>
      <c r="H119" s="892">
        <v>1.1653</v>
      </c>
      <c r="I119" s="892">
        <v>1.0961000000000001</v>
      </c>
      <c r="J119" s="892">
        <v>1.0961000000000001</v>
      </c>
      <c r="K119" s="892">
        <v>1.0961000000000001</v>
      </c>
      <c r="L119" s="892">
        <v>1.0961000000000001</v>
      </c>
      <c r="M119" s="892">
        <v>1.0961000000000001</v>
      </c>
    </row>
    <row r="120" spans="1:13">
      <c r="A120" s="885">
        <v>1.6</v>
      </c>
      <c r="B120" s="892">
        <v>1.2423</v>
      </c>
      <c r="C120" s="892">
        <v>1.2423</v>
      </c>
      <c r="D120" s="892">
        <v>1.1453</v>
      </c>
      <c r="E120" s="892">
        <v>1.1453</v>
      </c>
      <c r="F120" s="892">
        <v>1.1453</v>
      </c>
      <c r="G120" s="892">
        <v>1.1453</v>
      </c>
      <c r="H120" s="892">
        <v>1.1453</v>
      </c>
      <c r="I120" s="892">
        <v>1.0740000000000001</v>
      </c>
      <c r="J120" s="892">
        <v>1.0740000000000001</v>
      </c>
      <c r="K120" s="892">
        <v>1.0740000000000001</v>
      </c>
      <c r="L120" s="892">
        <v>1.0740000000000001</v>
      </c>
      <c r="M120" s="892">
        <v>1.0740000000000001</v>
      </c>
    </row>
    <row r="121" spans="1:13">
      <c r="A121" s="885">
        <v>1.7</v>
      </c>
      <c r="B121" s="892">
        <v>1.2237</v>
      </c>
      <c r="C121" s="892">
        <v>1.2237</v>
      </c>
      <c r="D121" s="892">
        <v>1.1261000000000001</v>
      </c>
      <c r="E121" s="892">
        <v>1.1261000000000001</v>
      </c>
      <c r="F121" s="892">
        <v>1.1261000000000001</v>
      </c>
      <c r="G121" s="892">
        <v>1.1261000000000001</v>
      </c>
      <c r="H121" s="892">
        <v>1.1261000000000001</v>
      </c>
      <c r="I121" s="892">
        <v>1.0535000000000001</v>
      </c>
      <c r="J121" s="892">
        <v>1.0535000000000001</v>
      </c>
      <c r="K121" s="892">
        <v>1.0535000000000001</v>
      </c>
      <c r="L121" s="892">
        <v>1.0535000000000001</v>
      </c>
      <c r="M121" s="892">
        <v>1.0535000000000001</v>
      </c>
    </row>
    <row r="122" spans="1:13">
      <c r="A122" s="885">
        <v>1.8</v>
      </c>
      <c r="B122" s="892">
        <v>1.206</v>
      </c>
      <c r="C122" s="892">
        <v>1.206</v>
      </c>
      <c r="D122" s="892">
        <v>1.1076999999999999</v>
      </c>
      <c r="E122" s="892">
        <v>1.1076999999999999</v>
      </c>
      <c r="F122" s="892">
        <v>1.1076999999999999</v>
      </c>
      <c r="G122" s="892">
        <v>1.1076999999999999</v>
      </c>
      <c r="H122" s="892">
        <v>1.1076999999999999</v>
      </c>
      <c r="I122" s="892">
        <v>1.0345</v>
      </c>
      <c r="J122" s="892">
        <v>1.0345</v>
      </c>
      <c r="K122" s="892">
        <v>1.0345</v>
      </c>
      <c r="L122" s="892">
        <v>1.0345</v>
      </c>
      <c r="M122" s="892">
        <v>1.0345</v>
      </c>
    </row>
    <row r="123" spans="1:13">
      <c r="A123" s="885">
        <v>1.9</v>
      </c>
      <c r="B123" s="892">
        <v>1.1891</v>
      </c>
      <c r="C123" s="892">
        <v>1.1891</v>
      </c>
      <c r="D123" s="892">
        <v>1.0901000000000001</v>
      </c>
      <c r="E123" s="892">
        <v>1.0901000000000001</v>
      </c>
      <c r="F123" s="892">
        <v>1.0901000000000001</v>
      </c>
      <c r="G123" s="892">
        <v>1.0901000000000001</v>
      </c>
      <c r="H123" s="892">
        <v>1.0901000000000001</v>
      </c>
      <c r="I123" s="892">
        <v>1.0166999999999999</v>
      </c>
      <c r="J123" s="892">
        <v>1.0166999999999999</v>
      </c>
      <c r="K123" s="892">
        <v>1.0166999999999999</v>
      </c>
      <c r="L123" s="892">
        <v>1.0166999999999999</v>
      </c>
      <c r="M123" s="892">
        <v>1.0166999999999999</v>
      </c>
    </row>
    <row r="124" spans="1:13">
      <c r="A124" s="885">
        <v>2</v>
      </c>
      <c r="B124" s="892">
        <v>1.1729000000000001</v>
      </c>
      <c r="C124" s="892">
        <v>1.1729000000000001</v>
      </c>
      <c r="D124" s="892">
        <v>1.0732999999999999</v>
      </c>
      <c r="E124" s="892">
        <v>1.0732999999999999</v>
      </c>
      <c r="F124" s="892">
        <v>1.0732999999999999</v>
      </c>
      <c r="G124" s="892">
        <v>1.0732999999999999</v>
      </c>
      <c r="H124" s="892">
        <v>1.0732999999999999</v>
      </c>
      <c r="I124" s="892">
        <v>1</v>
      </c>
      <c r="J124" s="892">
        <v>1</v>
      </c>
      <c r="K124" s="892">
        <v>1</v>
      </c>
      <c r="L124" s="892">
        <v>1</v>
      </c>
      <c r="M124" s="892">
        <v>1</v>
      </c>
    </row>
    <row r="125" spans="1:13">
      <c r="A125" s="900">
        <v>2.1</v>
      </c>
      <c r="B125" s="892">
        <v>1.1574</v>
      </c>
      <c r="C125" s="892">
        <v>1.1574</v>
      </c>
      <c r="D125" s="892">
        <v>1.0571999999999999</v>
      </c>
      <c r="E125" s="892">
        <v>1.0571999999999999</v>
      </c>
      <c r="F125" s="892">
        <v>1.0571999999999999</v>
      </c>
      <c r="G125" s="892">
        <v>1.0571999999999999</v>
      </c>
      <c r="H125" s="892">
        <v>1.0571999999999999</v>
      </c>
      <c r="I125" s="892">
        <v>0.98409999999999997</v>
      </c>
      <c r="J125" s="892">
        <v>0.98409999999999997</v>
      </c>
      <c r="K125" s="892">
        <v>0.98409999999999997</v>
      </c>
      <c r="L125" s="892">
        <v>0.98409999999999997</v>
      </c>
      <c r="M125" s="892">
        <v>0.98409999999999997</v>
      </c>
    </row>
    <row r="126" spans="1:13">
      <c r="A126" s="900">
        <v>2.2000000000000002</v>
      </c>
      <c r="B126" s="892">
        <v>1.1426000000000001</v>
      </c>
      <c r="C126" s="892">
        <v>1.1426000000000001</v>
      </c>
      <c r="D126" s="892">
        <v>1.0419</v>
      </c>
      <c r="E126" s="892">
        <v>1.0419</v>
      </c>
      <c r="F126" s="892">
        <v>1.0419</v>
      </c>
      <c r="G126" s="892">
        <v>1.0419</v>
      </c>
      <c r="H126" s="892">
        <v>1.0419</v>
      </c>
      <c r="I126" s="892">
        <v>0.96889999999999998</v>
      </c>
      <c r="J126" s="892">
        <v>0.96889999999999998</v>
      </c>
      <c r="K126" s="892">
        <v>0.96889999999999998</v>
      </c>
      <c r="L126" s="892">
        <v>0.96889999999999998</v>
      </c>
      <c r="M126" s="892">
        <v>0.96889999999999998</v>
      </c>
    </row>
    <row r="127" spans="1:13">
      <c r="A127" s="900">
        <v>2.2999999999999998</v>
      </c>
      <c r="B127" s="892">
        <v>1.1285000000000001</v>
      </c>
      <c r="C127" s="892">
        <v>1.1285000000000001</v>
      </c>
      <c r="D127" s="892">
        <v>1.0271999999999999</v>
      </c>
      <c r="E127" s="892">
        <v>1.0271999999999999</v>
      </c>
      <c r="F127" s="892">
        <v>1.0271999999999999</v>
      </c>
      <c r="G127" s="892">
        <v>1.0271999999999999</v>
      </c>
      <c r="H127" s="892">
        <v>1.0271999999999999</v>
      </c>
      <c r="I127" s="892">
        <v>0.95440000000000003</v>
      </c>
      <c r="J127" s="892">
        <v>0.95440000000000003</v>
      </c>
      <c r="K127" s="892">
        <v>0.95440000000000003</v>
      </c>
      <c r="L127" s="892">
        <v>0.95440000000000003</v>
      </c>
      <c r="M127" s="892">
        <v>0.95440000000000003</v>
      </c>
    </row>
    <row r="128" spans="1:13">
      <c r="A128" s="900">
        <v>2.4</v>
      </c>
      <c r="B128" s="892">
        <v>1.1149</v>
      </c>
      <c r="C128" s="892">
        <v>1.1149</v>
      </c>
      <c r="D128" s="892">
        <v>1.0133000000000001</v>
      </c>
      <c r="E128" s="892">
        <v>1.0133000000000001</v>
      </c>
      <c r="F128" s="892">
        <v>1.0133000000000001</v>
      </c>
      <c r="G128" s="892">
        <v>1.0133000000000001</v>
      </c>
      <c r="H128" s="892">
        <v>1.0133000000000001</v>
      </c>
      <c r="I128" s="892">
        <v>0.9405</v>
      </c>
      <c r="J128" s="892">
        <v>0.9405</v>
      </c>
      <c r="K128" s="892">
        <v>0.9405</v>
      </c>
      <c r="L128" s="892">
        <v>0.9405</v>
      </c>
      <c r="M128" s="892">
        <v>0.9405</v>
      </c>
    </row>
    <row r="129" spans="1:13">
      <c r="A129" s="900">
        <v>2.5</v>
      </c>
      <c r="B129" s="892">
        <v>1.1020000000000001</v>
      </c>
      <c r="C129" s="892">
        <v>1.1020000000000001</v>
      </c>
      <c r="D129" s="892">
        <v>1</v>
      </c>
      <c r="E129" s="892">
        <v>1</v>
      </c>
      <c r="F129" s="892">
        <v>1</v>
      </c>
      <c r="G129" s="892">
        <v>1</v>
      </c>
      <c r="H129" s="892">
        <v>1</v>
      </c>
      <c r="I129" s="892">
        <v>0.92730000000000001</v>
      </c>
      <c r="J129" s="892">
        <v>0.92730000000000001</v>
      </c>
      <c r="K129" s="892">
        <v>0.92730000000000001</v>
      </c>
      <c r="L129" s="892">
        <v>0.92730000000000001</v>
      </c>
      <c r="M129" s="892">
        <v>0.92730000000000001</v>
      </c>
    </row>
    <row r="130" spans="1:13">
      <c r="A130" s="900">
        <v>2.6</v>
      </c>
      <c r="B130" s="892">
        <v>1.0895999999999999</v>
      </c>
      <c r="C130" s="892">
        <v>1.0895999999999999</v>
      </c>
      <c r="D130" s="892">
        <v>0.98740000000000006</v>
      </c>
      <c r="E130" s="892">
        <v>0.98740000000000006</v>
      </c>
      <c r="F130" s="892">
        <v>0.98740000000000006</v>
      </c>
      <c r="G130" s="892">
        <v>0.98740000000000006</v>
      </c>
      <c r="H130" s="892">
        <v>0.98740000000000006</v>
      </c>
      <c r="I130" s="892">
        <v>0.91469999999999996</v>
      </c>
      <c r="J130" s="892">
        <v>0.91469999999999996</v>
      </c>
      <c r="K130" s="892">
        <v>0.91469999999999996</v>
      </c>
      <c r="L130" s="892">
        <v>0.91469999999999996</v>
      </c>
      <c r="M130" s="892">
        <v>0.91469999999999996</v>
      </c>
    </row>
    <row r="131" spans="1:13">
      <c r="A131" s="900">
        <v>2.7</v>
      </c>
      <c r="B131" s="892">
        <v>1.0778000000000001</v>
      </c>
      <c r="C131" s="892">
        <v>1.0778000000000001</v>
      </c>
      <c r="D131" s="892">
        <v>0.97540000000000004</v>
      </c>
      <c r="E131" s="892">
        <v>0.97540000000000004</v>
      </c>
      <c r="F131" s="892">
        <v>0.97540000000000004</v>
      </c>
      <c r="G131" s="892">
        <v>0.97540000000000004</v>
      </c>
      <c r="H131" s="892">
        <v>0.97540000000000004</v>
      </c>
      <c r="I131" s="892">
        <v>0.90269999999999995</v>
      </c>
      <c r="J131" s="892">
        <v>0.90269999999999995</v>
      </c>
      <c r="K131" s="892">
        <v>0.90269999999999995</v>
      </c>
      <c r="L131" s="892">
        <v>0.90269999999999995</v>
      </c>
      <c r="M131" s="892">
        <v>0.90269999999999995</v>
      </c>
    </row>
    <row r="132" spans="1:13">
      <c r="A132" s="900">
        <v>2.8</v>
      </c>
      <c r="B132" s="892">
        <v>1.0665</v>
      </c>
      <c r="C132" s="892">
        <v>1.0665</v>
      </c>
      <c r="D132" s="892">
        <v>0.96399999999999997</v>
      </c>
      <c r="E132" s="892">
        <v>0.96399999999999997</v>
      </c>
      <c r="F132" s="892">
        <v>0.96399999999999997</v>
      </c>
      <c r="G132" s="892">
        <v>0.96399999999999997</v>
      </c>
      <c r="H132" s="892">
        <v>0.96399999999999997</v>
      </c>
      <c r="I132" s="892">
        <v>0.89119999999999999</v>
      </c>
      <c r="J132" s="892">
        <v>0.89119999999999999</v>
      </c>
      <c r="K132" s="892">
        <v>0.89119999999999999</v>
      </c>
      <c r="L132" s="892">
        <v>0.89119999999999999</v>
      </c>
      <c r="M132" s="892">
        <v>0.89119999999999999</v>
      </c>
    </row>
    <row r="133" spans="1:13">
      <c r="A133" s="900">
        <v>2.9</v>
      </c>
      <c r="B133" s="892">
        <v>1.0556000000000001</v>
      </c>
      <c r="C133" s="892">
        <v>1.0556000000000001</v>
      </c>
      <c r="D133" s="892">
        <v>0.95330000000000004</v>
      </c>
      <c r="E133" s="892">
        <v>0.95330000000000004</v>
      </c>
      <c r="F133" s="892">
        <v>0.95330000000000004</v>
      </c>
      <c r="G133" s="892">
        <v>0.95330000000000004</v>
      </c>
      <c r="H133" s="892">
        <v>0.95330000000000004</v>
      </c>
      <c r="I133" s="892">
        <v>0.88019999999999998</v>
      </c>
      <c r="J133" s="892">
        <v>0.88019999999999998</v>
      </c>
      <c r="K133" s="892">
        <v>0.88019999999999998</v>
      </c>
      <c r="L133" s="892">
        <v>0.88019999999999998</v>
      </c>
      <c r="M133" s="892">
        <v>0.88019999999999998</v>
      </c>
    </row>
    <row r="134" spans="1:13">
      <c r="A134" s="900">
        <v>3</v>
      </c>
      <c r="B134" s="892">
        <v>1.0452999999999999</v>
      </c>
      <c r="C134" s="892">
        <v>1.0452999999999999</v>
      </c>
      <c r="D134" s="892">
        <v>0.94299999999999995</v>
      </c>
      <c r="E134" s="892">
        <v>0.94299999999999995</v>
      </c>
      <c r="F134" s="892">
        <v>0.94299999999999995</v>
      </c>
      <c r="G134" s="892">
        <v>0.94299999999999995</v>
      </c>
      <c r="H134" s="892">
        <v>0.94299999999999995</v>
      </c>
      <c r="I134" s="892">
        <v>0.86970000000000003</v>
      </c>
      <c r="J134" s="892">
        <v>0.86970000000000003</v>
      </c>
      <c r="K134" s="892">
        <v>0.86970000000000003</v>
      </c>
      <c r="L134" s="892">
        <v>0.86970000000000003</v>
      </c>
      <c r="M134" s="892">
        <v>0.86970000000000003</v>
      </c>
    </row>
    <row r="135" spans="1:13">
      <c r="A135" s="900">
        <v>3.1</v>
      </c>
      <c r="B135" s="892">
        <v>1.0354000000000001</v>
      </c>
      <c r="C135" s="892">
        <v>1.0354000000000001</v>
      </c>
      <c r="D135" s="892">
        <v>0.93330000000000002</v>
      </c>
      <c r="E135" s="892">
        <v>0.93330000000000002</v>
      </c>
      <c r="F135" s="892">
        <v>0.93330000000000002</v>
      </c>
      <c r="G135" s="892">
        <v>0.93330000000000002</v>
      </c>
      <c r="H135" s="892">
        <v>0.93330000000000002</v>
      </c>
      <c r="I135" s="892">
        <v>0.85970000000000002</v>
      </c>
      <c r="J135" s="892">
        <v>0.85970000000000002</v>
      </c>
      <c r="K135" s="892">
        <v>0.85970000000000002</v>
      </c>
      <c r="L135" s="892">
        <v>0.85970000000000002</v>
      </c>
      <c r="M135" s="892">
        <v>0.85970000000000002</v>
      </c>
    </row>
    <row r="136" spans="1:13">
      <c r="A136" s="900">
        <v>3.2</v>
      </c>
      <c r="B136" s="892">
        <v>1.0259</v>
      </c>
      <c r="C136" s="892">
        <v>1.0259</v>
      </c>
      <c r="D136" s="892">
        <v>0.92410000000000003</v>
      </c>
      <c r="E136" s="892">
        <v>0.92410000000000003</v>
      </c>
      <c r="F136" s="892">
        <v>0.92410000000000003</v>
      </c>
      <c r="G136" s="892">
        <v>0.92410000000000003</v>
      </c>
      <c r="H136" s="892">
        <v>0.92410000000000003</v>
      </c>
      <c r="I136" s="892">
        <v>0.85019999999999996</v>
      </c>
      <c r="J136" s="892">
        <v>0.85019999999999996</v>
      </c>
      <c r="K136" s="892">
        <v>0.85019999999999996</v>
      </c>
      <c r="L136" s="892">
        <v>0.85019999999999996</v>
      </c>
      <c r="M136" s="892">
        <v>0.85019999999999996</v>
      </c>
    </row>
    <row r="137" spans="1:13">
      <c r="A137" s="900">
        <v>3.3</v>
      </c>
      <c r="B137" s="892">
        <v>1.0168999999999999</v>
      </c>
      <c r="C137" s="892">
        <v>1.0168999999999999</v>
      </c>
      <c r="D137" s="892">
        <v>0.91539999999999999</v>
      </c>
      <c r="E137" s="892">
        <v>0.91539999999999999</v>
      </c>
      <c r="F137" s="892">
        <v>0.91539999999999999</v>
      </c>
      <c r="G137" s="892">
        <v>0.91539999999999999</v>
      </c>
      <c r="H137" s="892">
        <v>0.91539999999999999</v>
      </c>
      <c r="I137" s="892">
        <v>0.84109999999999996</v>
      </c>
      <c r="J137" s="892">
        <v>0.84109999999999996</v>
      </c>
      <c r="K137" s="892">
        <v>0.84109999999999996</v>
      </c>
      <c r="L137" s="892">
        <v>0.84109999999999996</v>
      </c>
      <c r="M137" s="892">
        <v>0.84109999999999996</v>
      </c>
    </row>
    <row r="138" spans="1:13">
      <c r="A138" s="900">
        <v>3.4</v>
      </c>
      <c r="B138" s="892">
        <v>1.0082</v>
      </c>
      <c r="C138" s="892">
        <v>1.0082</v>
      </c>
      <c r="D138" s="892">
        <v>0.90710000000000002</v>
      </c>
      <c r="E138" s="892">
        <v>0.90710000000000002</v>
      </c>
      <c r="F138" s="892">
        <v>0.90710000000000002</v>
      </c>
      <c r="G138" s="892">
        <v>0.90710000000000002</v>
      </c>
      <c r="H138" s="892">
        <v>0.90710000000000002</v>
      </c>
      <c r="I138" s="892">
        <v>0.83240000000000003</v>
      </c>
      <c r="J138" s="892">
        <v>0.83240000000000003</v>
      </c>
      <c r="K138" s="892">
        <v>0.83240000000000003</v>
      </c>
      <c r="L138" s="892">
        <v>0.83240000000000003</v>
      </c>
      <c r="M138" s="892">
        <v>0.83240000000000003</v>
      </c>
    </row>
    <row r="139" spans="1:13">
      <c r="A139" s="900">
        <v>3.5</v>
      </c>
      <c r="B139" s="892">
        <v>1</v>
      </c>
      <c r="C139" s="892">
        <v>1</v>
      </c>
      <c r="D139" s="892">
        <v>0.89929999999999999</v>
      </c>
      <c r="E139" s="892">
        <v>0.89929999999999999</v>
      </c>
      <c r="F139" s="892">
        <v>0.89929999999999999</v>
      </c>
      <c r="G139" s="892">
        <v>0.89929999999999999</v>
      </c>
      <c r="H139" s="892">
        <v>0.89929999999999999</v>
      </c>
      <c r="I139" s="892">
        <v>0.82410000000000005</v>
      </c>
      <c r="J139" s="892">
        <v>0.82410000000000005</v>
      </c>
      <c r="K139" s="892">
        <v>0.82410000000000005</v>
      </c>
      <c r="L139" s="892">
        <v>0.82410000000000005</v>
      </c>
      <c r="M139" s="892">
        <v>0.82410000000000005</v>
      </c>
    </row>
    <row r="140" spans="1:13">
      <c r="A140" s="900">
        <v>3.6</v>
      </c>
      <c r="B140" s="892">
        <v>0.99219999999999997</v>
      </c>
      <c r="C140" s="892">
        <v>0.99219999999999997</v>
      </c>
      <c r="D140" s="892">
        <v>0.89190000000000003</v>
      </c>
      <c r="E140" s="892">
        <v>0.89190000000000003</v>
      </c>
      <c r="F140" s="892">
        <v>0.89190000000000003</v>
      </c>
      <c r="G140" s="892">
        <v>0.89190000000000003</v>
      </c>
      <c r="H140" s="892">
        <v>0.89190000000000003</v>
      </c>
      <c r="I140" s="892">
        <v>0.81620000000000004</v>
      </c>
      <c r="J140" s="892">
        <v>0.81620000000000004</v>
      </c>
      <c r="K140" s="892">
        <v>0.81620000000000004</v>
      </c>
      <c r="L140" s="892">
        <v>0.81620000000000004</v>
      </c>
      <c r="M140" s="892">
        <v>0.81620000000000004</v>
      </c>
    </row>
    <row r="141" spans="1:13">
      <c r="A141" s="900">
        <v>3.7</v>
      </c>
      <c r="B141" s="892">
        <v>0.98480000000000001</v>
      </c>
      <c r="C141" s="892">
        <v>0.98480000000000001</v>
      </c>
      <c r="D141" s="892">
        <v>0.88480000000000003</v>
      </c>
      <c r="E141" s="892">
        <v>0.88480000000000003</v>
      </c>
      <c r="F141" s="892">
        <v>0.88480000000000003</v>
      </c>
      <c r="G141" s="892">
        <v>0.88480000000000003</v>
      </c>
      <c r="H141" s="892">
        <v>0.88480000000000003</v>
      </c>
      <c r="I141" s="892">
        <v>0.80869999999999997</v>
      </c>
      <c r="J141" s="892">
        <v>0.80869999999999997</v>
      </c>
      <c r="K141" s="892">
        <v>0.80869999999999997</v>
      </c>
      <c r="L141" s="892">
        <v>0.80869999999999997</v>
      </c>
      <c r="M141" s="892">
        <v>0.80869999999999997</v>
      </c>
    </row>
    <row r="142" spans="1:13">
      <c r="A142" s="900">
        <v>3.8</v>
      </c>
      <c r="B142" s="892">
        <v>0.9778</v>
      </c>
      <c r="C142" s="892">
        <v>0.9778</v>
      </c>
      <c r="D142" s="892">
        <v>0.87809999999999999</v>
      </c>
      <c r="E142" s="892">
        <v>0.87809999999999999</v>
      </c>
      <c r="F142" s="892">
        <v>0.87809999999999999</v>
      </c>
      <c r="G142" s="892">
        <v>0.87809999999999999</v>
      </c>
      <c r="H142" s="892">
        <v>0.87809999999999999</v>
      </c>
      <c r="I142" s="892">
        <v>0.80159999999999998</v>
      </c>
      <c r="J142" s="892">
        <v>0.80159999999999998</v>
      </c>
      <c r="K142" s="892">
        <v>0.80159999999999998</v>
      </c>
      <c r="L142" s="892">
        <v>0.80159999999999998</v>
      </c>
      <c r="M142" s="892">
        <v>0.80159999999999998</v>
      </c>
    </row>
    <row r="143" spans="1:13">
      <c r="A143" s="900">
        <v>3.9</v>
      </c>
      <c r="B143" s="892">
        <v>0.97119999999999995</v>
      </c>
      <c r="C143" s="892">
        <v>0.97119999999999995</v>
      </c>
      <c r="D143" s="892">
        <v>0.87180000000000002</v>
      </c>
      <c r="E143" s="892">
        <v>0.87180000000000002</v>
      </c>
      <c r="F143" s="892">
        <v>0.87180000000000002</v>
      </c>
      <c r="G143" s="892">
        <v>0.87180000000000002</v>
      </c>
      <c r="H143" s="892">
        <v>0.87180000000000002</v>
      </c>
      <c r="I143" s="892">
        <v>0.79479999999999995</v>
      </c>
      <c r="J143" s="892">
        <v>0.79479999999999995</v>
      </c>
      <c r="K143" s="892">
        <v>0.79479999999999995</v>
      </c>
      <c r="L143" s="892">
        <v>0.79479999999999995</v>
      </c>
      <c r="M143" s="892">
        <v>0.79479999999999995</v>
      </c>
    </row>
    <row r="144" spans="1:13">
      <c r="A144" s="900">
        <v>4</v>
      </c>
      <c r="B144" s="892">
        <v>0.96499999999999997</v>
      </c>
      <c r="C144" s="892">
        <v>0.96499999999999997</v>
      </c>
      <c r="D144" s="892">
        <v>0.86580000000000001</v>
      </c>
      <c r="E144" s="892">
        <v>0.86580000000000001</v>
      </c>
      <c r="F144" s="892">
        <v>0.86580000000000001</v>
      </c>
      <c r="G144" s="892">
        <v>0.86580000000000001</v>
      </c>
      <c r="H144" s="892">
        <v>0.86580000000000001</v>
      </c>
      <c r="I144" s="892">
        <v>0.7883</v>
      </c>
      <c r="J144" s="892">
        <v>0.7883</v>
      </c>
      <c r="K144" s="892">
        <v>0.7883</v>
      </c>
      <c r="L144" s="892">
        <v>0.7883</v>
      </c>
      <c r="M144" s="892">
        <v>0.7883</v>
      </c>
    </row>
    <row r="145" spans="1:13">
      <c r="A145" s="900">
        <v>4.0999999999999996</v>
      </c>
      <c r="B145" s="892">
        <v>0.95909999999999995</v>
      </c>
      <c r="C145" s="892">
        <v>0.95909999999999995</v>
      </c>
      <c r="D145" s="892">
        <v>0.86009999999999998</v>
      </c>
      <c r="E145" s="892">
        <v>0.86009999999999998</v>
      </c>
      <c r="F145" s="892">
        <v>0.86009999999999998</v>
      </c>
      <c r="G145" s="892">
        <v>0.86009999999999998</v>
      </c>
      <c r="H145" s="892">
        <v>0.86009999999999998</v>
      </c>
      <c r="I145" s="892">
        <v>0.78200000000000003</v>
      </c>
      <c r="J145" s="892">
        <v>0.78200000000000003</v>
      </c>
      <c r="K145" s="892">
        <v>0.78200000000000003</v>
      </c>
      <c r="L145" s="892">
        <v>0.78200000000000003</v>
      </c>
      <c r="M145" s="892">
        <v>0.78200000000000003</v>
      </c>
    </row>
    <row r="146" spans="1:13">
      <c r="A146" s="900">
        <v>4.2</v>
      </c>
      <c r="B146" s="892">
        <v>0.95350000000000001</v>
      </c>
      <c r="C146" s="892">
        <v>0.95350000000000001</v>
      </c>
      <c r="D146" s="892">
        <v>0.85470000000000002</v>
      </c>
      <c r="E146" s="892">
        <v>0.85470000000000002</v>
      </c>
      <c r="F146" s="892">
        <v>0.85470000000000002</v>
      </c>
      <c r="G146" s="892">
        <v>0.85470000000000002</v>
      </c>
      <c r="H146" s="892">
        <v>0.85470000000000002</v>
      </c>
      <c r="I146" s="892">
        <v>0.77600000000000002</v>
      </c>
      <c r="J146" s="892">
        <v>0.77600000000000002</v>
      </c>
      <c r="K146" s="892">
        <v>0.77600000000000002</v>
      </c>
      <c r="L146" s="892">
        <v>0.77600000000000002</v>
      </c>
      <c r="M146" s="892">
        <v>0.77600000000000002</v>
      </c>
    </row>
    <row r="147" spans="1:13">
      <c r="A147" s="900">
        <v>4.3</v>
      </c>
      <c r="B147" s="892">
        <v>0.94820000000000004</v>
      </c>
      <c r="C147" s="892">
        <v>0.94820000000000004</v>
      </c>
      <c r="D147" s="892">
        <v>0.84960000000000002</v>
      </c>
      <c r="E147" s="892">
        <v>0.84960000000000002</v>
      </c>
      <c r="F147" s="892">
        <v>0.84960000000000002</v>
      </c>
      <c r="G147" s="892">
        <v>0.84960000000000002</v>
      </c>
      <c r="H147" s="892">
        <v>0.84960000000000002</v>
      </c>
      <c r="I147" s="892">
        <v>0.77029999999999998</v>
      </c>
      <c r="J147" s="892">
        <v>0.77029999999999998</v>
      </c>
      <c r="K147" s="892">
        <v>0.77029999999999998</v>
      </c>
      <c r="L147" s="892">
        <v>0.77029999999999998</v>
      </c>
      <c r="M147" s="892">
        <v>0.77029999999999998</v>
      </c>
    </row>
    <row r="148" spans="1:13">
      <c r="A148" s="900">
        <v>4.4000000000000004</v>
      </c>
      <c r="B148" s="892">
        <v>0.94320000000000004</v>
      </c>
      <c r="C148" s="892">
        <v>0.94320000000000004</v>
      </c>
      <c r="D148" s="892">
        <v>0.8448</v>
      </c>
      <c r="E148" s="892">
        <v>0.8448</v>
      </c>
      <c r="F148" s="892">
        <v>0.8448</v>
      </c>
      <c r="G148" s="892">
        <v>0.8448</v>
      </c>
      <c r="H148" s="892">
        <v>0.8448</v>
      </c>
      <c r="I148" s="892">
        <v>0.76490000000000002</v>
      </c>
      <c r="J148" s="892">
        <v>0.76490000000000002</v>
      </c>
      <c r="K148" s="892">
        <v>0.76490000000000002</v>
      </c>
      <c r="L148" s="892">
        <v>0.76490000000000002</v>
      </c>
      <c r="M148" s="892">
        <v>0.76490000000000002</v>
      </c>
    </row>
    <row r="149" spans="1:13">
      <c r="A149" s="900">
        <v>4.5</v>
      </c>
      <c r="B149" s="892">
        <v>0.9385</v>
      </c>
      <c r="C149" s="892">
        <v>0.9385</v>
      </c>
      <c r="D149" s="892">
        <v>0.84019999999999995</v>
      </c>
      <c r="E149" s="892">
        <v>0.84019999999999995</v>
      </c>
      <c r="F149" s="892">
        <v>0.84019999999999995</v>
      </c>
      <c r="G149" s="892">
        <v>0.84019999999999995</v>
      </c>
      <c r="H149" s="892">
        <v>0.84019999999999995</v>
      </c>
      <c r="I149" s="892">
        <v>0.75970000000000004</v>
      </c>
      <c r="J149" s="892">
        <v>0.75970000000000004</v>
      </c>
      <c r="K149" s="892">
        <v>0.75970000000000004</v>
      </c>
      <c r="L149" s="892">
        <v>0.75970000000000004</v>
      </c>
      <c r="M149" s="892">
        <v>0.75970000000000004</v>
      </c>
    </row>
    <row r="150" spans="1:13">
      <c r="A150" s="900">
        <v>4.5999999999999996</v>
      </c>
      <c r="B150" s="892">
        <v>0.93410000000000004</v>
      </c>
      <c r="C150" s="892">
        <v>0.93410000000000004</v>
      </c>
      <c r="D150" s="892">
        <v>0.83579999999999999</v>
      </c>
      <c r="E150" s="892">
        <v>0.83579999999999999</v>
      </c>
      <c r="F150" s="892">
        <v>0.83579999999999999</v>
      </c>
      <c r="G150" s="892">
        <v>0.83579999999999999</v>
      </c>
      <c r="H150" s="892">
        <v>0.83579999999999999</v>
      </c>
      <c r="I150" s="892">
        <v>0.75470000000000004</v>
      </c>
      <c r="J150" s="892">
        <v>0.75470000000000004</v>
      </c>
      <c r="K150" s="892">
        <v>0.75470000000000004</v>
      </c>
      <c r="L150" s="892">
        <v>0.75470000000000004</v>
      </c>
      <c r="M150" s="892">
        <v>0.75470000000000004</v>
      </c>
    </row>
    <row r="151" spans="1:13">
      <c r="A151" s="900">
        <v>4.7</v>
      </c>
      <c r="B151" s="892">
        <v>0.92989999999999995</v>
      </c>
      <c r="C151" s="892">
        <v>0.92989999999999995</v>
      </c>
      <c r="D151" s="892">
        <v>0.83160000000000001</v>
      </c>
      <c r="E151" s="892">
        <v>0.83160000000000001</v>
      </c>
      <c r="F151" s="892">
        <v>0.83160000000000001</v>
      </c>
      <c r="G151" s="892">
        <v>0.83160000000000001</v>
      </c>
      <c r="H151" s="892">
        <v>0.83160000000000001</v>
      </c>
      <c r="I151" s="892">
        <v>0.74990000000000001</v>
      </c>
      <c r="J151" s="892">
        <v>0.74990000000000001</v>
      </c>
      <c r="K151" s="892">
        <v>0.74990000000000001</v>
      </c>
      <c r="L151" s="892">
        <v>0.74990000000000001</v>
      </c>
      <c r="M151" s="892">
        <v>0.74990000000000001</v>
      </c>
    </row>
    <row r="152" spans="1:13">
      <c r="A152" s="900">
        <v>4.8</v>
      </c>
      <c r="B152" s="892">
        <v>0.92589999999999995</v>
      </c>
      <c r="C152" s="892">
        <v>0.92589999999999995</v>
      </c>
      <c r="D152" s="892">
        <v>0.82769999999999999</v>
      </c>
      <c r="E152" s="892">
        <v>0.82769999999999999</v>
      </c>
      <c r="F152" s="892">
        <v>0.82769999999999999</v>
      </c>
      <c r="G152" s="892">
        <v>0.82769999999999999</v>
      </c>
      <c r="H152" s="892">
        <v>0.82769999999999999</v>
      </c>
      <c r="I152" s="892">
        <v>0.74529999999999996</v>
      </c>
      <c r="J152" s="892">
        <v>0.74529999999999996</v>
      </c>
      <c r="K152" s="892">
        <v>0.74529999999999996</v>
      </c>
      <c r="L152" s="892">
        <v>0.74529999999999996</v>
      </c>
      <c r="M152" s="892">
        <v>0.74529999999999996</v>
      </c>
    </row>
    <row r="153" spans="1:13">
      <c r="A153" s="900">
        <v>4.9000000000000004</v>
      </c>
      <c r="B153" s="892">
        <v>0.92210000000000003</v>
      </c>
      <c r="C153" s="892">
        <v>0.92210000000000003</v>
      </c>
      <c r="D153" s="892">
        <v>0.82389999999999997</v>
      </c>
      <c r="E153" s="892">
        <v>0.82389999999999997</v>
      </c>
      <c r="F153" s="892">
        <v>0.82389999999999997</v>
      </c>
      <c r="G153" s="892">
        <v>0.82389999999999997</v>
      </c>
      <c r="H153" s="892">
        <v>0.82389999999999997</v>
      </c>
      <c r="I153" s="892">
        <v>0.7409</v>
      </c>
      <c r="J153" s="892">
        <v>0.7409</v>
      </c>
      <c r="K153" s="892">
        <v>0.7409</v>
      </c>
      <c r="L153" s="892">
        <v>0.7409</v>
      </c>
      <c r="M153" s="892">
        <v>0.7409</v>
      </c>
    </row>
    <row r="154" spans="1:13">
      <c r="A154" s="900">
        <v>5</v>
      </c>
      <c r="B154" s="892">
        <v>0.91849999999999998</v>
      </c>
      <c r="C154" s="892">
        <v>0.91849999999999998</v>
      </c>
      <c r="D154" s="892">
        <v>0.82030000000000003</v>
      </c>
      <c r="E154" s="892">
        <v>0.82030000000000003</v>
      </c>
      <c r="F154" s="892">
        <v>0.82030000000000003</v>
      </c>
      <c r="G154" s="892">
        <v>0.82030000000000003</v>
      </c>
      <c r="H154" s="892">
        <v>0.82030000000000003</v>
      </c>
      <c r="I154" s="892">
        <v>0.73670000000000002</v>
      </c>
      <c r="J154" s="892">
        <v>0.73670000000000002</v>
      </c>
      <c r="K154" s="892">
        <v>0.73670000000000002</v>
      </c>
      <c r="L154" s="892">
        <v>0.73670000000000002</v>
      </c>
      <c r="M154" s="892">
        <v>0.73670000000000002</v>
      </c>
    </row>
    <row r="155" spans="1:13">
      <c r="A155" s="885">
        <v>5.0999999999999996</v>
      </c>
      <c r="B155" s="892">
        <v>0.91510000000000002</v>
      </c>
      <c r="C155" s="892">
        <v>0.91510000000000002</v>
      </c>
      <c r="D155" s="892">
        <v>0.81689999999999996</v>
      </c>
      <c r="E155" s="892">
        <v>0.81689999999999996</v>
      </c>
      <c r="F155" s="892">
        <v>0.81689999999999996</v>
      </c>
      <c r="G155" s="892">
        <v>0.81689999999999996</v>
      </c>
      <c r="H155" s="892">
        <v>0.81689999999999996</v>
      </c>
      <c r="I155" s="892">
        <v>0.73270000000000002</v>
      </c>
      <c r="J155" s="892">
        <v>0.73270000000000002</v>
      </c>
      <c r="K155" s="892">
        <v>0.73270000000000002</v>
      </c>
      <c r="L155" s="892">
        <v>0.73270000000000002</v>
      </c>
      <c r="M155" s="892">
        <v>0.73270000000000002</v>
      </c>
    </row>
    <row r="156" spans="1:13">
      <c r="A156" s="885">
        <v>5.2</v>
      </c>
      <c r="B156" s="892">
        <v>0.91190000000000004</v>
      </c>
      <c r="C156" s="892">
        <v>0.91190000000000004</v>
      </c>
      <c r="D156" s="892">
        <v>0.81359999999999999</v>
      </c>
      <c r="E156" s="892">
        <v>0.81359999999999999</v>
      </c>
      <c r="F156" s="892">
        <v>0.81359999999999999</v>
      </c>
      <c r="G156" s="892">
        <v>0.81359999999999999</v>
      </c>
      <c r="H156" s="892">
        <v>0.81359999999999999</v>
      </c>
      <c r="I156" s="892">
        <v>0.72889999999999999</v>
      </c>
      <c r="J156" s="892">
        <v>0.72889999999999999</v>
      </c>
      <c r="K156" s="892">
        <v>0.72889999999999999</v>
      </c>
      <c r="L156" s="892">
        <v>0.72889999999999999</v>
      </c>
      <c r="M156" s="892">
        <v>0.72889999999999999</v>
      </c>
    </row>
    <row r="157" spans="1:13">
      <c r="A157" s="885">
        <v>5.3</v>
      </c>
      <c r="B157" s="892">
        <v>0.90880000000000005</v>
      </c>
      <c r="C157" s="892">
        <v>0.90880000000000005</v>
      </c>
      <c r="D157" s="892">
        <v>0.8105</v>
      </c>
      <c r="E157" s="892">
        <v>0.8105</v>
      </c>
      <c r="F157" s="892">
        <v>0.8105</v>
      </c>
      <c r="G157" s="892">
        <v>0.8105</v>
      </c>
      <c r="H157" s="892">
        <v>0.8105</v>
      </c>
      <c r="I157" s="892">
        <v>0.72529999999999994</v>
      </c>
      <c r="J157" s="892">
        <v>0.72529999999999994</v>
      </c>
      <c r="K157" s="892">
        <v>0.72529999999999994</v>
      </c>
      <c r="L157" s="892">
        <v>0.72529999999999994</v>
      </c>
      <c r="M157" s="892">
        <v>0.72529999999999994</v>
      </c>
    </row>
    <row r="158" spans="1:13">
      <c r="A158" s="885">
        <v>5.4</v>
      </c>
      <c r="B158" s="892">
        <v>0.90580000000000005</v>
      </c>
      <c r="C158" s="892">
        <v>0.90580000000000005</v>
      </c>
      <c r="D158" s="892">
        <v>0.8075</v>
      </c>
      <c r="E158" s="892">
        <v>0.8075</v>
      </c>
      <c r="F158" s="892">
        <v>0.8075</v>
      </c>
      <c r="G158" s="892">
        <v>0.8075</v>
      </c>
      <c r="H158" s="892">
        <v>0.8075</v>
      </c>
      <c r="I158" s="892">
        <v>0.7218</v>
      </c>
      <c r="J158" s="892">
        <v>0.7218</v>
      </c>
      <c r="K158" s="892">
        <v>0.7218</v>
      </c>
      <c r="L158" s="892">
        <v>0.7218</v>
      </c>
      <c r="M158" s="892">
        <v>0.7218</v>
      </c>
    </row>
    <row r="159" spans="1:13">
      <c r="A159" s="885">
        <v>5.5</v>
      </c>
      <c r="B159" s="892">
        <v>0.90290000000000004</v>
      </c>
      <c r="C159" s="892">
        <v>0.90290000000000004</v>
      </c>
      <c r="D159" s="892">
        <v>0.80469999999999997</v>
      </c>
      <c r="E159" s="892">
        <v>0.80469999999999997</v>
      </c>
      <c r="F159" s="892">
        <v>0.80469999999999997</v>
      </c>
      <c r="G159" s="892">
        <v>0.80469999999999997</v>
      </c>
      <c r="H159" s="892">
        <v>0.80469999999999997</v>
      </c>
      <c r="I159" s="892">
        <v>0.71840000000000004</v>
      </c>
      <c r="J159" s="892">
        <v>0.71840000000000004</v>
      </c>
      <c r="K159" s="892">
        <v>0.71840000000000004</v>
      </c>
      <c r="L159" s="892">
        <v>0.71840000000000004</v>
      </c>
      <c r="M159" s="892">
        <v>0.71840000000000004</v>
      </c>
    </row>
    <row r="160" spans="1:13">
      <c r="A160" s="885">
        <v>5.6</v>
      </c>
      <c r="B160" s="892">
        <v>0.90010000000000001</v>
      </c>
      <c r="C160" s="892">
        <v>0.90010000000000001</v>
      </c>
      <c r="D160" s="892">
        <v>0.80200000000000005</v>
      </c>
      <c r="E160" s="892">
        <v>0.80200000000000005</v>
      </c>
      <c r="F160" s="892">
        <v>0.80200000000000005</v>
      </c>
      <c r="G160" s="892">
        <v>0.80200000000000005</v>
      </c>
      <c r="H160" s="892">
        <v>0.80200000000000005</v>
      </c>
      <c r="I160" s="892">
        <v>0.71509999999999996</v>
      </c>
      <c r="J160" s="892">
        <v>0.71509999999999996</v>
      </c>
      <c r="K160" s="892">
        <v>0.71509999999999996</v>
      </c>
      <c r="L160" s="892">
        <v>0.71509999999999996</v>
      </c>
      <c r="M160" s="892">
        <v>0.71509999999999996</v>
      </c>
    </row>
    <row r="161" spans="1:13">
      <c r="A161" s="900">
        <v>5.7</v>
      </c>
      <c r="B161" s="892">
        <v>0.89749999999999996</v>
      </c>
      <c r="C161" s="892">
        <v>0.89749999999999996</v>
      </c>
      <c r="D161" s="892">
        <v>0.79930000000000001</v>
      </c>
      <c r="E161" s="892">
        <v>0.79930000000000001</v>
      </c>
      <c r="F161" s="892">
        <v>0.79930000000000001</v>
      </c>
      <c r="G161" s="892">
        <v>0.79930000000000001</v>
      </c>
      <c r="H161" s="892">
        <v>0.79930000000000001</v>
      </c>
      <c r="I161" s="892">
        <v>0.71189999999999998</v>
      </c>
      <c r="J161" s="892">
        <v>0.71189999999999998</v>
      </c>
      <c r="K161" s="892">
        <v>0.71189999999999998</v>
      </c>
      <c r="L161" s="892">
        <v>0.71189999999999998</v>
      </c>
      <c r="M161" s="892">
        <v>0.71189999999999998</v>
      </c>
    </row>
    <row r="162" spans="1:13">
      <c r="A162" s="885">
        <v>5.8</v>
      </c>
      <c r="B162" s="892">
        <v>0.89500000000000002</v>
      </c>
      <c r="C162" s="892">
        <v>0.89500000000000002</v>
      </c>
      <c r="D162" s="892">
        <v>0.79679999999999995</v>
      </c>
      <c r="E162" s="892">
        <v>0.79679999999999995</v>
      </c>
      <c r="F162" s="892">
        <v>0.79679999999999995</v>
      </c>
      <c r="G162" s="892">
        <v>0.79679999999999995</v>
      </c>
      <c r="H162" s="892">
        <v>0.79679999999999995</v>
      </c>
      <c r="I162" s="892">
        <v>0.70879999999999999</v>
      </c>
      <c r="J162" s="892">
        <v>0.70879999999999999</v>
      </c>
      <c r="K162" s="892">
        <v>0.70879999999999999</v>
      </c>
      <c r="L162" s="892">
        <v>0.70879999999999999</v>
      </c>
      <c r="M162" s="892">
        <v>0.70879999999999999</v>
      </c>
    </row>
    <row r="163" spans="1:13">
      <c r="A163" s="885">
        <v>5.9</v>
      </c>
      <c r="B163" s="892">
        <v>0.89259999999999995</v>
      </c>
      <c r="C163" s="892">
        <v>0.89259999999999995</v>
      </c>
      <c r="D163" s="892">
        <v>0.7944</v>
      </c>
      <c r="E163" s="892">
        <v>0.7944</v>
      </c>
      <c r="F163" s="892">
        <v>0.7944</v>
      </c>
      <c r="G163" s="892">
        <v>0.7944</v>
      </c>
      <c r="H163" s="892">
        <v>0.7944</v>
      </c>
      <c r="I163" s="892">
        <v>0.70579999999999998</v>
      </c>
      <c r="J163" s="892">
        <v>0.70579999999999998</v>
      </c>
      <c r="K163" s="892">
        <v>0.70579999999999998</v>
      </c>
      <c r="L163" s="892">
        <v>0.70579999999999998</v>
      </c>
      <c r="M163" s="892">
        <v>0.70579999999999998</v>
      </c>
    </row>
    <row r="164" spans="1:13">
      <c r="A164" s="885">
        <v>6</v>
      </c>
      <c r="B164" s="892">
        <v>0.89029999999999998</v>
      </c>
      <c r="C164" s="892">
        <v>0.89029999999999998</v>
      </c>
      <c r="D164" s="892">
        <v>0.79200000000000004</v>
      </c>
      <c r="E164" s="892">
        <v>0.79200000000000004</v>
      </c>
      <c r="F164" s="892">
        <v>0.79200000000000004</v>
      </c>
      <c r="G164" s="892">
        <v>0.79200000000000004</v>
      </c>
      <c r="H164" s="892">
        <v>0.79200000000000004</v>
      </c>
      <c r="I164" s="892">
        <v>0.70289999999999997</v>
      </c>
      <c r="J164" s="892">
        <v>0.70289999999999997</v>
      </c>
      <c r="K164" s="892">
        <v>0.70289999999999997</v>
      </c>
      <c r="L164" s="892">
        <v>0.70289999999999997</v>
      </c>
      <c r="M164" s="892">
        <v>0.70289999999999997</v>
      </c>
    </row>
    <row r="165" spans="1:13">
      <c r="A165" s="885">
        <v>6.1</v>
      </c>
      <c r="B165" s="892">
        <v>0.8881</v>
      </c>
      <c r="C165" s="892">
        <v>0.8881</v>
      </c>
      <c r="D165" s="892">
        <v>0.78979999999999995</v>
      </c>
      <c r="E165" s="892">
        <v>0.78979999999999995</v>
      </c>
      <c r="F165" s="892">
        <v>0.78979999999999995</v>
      </c>
      <c r="G165" s="892">
        <v>0.78979999999999995</v>
      </c>
      <c r="H165" s="892">
        <v>0.78979999999999995</v>
      </c>
      <c r="I165" s="892">
        <v>0.70009999999999994</v>
      </c>
      <c r="J165" s="892">
        <v>0.70009999999999994</v>
      </c>
      <c r="K165" s="892">
        <v>0.70009999999999994</v>
      </c>
      <c r="L165" s="892">
        <v>0.70009999999999994</v>
      </c>
      <c r="M165" s="892">
        <v>0.70009999999999994</v>
      </c>
    </row>
    <row r="166" spans="1:13">
      <c r="A166" s="885">
        <v>6.2</v>
      </c>
      <c r="B166" s="892">
        <v>0.88600000000000001</v>
      </c>
      <c r="C166" s="892">
        <v>0.88600000000000001</v>
      </c>
      <c r="D166" s="892">
        <v>0.78759999999999997</v>
      </c>
      <c r="E166" s="892">
        <v>0.78759999999999997</v>
      </c>
      <c r="F166" s="892">
        <v>0.78759999999999997</v>
      </c>
      <c r="G166" s="892">
        <v>0.78759999999999997</v>
      </c>
      <c r="H166" s="892">
        <v>0.78759999999999997</v>
      </c>
      <c r="I166" s="892">
        <v>0.69740000000000002</v>
      </c>
      <c r="J166" s="892">
        <v>0.69740000000000002</v>
      </c>
      <c r="K166" s="892">
        <v>0.69740000000000002</v>
      </c>
      <c r="L166" s="892">
        <v>0.69740000000000002</v>
      </c>
      <c r="M166" s="892">
        <v>0.69740000000000002</v>
      </c>
    </row>
    <row r="167" spans="1:13">
      <c r="A167" s="885">
        <v>6.3</v>
      </c>
      <c r="B167" s="892">
        <v>0.88390000000000002</v>
      </c>
      <c r="C167" s="892">
        <v>0.88390000000000002</v>
      </c>
      <c r="D167" s="892">
        <v>0.78549999999999998</v>
      </c>
      <c r="E167" s="892">
        <v>0.78549999999999998</v>
      </c>
      <c r="F167" s="892">
        <v>0.78549999999999998</v>
      </c>
      <c r="G167" s="892">
        <v>0.78549999999999998</v>
      </c>
      <c r="H167" s="892">
        <v>0.78549999999999998</v>
      </c>
      <c r="I167" s="892">
        <v>0.69479999999999997</v>
      </c>
      <c r="J167" s="892">
        <v>0.69479999999999997</v>
      </c>
      <c r="K167" s="892">
        <v>0.69479999999999997</v>
      </c>
      <c r="L167" s="892">
        <v>0.69479999999999997</v>
      </c>
      <c r="M167" s="892">
        <v>0.69479999999999997</v>
      </c>
    </row>
    <row r="168" spans="1:13">
      <c r="A168" s="885">
        <v>6.4</v>
      </c>
      <c r="B168" s="892">
        <v>0.88190000000000002</v>
      </c>
      <c r="C168" s="892">
        <v>0.88190000000000002</v>
      </c>
      <c r="D168" s="892">
        <v>0.78339999999999999</v>
      </c>
      <c r="E168" s="892">
        <v>0.78339999999999999</v>
      </c>
      <c r="F168" s="892">
        <v>0.78339999999999999</v>
      </c>
      <c r="G168" s="892">
        <v>0.78339999999999999</v>
      </c>
      <c r="H168" s="892">
        <v>0.78339999999999999</v>
      </c>
      <c r="I168" s="892">
        <v>0.69230000000000003</v>
      </c>
      <c r="J168" s="892">
        <v>0.69230000000000003</v>
      </c>
      <c r="K168" s="892">
        <v>0.69230000000000003</v>
      </c>
      <c r="L168" s="892">
        <v>0.69230000000000003</v>
      </c>
      <c r="M168" s="892">
        <v>0.69230000000000003</v>
      </c>
    </row>
    <row r="169" spans="1:13">
      <c r="A169" s="885">
        <v>6.5</v>
      </c>
      <c r="B169" s="892">
        <v>0.88</v>
      </c>
      <c r="C169" s="892">
        <v>0.88</v>
      </c>
      <c r="D169" s="892">
        <v>0.78139999999999998</v>
      </c>
      <c r="E169" s="892">
        <v>0.78139999999999998</v>
      </c>
      <c r="F169" s="892">
        <v>0.78139999999999998</v>
      </c>
      <c r="G169" s="892">
        <v>0.78139999999999998</v>
      </c>
      <c r="H169" s="892">
        <v>0.78139999999999998</v>
      </c>
      <c r="I169" s="892">
        <v>0.68989999999999996</v>
      </c>
      <c r="J169" s="892">
        <v>0.68989999999999996</v>
      </c>
      <c r="K169" s="892">
        <v>0.68989999999999996</v>
      </c>
      <c r="L169" s="892">
        <v>0.68989999999999996</v>
      </c>
      <c r="M169" s="892">
        <v>0.68989999999999996</v>
      </c>
    </row>
    <row r="170" spans="1:13">
      <c r="A170" s="885">
        <v>6.6</v>
      </c>
      <c r="B170" s="892">
        <v>0.87809999999999999</v>
      </c>
      <c r="C170" s="892">
        <v>0.87809999999999999</v>
      </c>
      <c r="D170" s="892">
        <v>0.77949999999999997</v>
      </c>
      <c r="E170" s="892">
        <v>0.77949999999999997</v>
      </c>
      <c r="F170" s="892">
        <v>0.77949999999999997</v>
      </c>
      <c r="G170" s="892">
        <v>0.77949999999999997</v>
      </c>
      <c r="H170" s="892">
        <v>0.77949999999999997</v>
      </c>
      <c r="I170" s="892">
        <v>0.68759999999999999</v>
      </c>
      <c r="J170" s="892">
        <v>0.68759999999999999</v>
      </c>
      <c r="K170" s="892">
        <v>0.68759999999999999</v>
      </c>
      <c r="L170" s="892">
        <v>0.68759999999999999</v>
      </c>
      <c r="M170" s="892">
        <v>0.68759999999999999</v>
      </c>
    </row>
    <row r="171" spans="1:13">
      <c r="A171" s="885">
        <v>6.7</v>
      </c>
      <c r="B171" s="892">
        <v>0.87629999999999997</v>
      </c>
      <c r="C171" s="892">
        <v>0.87629999999999997</v>
      </c>
      <c r="D171" s="892">
        <v>0.77759999999999996</v>
      </c>
      <c r="E171" s="892">
        <v>0.77759999999999996</v>
      </c>
      <c r="F171" s="892">
        <v>0.77759999999999996</v>
      </c>
      <c r="G171" s="892">
        <v>0.77759999999999996</v>
      </c>
      <c r="H171" s="892">
        <v>0.77759999999999996</v>
      </c>
      <c r="I171" s="892">
        <v>0.68530000000000002</v>
      </c>
      <c r="J171" s="892">
        <v>0.68530000000000002</v>
      </c>
      <c r="K171" s="892">
        <v>0.68530000000000002</v>
      </c>
      <c r="L171" s="892">
        <v>0.68530000000000002</v>
      </c>
      <c r="M171" s="892">
        <v>0.68530000000000002</v>
      </c>
    </row>
    <row r="172" spans="1:13">
      <c r="A172" s="885">
        <v>6.8</v>
      </c>
      <c r="B172" s="892">
        <v>0.87450000000000006</v>
      </c>
      <c r="C172" s="892">
        <v>0.87450000000000006</v>
      </c>
      <c r="D172" s="892">
        <v>0.77569999999999995</v>
      </c>
      <c r="E172" s="892">
        <v>0.77569999999999995</v>
      </c>
      <c r="F172" s="892">
        <v>0.77569999999999995</v>
      </c>
      <c r="G172" s="892">
        <v>0.77569999999999995</v>
      </c>
      <c r="H172" s="892">
        <v>0.77569999999999995</v>
      </c>
      <c r="I172" s="892">
        <v>0.68310000000000004</v>
      </c>
      <c r="J172" s="892">
        <v>0.68310000000000004</v>
      </c>
      <c r="K172" s="892">
        <v>0.68310000000000004</v>
      </c>
      <c r="L172" s="892">
        <v>0.68310000000000004</v>
      </c>
      <c r="M172" s="892">
        <v>0.68310000000000004</v>
      </c>
    </row>
    <row r="173" spans="1:13">
      <c r="A173" s="885">
        <v>6.9</v>
      </c>
      <c r="B173" s="892">
        <v>0.87280000000000002</v>
      </c>
      <c r="C173" s="892">
        <v>0.87280000000000002</v>
      </c>
      <c r="D173" s="892">
        <v>0.77390000000000003</v>
      </c>
      <c r="E173" s="892">
        <v>0.77390000000000003</v>
      </c>
      <c r="F173" s="892">
        <v>0.77390000000000003</v>
      </c>
      <c r="G173" s="892">
        <v>0.77390000000000003</v>
      </c>
      <c r="H173" s="892">
        <v>0.77390000000000003</v>
      </c>
      <c r="I173" s="892">
        <v>0.68089999999999995</v>
      </c>
      <c r="J173" s="892">
        <v>0.68089999999999995</v>
      </c>
      <c r="K173" s="892">
        <v>0.68089999999999995</v>
      </c>
      <c r="L173" s="892">
        <v>0.68089999999999995</v>
      </c>
      <c r="M173" s="892">
        <v>0.68089999999999995</v>
      </c>
    </row>
    <row r="174" spans="1:13">
      <c r="A174" s="885">
        <v>7</v>
      </c>
      <c r="B174" s="892">
        <v>0.87109999999999999</v>
      </c>
      <c r="C174" s="892">
        <v>0.87109999999999999</v>
      </c>
      <c r="D174" s="892">
        <v>0.77210000000000001</v>
      </c>
      <c r="E174" s="892">
        <v>0.77210000000000001</v>
      </c>
      <c r="F174" s="892">
        <v>0.77210000000000001</v>
      </c>
      <c r="G174" s="892">
        <v>0.77210000000000001</v>
      </c>
      <c r="H174" s="892">
        <v>0.77210000000000001</v>
      </c>
      <c r="I174" s="892">
        <v>0.67879999999999996</v>
      </c>
      <c r="J174" s="892">
        <v>0.67879999999999996</v>
      </c>
      <c r="K174" s="892">
        <v>0.67879999999999996</v>
      </c>
      <c r="L174" s="892">
        <v>0.67879999999999996</v>
      </c>
      <c r="M174" s="892">
        <v>0.67879999999999996</v>
      </c>
    </row>
    <row r="175" spans="1:13">
      <c r="A175" s="885">
        <v>7.1</v>
      </c>
      <c r="B175" s="892">
        <v>0.86939999999999995</v>
      </c>
      <c r="C175" s="892">
        <v>0.86939999999999995</v>
      </c>
      <c r="D175" s="892">
        <v>0.77039999999999997</v>
      </c>
      <c r="E175" s="892">
        <v>0.77039999999999997</v>
      </c>
      <c r="F175" s="892">
        <v>0.77039999999999997</v>
      </c>
      <c r="G175" s="892">
        <v>0.77039999999999997</v>
      </c>
      <c r="H175" s="892">
        <v>0.77039999999999997</v>
      </c>
      <c r="I175" s="892">
        <v>0.67669999999999997</v>
      </c>
      <c r="J175" s="892">
        <v>0.67669999999999997</v>
      </c>
      <c r="K175" s="892">
        <v>0.67669999999999997</v>
      </c>
      <c r="L175" s="892">
        <v>0.67669999999999997</v>
      </c>
      <c r="M175" s="892">
        <v>0.67669999999999997</v>
      </c>
    </row>
    <row r="176" spans="1:13">
      <c r="A176" s="885">
        <v>7.2</v>
      </c>
      <c r="B176" s="892">
        <v>0.86770000000000003</v>
      </c>
      <c r="C176" s="892">
        <v>0.86770000000000003</v>
      </c>
      <c r="D176" s="892">
        <v>0.76870000000000005</v>
      </c>
      <c r="E176" s="892">
        <v>0.76870000000000005</v>
      </c>
      <c r="F176" s="892">
        <v>0.76870000000000005</v>
      </c>
      <c r="G176" s="892">
        <v>0.76870000000000005</v>
      </c>
      <c r="H176" s="892">
        <v>0.76870000000000005</v>
      </c>
      <c r="I176" s="892">
        <v>0.67469999999999997</v>
      </c>
      <c r="J176" s="892">
        <v>0.67469999999999997</v>
      </c>
      <c r="K176" s="892">
        <v>0.67469999999999997</v>
      </c>
      <c r="L176" s="892">
        <v>0.67469999999999997</v>
      </c>
      <c r="M176" s="892">
        <v>0.67469999999999997</v>
      </c>
    </row>
    <row r="177" spans="1:13">
      <c r="A177" s="885">
        <v>7.3</v>
      </c>
      <c r="B177" s="892">
        <v>0.86609999999999998</v>
      </c>
      <c r="C177" s="892">
        <v>0.86609999999999998</v>
      </c>
      <c r="D177" s="892">
        <v>0.76700000000000002</v>
      </c>
      <c r="E177" s="892">
        <v>0.76700000000000002</v>
      </c>
      <c r="F177" s="892">
        <v>0.76700000000000002</v>
      </c>
      <c r="G177" s="892">
        <v>0.76700000000000002</v>
      </c>
      <c r="H177" s="892">
        <v>0.76700000000000002</v>
      </c>
      <c r="I177" s="892">
        <v>0.67269999999999996</v>
      </c>
      <c r="J177" s="892">
        <v>0.67269999999999996</v>
      </c>
      <c r="K177" s="892">
        <v>0.67269999999999996</v>
      </c>
      <c r="L177" s="892">
        <v>0.67269999999999996</v>
      </c>
      <c r="M177" s="892">
        <v>0.67269999999999996</v>
      </c>
    </row>
    <row r="178" spans="1:13">
      <c r="A178" s="885">
        <v>7.4</v>
      </c>
      <c r="B178" s="892">
        <v>0.86450000000000005</v>
      </c>
      <c r="C178" s="892">
        <v>0.86450000000000005</v>
      </c>
      <c r="D178" s="892">
        <v>0.76529999999999998</v>
      </c>
      <c r="E178" s="892">
        <v>0.76529999999999998</v>
      </c>
      <c r="F178" s="892">
        <v>0.76529999999999998</v>
      </c>
      <c r="G178" s="892">
        <v>0.76529999999999998</v>
      </c>
      <c r="H178" s="892">
        <v>0.76529999999999998</v>
      </c>
      <c r="I178" s="892">
        <v>0.67079999999999995</v>
      </c>
      <c r="J178" s="892">
        <v>0.67079999999999995</v>
      </c>
      <c r="K178" s="892">
        <v>0.67079999999999995</v>
      </c>
      <c r="L178" s="892">
        <v>0.67079999999999995</v>
      </c>
      <c r="M178" s="892">
        <v>0.67079999999999995</v>
      </c>
    </row>
    <row r="179" spans="1:13">
      <c r="A179" s="885">
        <v>7.5</v>
      </c>
      <c r="B179" s="892">
        <v>0.86299999999999999</v>
      </c>
      <c r="C179" s="892">
        <v>0.86299999999999999</v>
      </c>
      <c r="D179" s="892">
        <v>0.76359999999999995</v>
      </c>
      <c r="E179" s="892">
        <v>0.76359999999999995</v>
      </c>
      <c r="F179" s="892">
        <v>0.76359999999999995</v>
      </c>
      <c r="G179" s="892">
        <v>0.76359999999999995</v>
      </c>
      <c r="H179" s="892">
        <v>0.76359999999999995</v>
      </c>
      <c r="I179" s="892">
        <v>0.66890000000000005</v>
      </c>
      <c r="J179" s="892">
        <v>0.66890000000000005</v>
      </c>
      <c r="K179" s="892">
        <v>0.66890000000000005</v>
      </c>
      <c r="L179" s="892">
        <v>0.66890000000000005</v>
      </c>
      <c r="M179" s="892">
        <v>0.66890000000000005</v>
      </c>
    </row>
    <row r="180" spans="1:13">
      <c r="A180" s="885">
        <v>7.6</v>
      </c>
      <c r="B180" s="892">
        <v>0.86150000000000004</v>
      </c>
      <c r="C180" s="892">
        <v>0.86150000000000004</v>
      </c>
      <c r="D180" s="892">
        <v>0.76200000000000001</v>
      </c>
      <c r="E180" s="892">
        <v>0.76200000000000001</v>
      </c>
      <c r="F180" s="892">
        <v>0.76200000000000001</v>
      </c>
      <c r="G180" s="892">
        <v>0.76200000000000001</v>
      </c>
      <c r="H180" s="892">
        <v>0.76200000000000001</v>
      </c>
      <c r="I180" s="892">
        <v>0.66700000000000004</v>
      </c>
      <c r="J180" s="892">
        <v>0.66700000000000004</v>
      </c>
      <c r="K180" s="892">
        <v>0.66700000000000004</v>
      </c>
      <c r="L180" s="892">
        <v>0.66700000000000004</v>
      </c>
      <c r="M180" s="892">
        <v>0.66700000000000004</v>
      </c>
    </row>
    <row r="181" spans="1:13">
      <c r="A181" s="885">
        <v>7.7</v>
      </c>
      <c r="B181" s="892">
        <v>0.86</v>
      </c>
      <c r="C181" s="892">
        <v>0.86</v>
      </c>
      <c r="D181" s="892">
        <v>0.76039999999999996</v>
      </c>
      <c r="E181" s="892">
        <v>0.76039999999999996</v>
      </c>
      <c r="F181" s="892">
        <v>0.76039999999999996</v>
      </c>
      <c r="G181" s="892">
        <v>0.76039999999999996</v>
      </c>
      <c r="H181" s="892">
        <v>0.76039999999999996</v>
      </c>
      <c r="I181" s="892">
        <v>0.66510000000000002</v>
      </c>
      <c r="J181" s="892">
        <v>0.66510000000000002</v>
      </c>
      <c r="K181" s="892">
        <v>0.66510000000000002</v>
      </c>
      <c r="L181" s="892">
        <v>0.66510000000000002</v>
      </c>
      <c r="M181" s="892">
        <v>0.66510000000000002</v>
      </c>
    </row>
    <row r="182" spans="1:13">
      <c r="A182" s="885">
        <v>7.8</v>
      </c>
      <c r="B182" s="892">
        <v>0.85850000000000004</v>
      </c>
      <c r="C182" s="892">
        <v>0.85850000000000004</v>
      </c>
      <c r="D182" s="892">
        <v>0.75880000000000003</v>
      </c>
      <c r="E182" s="892">
        <v>0.75880000000000003</v>
      </c>
      <c r="F182" s="892">
        <v>0.75880000000000003</v>
      </c>
      <c r="G182" s="892">
        <v>0.75880000000000003</v>
      </c>
      <c r="H182" s="892">
        <v>0.75880000000000003</v>
      </c>
      <c r="I182" s="892">
        <v>0.6633</v>
      </c>
      <c r="J182" s="892">
        <v>0.6633</v>
      </c>
      <c r="K182" s="892">
        <v>0.6633</v>
      </c>
      <c r="L182" s="892">
        <v>0.6633</v>
      </c>
      <c r="M182" s="892">
        <v>0.6633</v>
      </c>
    </row>
    <row r="183" spans="1:13">
      <c r="A183" s="885">
        <v>7.9</v>
      </c>
      <c r="B183" s="892">
        <v>0.85699999999999998</v>
      </c>
      <c r="C183" s="892">
        <v>0.85699999999999998</v>
      </c>
      <c r="D183" s="892">
        <v>0.75719999999999998</v>
      </c>
      <c r="E183" s="892">
        <v>0.75719999999999998</v>
      </c>
      <c r="F183" s="892">
        <v>0.75719999999999998</v>
      </c>
      <c r="G183" s="892">
        <v>0.75719999999999998</v>
      </c>
      <c r="H183" s="892">
        <v>0.75719999999999998</v>
      </c>
      <c r="I183" s="892">
        <v>0.66149999999999998</v>
      </c>
      <c r="J183" s="892">
        <v>0.66149999999999998</v>
      </c>
      <c r="K183" s="892">
        <v>0.66149999999999998</v>
      </c>
      <c r="L183" s="892">
        <v>0.66149999999999998</v>
      </c>
      <c r="M183" s="892">
        <v>0.66149999999999998</v>
      </c>
    </row>
    <row r="184" spans="1:13">
      <c r="A184" s="885">
        <v>8</v>
      </c>
      <c r="B184" s="892">
        <v>0.85550000000000004</v>
      </c>
      <c r="C184" s="892">
        <v>0.85550000000000004</v>
      </c>
      <c r="D184" s="892">
        <v>0.75570000000000004</v>
      </c>
      <c r="E184" s="892">
        <v>0.75570000000000004</v>
      </c>
      <c r="F184" s="892">
        <v>0.75570000000000004</v>
      </c>
      <c r="G184" s="892">
        <v>0.75570000000000004</v>
      </c>
      <c r="H184" s="892">
        <v>0.75570000000000004</v>
      </c>
      <c r="I184" s="892">
        <v>0.65969999999999995</v>
      </c>
      <c r="J184" s="892">
        <v>0.65969999999999995</v>
      </c>
      <c r="K184" s="892">
        <v>0.65969999999999995</v>
      </c>
      <c r="L184" s="892">
        <v>0.65969999999999995</v>
      </c>
      <c r="M184" s="892">
        <v>0.65969999999999995</v>
      </c>
    </row>
    <row r="185" spans="1:13">
      <c r="A185" s="885">
        <v>8.1</v>
      </c>
      <c r="B185" s="892">
        <v>0.85399999999999998</v>
      </c>
      <c r="C185" s="892">
        <v>0.85399999999999998</v>
      </c>
      <c r="D185" s="892">
        <v>0.75419999999999998</v>
      </c>
      <c r="E185" s="892">
        <v>0.75419999999999998</v>
      </c>
      <c r="F185" s="892">
        <v>0.75419999999999998</v>
      </c>
      <c r="G185" s="892">
        <v>0.75419999999999998</v>
      </c>
      <c r="H185" s="892">
        <v>0.75419999999999998</v>
      </c>
      <c r="I185" s="892">
        <v>0.65800000000000003</v>
      </c>
      <c r="J185" s="892">
        <v>0.65800000000000003</v>
      </c>
      <c r="K185" s="892">
        <v>0.65800000000000003</v>
      </c>
      <c r="L185" s="892">
        <v>0.65800000000000003</v>
      </c>
      <c r="M185" s="892">
        <v>0.65800000000000003</v>
      </c>
    </row>
    <row r="186" spans="1:13">
      <c r="A186" s="885">
        <v>8.1999999999999993</v>
      </c>
      <c r="B186" s="892">
        <v>0.85250000000000004</v>
      </c>
      <c r="C186" s="892">
        <v>0.85250000000000004</v>
      </c>
      <c r="D186" s="892">
        <v>0.75270000000000004</v>
      </c>
      <c r="E186" s="892">
        <v>0.75270000000000004</v>
      </c>
      <c r="F186" s="892">
        <v>0.75270000000000004</v>
      </c>
      <c r="G186" s="892">
        <v>0.75270000000000004</v>
      </c>
      <c r="H186" s="892">
        <v>0.75270000000000004</v>
      </c>
      <c r="I186" s="892">
        <v>0.65629999999999999</v>
      </c>
      <c r="J186" s="892">
        <v>0.65629999999999999</v>
      </c>
      <c r="K186" s="892">
        <v>0.65629999999999999</v>
      </c>
      <c r="L186" s="892">
        <v>0.65629999999999999</v>
      </c>
      <c r="M186" s="892">
        <v>0.65629999999999999</v>
      </c>
    </row>
    <row r="187" spans="1:13">
      <c r="A187" s="885">
        <v>8.3000000000000007</v>
      </c>
      <c r="B187" s="892">
        <v>0.85109999999999997</v>
      </c>
      <c r="C187" s="892">
        <v>0.85109999999999997</v>
      </c>
      <c r="D187" s="892">
        <v>0.75119999999999998</v>
      </c>
      <c r="E187" s="892">
        <v>0.75119999999999998</v>
      </c>
      <c r="F187" s="892">
        <v>0.75119999999999998</v>
      </c>
      <c r="G187" s="892">
        <v>0.75119999999999998</v>
      </c>
      <c r="H187" s="892">
        <v>0.75119999999999998</v>
      </c>
      <c r="I187" s="892">
        <v>0.65459999999999996</v>
      </c>
      <c r="J187" s="892">
        <v>0.65459999999999996</v>
      </c>
      <c r="K187" s="892">
        <v>0.65459999999999996</v>
      </c>
      <c r="L187" s="892">
        <v>0.65459999999999996</v>
      </c>
      <c r="M187" s="892">
        <v>0.65459999999999996</v>
      </c>
    </row>
    <row r="188" spans="1:13">
      <c r="A188" s="885">
        <v>8.4</v>
      </c>
      <c r="B188" s="892">
        <v>0.84970000000000001</v>
      </c>
      <c r="C188" s="892">
        <v>0.84970000000000001</v>
      </c>
      <c r="D188" s="892">
        <v>0.74970000000000003</v>
      </c>
      <c r="E188" s="892">
        <v>0.74970000000000003</v>
      </c>
      <c r="F188" s="892">
        <v>0.74970000000000003</v>
      </c>
      <c r="G188" s="892">
        <v>0.74970000000000003</v>
      </c>
      <c r="H188" s="892">
        <v>0.74970000000000003</v>
      </c>
      <c r="I188" s="892">
        <v>0.65300000000000002</v>
      </c>
      <c r="J188" s="892">
        <v>0.65300000000000002</v>
      </c>
      <c r="K188" s="892">
        <v>0.65300000000000002</v>
      </c>
      <c r="L188" s="892">
        <v>0.65300000000000002</v>
      </c>
      <c r="M188" s="892">
        <v>0.65300000000000002</v>
      </c>
    </row>
    <row r="189" spans="1:13">
      <c r="A189" s="885">
        <v>8.5</v>
      </c>
      <c r="B189" s="892">
        <v>0.84830000000000005</v>
      </c>
      <c r="C189" s="892">
        <v>0.84830000000000005</v>
      </c>
      <c r="D189" s="892">
        <v>0.74819999999999998</v>
      </c>
      <c r="E189" s="892">
        <v>0.74819999999999998</v>
      </c>
      <c r="F189" s="892">
        <v>0.74819999999999998</v>
      </c>
      <c r="G189" s="892">
        <v>0.74819999999999998</v>
      </c>
      <c r="H189" s="892">
        <v>0.74819999999999998</v>
      </c>
      <c r="I189" s="892">
        <v>0.65139999999999998</v>
      </c>
      <c r="J189" s="892">
        <v>0.65139999999999998</v>
      </c>
      <c r="K189" s="892">
        <v>0.65139999999999998</v>
      </c>
      <c r="L189" s="892">
        <v>0.65139999999999998</v>
      </c>
      <c r="M189" s="892">
        <v>0.65139999999999998</v>
      </c>
    </row>
    <row r="190" spans="1:13">
      <c r="A190" s="885">
        <v>8.6</v>
      </c>
      <c r="B190" s="892">
        <v>0.84689999999999999</v>
      </c>
      <c r="C190" s="892">
        <v>0.84689999999999999</v>
      </c>
      <c r="D190" s="892">
        <v>0.74670000000000003</v>
      </c>
      <c r="E190" s="892">
        <v>0.74670000000000003</v>
      </c>
      <c r="F190" s="892">
        <v>0.74670000000000003</v>
      </c>
      <c r="G190" s="892">
        <v>0.74670000000000003</v>
      </c>
      <c r="H190" s="892">
        <v>0.74670000000000003</v>
      </c>
      <c r="I190" s="892">
        <v>0.64980000000000004</v>
      </c>
      <c r="J190" s="892">
        <v>0.64980000000000004</v>
      </c>
      <c r="K190" s="892">
        <v>0.64980000000000004</v>
      </c>
      <c r="L190" s="892">
        <v>0.64980000000000004</v>
      </c>
      <c r="M190" s="892">
        <v>0.64980000000000004</v>
      </c>
    </row>
    <row r="191" spans="1:13">
      <c r="A191" s="885">
        <v>8.6999999999999993</v>
      </c>
      <c r="B191" s="892">
        <v>0.84550000000000003</v>
      </c>
      <c r="C191" s="892">
        <v>0.84550000000000003</v>
      </c>
      <c r="D191" s="892">
        <v>0.74519999999999997</v>
      </c>
      <c r="E191" s="892">
        <v>0.74519999999999997</v>
      </c>
      <c r="F191" s="892">
        <v>0.74519999999999997</v>
      </c>
      <c r="G191" s="892">
        <v>0.74519999999999997</v>
      </c>
      <c r="H191" s="892">
        <v>0.74519999999999997</v>
      </c>
      <c r="I191" s="892">
        <v>0.6482</v>
      </c>
      <c r="J191" s="892">
        <v>0.6482</v>
      </c>
      <c r="K191" s="892">
        <v>0.6482</v>
      </c>
      <c r="L191" s="892">
        <v>0.6482</v>
      </c>
      <c r="M191" s="892">
        <v>0.6482</v>
      </c>
    </row>
    <row r="192" spans="1:13">
      <c r="A192" s="885">
        <v>8.8000000000000007</v>
      </c>
      <c r="B192" s="892">
        <v>0.84409999999999996</v>
      </c>
      <c r="C192" s="892">
        <v>0.84409999999999996</v>
      </c>
      <c r="D192" s="892">
        <v>0.74370000000000003</v>
      </c>
      <c r="E192" s="892">
        <v>0.74370000000000003</v>
      </c>
      <c r="F192" s="892">
        <v>0.74370000000000003</v>
      </c>
      <c r="G192" s="892">
        <v>0.74370000000000003</v>
      </c>
      <c r="H192" s="892">
        <v>0.74370000000000003</v>
      </c>
      <c r="I192" s="892">
        <v>0.64659999999999995</v>
      </c>
      <c r="J192" s="892">
        <v>0.64659999999999995</v>
      </c>
      <c r="K192" s="892">
        <v>0.64659999999999995</v>
      </c>
      <c r="L192" s="892">
        <v>0.64659999999999995</v>
      </c>
      <c r="M192" s="892">
        <v>0.64659999999999995</v>
      </c>
    </row>
    <row r="193" spans="1:13">
      <c r="A193" s="885">
        <v>8.9</v>
      </c>
      <c r="B193" s="892">
        <v>0.84279999999999999</v>
      </c>
      <c r="C193" s="892">
        <v>0.84279999999999999</v>
      </c>
      <c r="D193" s="892">
        <v>0.74219999999999997</v>
      </c>
      <c r="E193" s="892">
        <v>0.74219999999999997</v>
      </c>
      <c r="F193" s="892">
        <v>0.74219999999999997</v>
      </c>
      <c r="G193" s="892">
        <v>0.74219999999999997</v>
      </c>
      <c r="H193" s="892">
        <v>0.74219999999999997</v>
      </c>
      <c r="I193" s="892">
        <v>0.64500000000000002</v>
      </c>
      <c r="J193" s="892">
        <v>0.64500000000000002</v>
      </c>
      <c r="K193" s="892">
        <v>0.64500000000000002</v>
      </c>
      <c r="L193" s="892">
        <v>0.64500000000000002</v>
      </c>
      <c r="M193" s="892">
        <v>0.64500000000000002</v>
      </c>
    </row>
    <row r="194" spans="1:13">
      <c r="A194" s="900">
        <v>9</v>
      </c>
      <c r="B194" s="892">
        <v>0.84150000000000003</v>
      </c>
      <c r="C194" s="892">
        <v>0.84150000000000003</v>
      </c>
      <c r="D194" s="892">
        <v>0.74070000000000003</v>
      </c>
      <c r="E194" s="892">
        <v>0.74070000000000003</v>
      </c>
      <c r="F194" s="892">
        <v>0.74070000000000003</v>
      </c>
      <c r="G194" s="892">
        <v>0.74070000000000003</v>
      </c>
      <c r="H194" s="892">
        <v>0.74070000000000003</v>
      </c>
      <c r="I194" s="892">
        <v>0.64349999999999996</v>
      </c>
      <c r="J194" s="892">
        <v>0.64349999999999996</v>
      </c>
      <c r="K194" s="892">
        <v>0.64349999999999996</v>
      </c>
      <c r="L194" s="892">
        <v>0.64349999999999996</v>
      </c>
      <c r="M194" s="892">
        <v>0.64349999999999996</v>
      </c>
    </row>
    <row r="195" spans="1:13">
      <c r="A195" s="900">
        <v>9.1</v>
      </c>
      <c r="B195" s="892">
        <v>0.84019999999999995</v>
      </c>
      <c r="C195" s="892">
        <v>0.84019999999999995</v>
      </c>
      <c r="D195" s="892">
        <v>0.73919999999999997</v>
      </c>
      <c r="E195" s="892">
        <v>0.73919999999999997</v>
      </c>
      <c r="F195" s="892">
        <v>0.73919999999999997</v>
      </c>
      <c r="G195" s="892">
        <v>0.73919999999999997</v>
      </c>
      <c r="H195" s="892">
        <v>0.73919999999999997</v>
      </c>
      <c r="I195" s="892">
        <v>0.64200000000000002</v>
      </c>
      <c r="J195" s="892">
        <v>0.64200000000000002</v>
      </c>
      <c r="K195" s="892">
        <v>0.64200000000000002</v>
      </c>
      <c r="L195" s="892">
        <v>0.64200000000000002</v>
      </c>
      <c r="M195" s="892">
        <v>0.64200000000000002</v>
      </c>
    </row>
    <row r="196" spans="1:13">
      <c r="A196" s="900">
        <v>9.1999999999999993</v>
      </c>
      <c r="B196" s="892">
        <v>0.83889999999999998</v>
      </c>
      <c r="C196" s="892">
        <v>0.83889999999999998</v>
      </c>
      <c r="D196" s="892">
        <v>0.73770000000000002</v>
      </c>
      <c r="E196" s="892">
        <v>0.73770000000000002</v>
      </c>
      <c r="F196" s="892">
        <v>0.73770000000000002</v>
      </c>
      <c r="G196" s="892">
        <v>0.73770000000000002</v>
      </c>
      <c r="H196" s="892">
        <v>0.73770000000000002</v>
      </c>
      <c r="I196" s="892">
        <v>0.64059999999999995</v>
      </c>
      <c r="J196" s="892">
        <v>0.64059999999999995</v>
      </c>
      <c r="K196" s="892">
        <v>0.64059999999999995</v>
      </c>
      <c r="L196" s="892">
        <v>0.64059999999999995</v>
      </c>
      <c r="M196" s="892">
        <v>0.64059999999999995</v>
      </c>
    </row>
    <row r="197" spans="1:13">
      <c r="A197" s="900">
        <v>9.3000000000000007</v>
      </c>
      <c r="B197" s="892">
        <v>0.83760000000000001</v>
      </c>
      <c r="C197" s="892">
        <v>0.83760000000000001</v>
      </c>
      <c r="D197" s="892">
        <v>0.73629999999999995</v>
      </c>
      <c r="E197" s="892">
        <v>0.73629999999999995</v>
      </c>
      <c r="F197" s="892">
        <v>0.73629999999999995</v>
      </c>
      <c r="G197" s="892">
        <v>0.73629999999999995</v>
      </c>
      <c r="H197" s="892">
        <v>0.73629999999999995</v>
      </c>
      <c r="I197" s="892">
        <v>0.63919999999999999</v>
      </c>
      <c r="J197" s="892">
        <v>0.63919999999999999</v>
      </c>
      <c r="K197" s="892">
        <v>0.63919999999999999</v>
      </c>
      <c r="L197" s="892">
        <v>0.63919999999999999</v>
      </c>
      <c r="M197" s="892">
        <v>0.63919999999999999</v>
      </c>
    </row>
    <row r="198" spans="1:13">
      <c r="A198" s="900">
        <v>9.4</v>
      </c>
      <c r="B198" s="892">
        <v>0.83630000000000004</v>
      </c>
      <c r="C198" s="892">
        <v>0.83630000000000004</v>
      </c>
      <c r="D198" s="892">
        <v>0.7349</v>
      </c>
      <c r="E198" s="892">
        <v>0.7349</v>
      </c>
      <c r="F198" s="892">
        <v>0.7349</v>
      </c>
      <c r="G198" s="892">
        <v>0.7349</v>
      </c>
      <c r="H198" s="892">
        <v>0.7349</v>
      </c>
      <c r="I198" s="892">
        <v>0.63780000000000003</v>
      </c>
      <c r="J198" s="892">
        <v>0.63780000000000003</v>
      </c>
      <c r="K198" s="892">
        <v>0.63780000000000003</v>
      </c>
      <c r="L198" s="892">
        <v>0.63780000000000003</v>
      </c>
      <c r="M198" s="892">
        <v>0.63780000000000003</v>
      </c>
    </row>
    <row r="199" spans="1:13">
      <c r="A199" s="900">
        <v>9.5</v>
      </c>
      <c r="B199" s="892">
        <v>0.83499999999999996</v>
      </c>
      <c r="C199" s="892">
        <v>0.83499999999999996</v>
      </c>
      <c r="D199" s="892">
        <v>0.73350000000000004</v>
      </c>
      <c r="E199" s="892">
        <v>0.73350000000000004</v>
      </c>
      <c r="F199" s="892">
        <v>0.73350000000000004</v>
      </c>
      <c r="G199" s="892">
        <v>0.73350000000000004</v>
      </c>
      <c r="H199" s="892">
        <v>0.73350000000000004</v>
      </c>
      <c r="I199" s="892">
        <v>0.63639999999999997</v>
      </c>
      <c r="J199" s="892">
        <v>0.63639999999999997</v>
      </c>
      <c r="K199" s="892">
        <v>0.63639999999999997</v>
      </c>
      <c r="L199" s="892">
        <v>0.63639999999999997</v>
      </c>
      <c r="M199" s="892">
        <v>0.63639999999999997</v>
      </c>
    </row>
    <row r="200" spans="1:13">
      <c r="A200" s="900">
        <v>9.6</v>
      </c>
      <c r="B200" s="892">
        <v>0.83379999999999999</v>
      </c>
      <c r="C200" s="892">
        <v>0.83379999999999999</v>
      </c>
      <c r="D200" s="892">
        <v>0.73209999999999997</v>
      </c>
      <c r="E200" s="892">
        <v>0.73209999999999997</v>
      </c>
      <c r="F200" s="892">
        <v>0.73209999999999997</v>
      </c>
      <c r="G200" s="892">
        <v>0.73209999999999997</v>
      </c>
      <c r="H200" s="892">
        <v>0.73209999999999997</v>
      </c>
      <c r="I200" s="892">
        <v>0.63500000000000001</v>
      </c>
      <c r="J200" s="892">
        <v>0.63500000000000001</v>
      </c>
      <c r="K200" s="892">
        <v>0.63500000000000001</v>
      </c>
      <c r="L200" s="892">
        <v>0.63500000000000001</v>
      </c>
      <c r="M200" s="892">
        <v>0.63500000000000001</v>
      </c>
    </row>
    <row r="201" spans="1:13">
      <c r="A201" s="900">
        <v>9.6999999999999993</v>
      </c>
      <c r="B201" s="892">
        <v>0.83260000000000001</v>
      </c>
      <c r="C201" s="892">
        <v>0.83260000000000001</v>
      </c>
      <c r="D201" s="892">
        <v>0.73070000000000002</v>
      </c>
      <c r="E201" s="892">
        <v>0.73070000000000002</v>
      </c>
      <c r="F201" s="892">
        <v>0.73070000000000002</v>
      </c>
      <c r="G201" s="892">
        <v>0.73070000000000002</v>
      </c>
      <c r="H201" s="892">
        <v>0.73070000000000002</v>
      </c>
      <c r="I201" s="892">
        <v>0.63360000000000005</v>
      </c>
      <c r="J201" s="892">
        <v>0.63360000000000005</v>
      </c>
      <c r="K201" s="892">
        <v>0.63360000000000005</v>
      </c>
      <c r="L201" s="892">
        <v>0.63360000000000005</v>
      </c>
      <c r="M201" s="892">
        <v>0.63360000000000005</v>
      </c>
    </row>
    <row r="202" spans="1:13">
      <c r="A202" s="900">
        <v>9.8000000000000007</v>
      </c>
      <c r="B202" s="892">
        <v>0.83140000000000003</v>
      </c>
      <c r="C202" s="892">
        <v>0.83140000000000003</v>
      </c>
      <c r="D202" s="892">
        <v>0.72929999999999995</v>
      </c>
      <c r="E202" s="892">
        <v>0.72929999999999995</v>
      </c>
      <c r="F202" s="892">
        <v>0.72929999999999995</v>
      </c>
      <c r="G202" s="892">
        <v>0.72929999999999995</v>
      </c>
      <c r="H202" s="892">
        <v>0.72929999999999995</v>
      </c>
      <c r="I202" s="892">
        <v>0.63219999999999998</v>
      </c>
      <c r="J202" s="892">
        <v>0.63219999999999998</v>
      </c>
      <c r="K202" s="892">
        <v>0.63219999999999998</v>
      </c>
      <c r="L202" s="892">
        <v>0.63219999999999998</v>
      </c>
      <c r="M202" s="892">
        <v>0.63219999999999998</v>
      </c>
    </row>
    <row r="203" spans="1:13">
      <c r="A203" s="900">
        <v>9.9</v>
      </c>
      <c r="B203" s="892">
        <v>0.83020000000000005</v>
      </c>
      <c r="C203" s="892">
        <v>0.83020000000000005</v>
      </c>
      <c r="D203" s="892">
        <v>0.72799999999999998</v>
      </c>
      <c r="E203" s="892">
        <v>0.72799999999999998</v>
      </c>
      <c r="F203" s="892">
        <v>0.72799999999999998</v>
      </c>
      <c r="G203" s="892">
        <v>0.72799999999999998</v>
      </c>
      <c r="H203" s="892">
        <v>0.72799999999999998</v>
      </c>
      <c r="I203" s="892">
        <v>0.63080000000000003</v>
      </c>
      <c r="J203" s="892">
        <v>0.63080000000000003</v>
      </c>
      <c r="K203" s="892">
        <v>0.63080000000000003</v>
      </c>
      <c r="L203" s="892">
        <v>0.63080000000000003</v>
      </c>
      <c r="M203" s="892">
        <v>0.63080000000000003</v>
      </c>
    </row>
    <row r="204" spans="1:13">
      <c r="A204" s="900">
        <v>10</v>
      </c>
      <c r="B204" s="892">
        <v>0.82899999999999996</v>
      </c>
      <c r="C204" s="892">
        <v>0.82899999999999996</v>
      </c>
      <c r="D204" s="892">
        <v>0.72670000000000001</v>
      </c>
      <c r="E204" s="892">
        <v>0.72670000000000001</v>
      </c>
      <c r="F204" s="892">
        <v>0.72670000000000001</v>
      </c>
      <c r="G204" s="892">
        <v>0.72670000000000001</v>
      </c>
      <c r="H204" s="892">
        <v>0.72670000000000001</v>
      </c>
      <c r="I204" s="892">
        <v>0.62939999999999996</v>
      </c>
      <c r="J204" s="892">
        <v>0.62939999999999996</v>
      </c>
      <c r="K204" s="892">
        <v>0.62939999999999996</v>
      </c>
      <c r="L204" s="892">
        <v>0.62939999999999996</v>
      </c>
      <c r="M204" s="892">
        <v>0.62939999999999996</v>
      </c>
    </row>
    <row r="205" spans="1:13" ht="14.25">
      <c r="A205" s="882" t="s">
        <v>749</v>
      </c>
      <c r="B205" s="883"/>
      <c r="C205" s="883"/>
      <c r="D205" s="883"/>
      <c r="E205" s="883"/>
      <c r="F205" s="883"/>
      <c r="G205" s="883"/>
      <c r="H205" s="883"/>
      <c r="I205" s="883"/>
      <c r="J205" s="883"/>
      <c r="K205" s="883"/>
      <c r="L205" s="883"/>
      <c r="M205" s="883"/>
    </row>
    <row r="206" spans="1:13">
      <c r="A206" s="885" t="s">
        <v>746</v>
      </c>
      <c r="B206" s="886" t="s">
        <v>157</v>
      </c>
      <c r="C206" s="886" t="s">
        <v>158</v>
      </c>
      <c r="D206" s="886" t="s">
        <v>159</v>
      </c>
      <c r="E206" s="886" t="s">
        <v>160</v>
      </c>
      <c r="F206" s="886" t="s">
        <v>161</v>
      </c>
      <c r="G206" s="886" t="s">
        <v>162</v>
      </c>
      <c r="H206" s="887" t="s">
        <v>163</v>
      </c>
      <c r="I206" s="887" t="s">
        <v>164</v>
      </c>
      <c r="J206" s="888" t="s">
        <v>165</v>
      </c>
      <c r="K206" s="888" t="s">
        <v>166</v>
      </c>
      <c r="L206" s="888" t="s">
        <v>167</v>
      </c>
      <c r="M206" s="888" t="s">
        <v>168</v>
      </c>
    </row>
    <row r="207" spans="1:13">
      <c r="A207" s="885">
        <v>0.1</v>
      </c>
      <c r="B207" s="892">
        <v>12.172000000000001</v>
      </c>
      <c r="C207" s="892">
        <v>12.172000000000001</v>
      </c>
      <c r="D207" s="892">
        <v>12.375999999999999</v>
      </c>
      <c r="E207" s="892">
        <v>12.375999999999999</v>
      </c>
      <c r="F207" s="892">
        <v>12.375999999999999</v>
      </c>
      <c r="G207" s="892">
        <v>12.375999999999999</v>
      </c>
      <c r="H207" s="892">
        <v>12.375999999999999</v>
      </c>
      <c r="I207" s="892">
        <v>11.071999999999999</v>
      </c>
      <c r="J207" s="892">
        <v>11.071999999999999</v>
      </c>
      <c r="K207" s="892">
        <v>11.071999999999999</v>
      </c>
      <c r="L207" s="892">
        <v>11.071999999999999</v>
      </c>
      <c r="M207" s="892">
        <v>11.071999999999999</v>
      </c>
    </row>
    <row r="208" spans="1:13">
      <c r="A208" s="885">
        <v>0.2</v>
      </c>
      <c r="B208" s="892">
        <v>6.0860000000000003</v>
      </c>
      <c r="C208" s="892">
        <v>6.0860000000000003</v>
      </c>
      <c r="D208" s="892">
        <v>6.1879999999999997</v>
      </c>
      <c r="E208" s="892">
        <v>6.1879999999999997</v>
      </c>
      <c r="F208" s="892">
        <v>6.1879999999999997</v>
      </c>
      <c r="G208" s="892">
        <v>6.1879999999999997</v>
      </c>
      <c r="H208" s="892">
        <v>6.1879999999999997</v>
      </c>
      <c r="I208" s="892">
        <v>5.5359999999999996</v>
      </c>
      <c r="J208" s="892">
        <v>5.5359999999999996</v>
      </c>
      <c r="K208" s="892">
        <v>5.5359999999999996</v>
      </c>
      <c r="L208" s="892">
        <v>5.5359999999999996</v>
      </c>
      <c r="M208" s="892">
        <v>5.5359999999999996</v>
      </c>
    </row>
    <row r="209" spans="1:13">
      <c r="A209" s="885">
        <v>0.3</v>
      </c>
      <c r="B209" s="892">
        <v>4.0572999999999997</v>
      </c>
      <c r="C209" s="892">
        <v>4.0572999999999997</v>
      </c>
      <c r="D209" s="892">
        <v>4.1253000000000002</v>
      </c>
      <c r="E209" s="892">
        <v>4.1253000000000002</v>
      </c>
      <c r="F209" s="892">
        <v>4.1253000000000002</v>
      </c>
      <c r="G209" s="892">
        <v>4.1253000000000002</v>
      </c>
      <c r="H209" s="892">
        <v>4.1253000000000002</v>
      </c>
      <c r="I209" s="892">
        <v>3.6907000000000001</v>
      </c>
      <c r="J209" s="892">
        <v>3.6907000000000001</v>
      </c>
      <c r="K209" s="892">
        <v>3.6907000000000001</v>
      </c>
      <c r="L209" s="892">
        <v>3.6907000000000001</v>
      </c>
      <c r="M209" s="892">
        <v>3.6907000000000001</v>
      </c>
    </row>
    <row r="210" spans="1:13">
      <c r="A210" s="885">
        <v>0.4</v>
      </c>
      <c r="B210" s="892">
        <v>3.0430000000000001</v>
      </c>
      <c r="C210" s="892">
        <v>3.0430000000000001</v>
      </c>
      <c r="D210" s="892">
        <v>3.0939999999999999</v>
      </c>
      <c r="E210" s="892">
        <v>3.0939999999999999</v>
      </c>
      <c r="F210" s="892">
        <v>3.0939999999999999</v>
      </c>
      <c r="G210" s="892">
        <v>3.0939999999999999</v>
      </c>
      <c r="H210" s="892">
        <v>3.0939999999999999</v>
      </c>
      <c r="I210" s="892">
        <v>2.7679999999999998</v>
      </c>
      <c r="J210" s="892">
        <v>2.7679999999999998</v>
      </c>
      <c r="K210" s="892">
        <v>2.7679999999999998</v>
      </c>
      <c r="L210" s="892">
        <v>2.7679999999999998</v>
      </c>
      <c r="M210" s="892">
        <v>2.7679999999999998</v>
      </c>
    </row>
    <row r="211" spans="1:13">
      <c r="A211" s="885">
        <v>0.5</v>
      </c>
      <c r="B211" s="892">
        <v>2.4344000000000001</v>
      </c>
      <c r="C211" s="892">
        <v>2.4344000000000001</v>
      </c>
      <c r="D211" s="892">
        <v>2.4752000000000001</v>
      </c>
      <c r="E211" s="892">
        <v>2.4752000000000001</v>
      </c>
      <c r="F211" s="892">
        <v>2.4752000000000001</v>
      </c>
      <c r="G211" s="892">
        <v>2.4752000000000001</v>
      </c>
      <c r="H211" s="892">
        <v>2.4752000000000001</v>
      </c>
      <c r="I211" s="892">
        <v>2.2143999999999999</v>
      </c>
      <c r="J211" s="892">
        <v>2.2143999999999999</v>
      </c>
      <c r="K211" s="892">
        <v>2.2143999999999999</v>
      </c>
      <c r="L211" s="892">
        <v>2.2143999999999999</v>
      </c>
      <c r="M211" s="892">
        <v>2.2143999999999999</v>
      </c>
    </row>
    <row r="212" spans="1:13">
      <c r="A212" s="885">
        <v>0.6</v>
      </c>
      <c r="B212" s="892">
        <v>2.0287000000000002</v>
      </c>
      <c r="C212" s="892">
        <v>2.0287000000000002</v>
      </c>
      <c r="D212" s="892">
        <v>2.0627</v>
      </c>
      <c r="E212" s="892">
        <v>2.0627</v>
      </c>
      <c r="F212" s="892">
        <v>2.0627</v>
      </c>
      <c r="G212" s="892">
        <v>2.0627</v>
      </c>
      <c r="H212" s="892">
        <v>2.0627</v>
      </c>
      <c r="I212" s="892">
        <v>1.8452999999999999</v>
      </c>
      <c r="J212" s="892">
        <v>1.8452999999999999</v>
      </c>
      <c r="K212" s="892">
        <v>1.8452999999999999</v>
      </c>
      <c r="L212" s="892">
        <v>1.8452999999999999</v>
      </c>
      <c r="M212" s="892">
        <v>1.8452999999999999</v>
      </c>
    </row>
    <row r="213" spans="1:13">
      <c r="A213" s="885">
        <v>0.7</v>
      </c>
      <c r="B213" s="892">
        <v>1.7388999999999999</v>
      </c>
      <c r="C213" s="892">
        <v>1.7388999999999999</v>
      </c>
      <c r="D213" s="892">
        <v>1.768</v>
      </c>
      <c r="E213" s="892">
        <v>1.768</v>
      </c>
      <c r="F213" s="892">
        <v>1.768</v>
      </c>
      <c r="G213" s="892">
        <v>1.768</v>
      </c>
      <c r="H213" s="892">
        <v>1.768</v>
      </c>
      <c r="I213" s="892">
        <v>1.5817000000000001</v>
      </c>
      <c r="J213" s="892">
        <v>1.5817000000000001</v>
      </c>
      <c r="K213" s="892">
        <v>1.5817000000000001</v>
      </c>
      <c r="L213" s="892">
        <v>1.5817000000000001</v>
      </c>
      <c r="M213" s="892">
        <v>1.5817000000000001</v>
      </c>
    </row>
    <row r="214" spans="1:13">
      <c r="A214" s="885">
        <v>0.8</v>
      </c>
      <c r="B214" s="892">
        <v>1.5215000000000001</v>
      </c>
      <c r="C214" s="892">
        <v>1.5215000000000001</v>
      </c>
      <c r="D214" s="892">
        <v>1.5469999999999999</v>
      </c>
      <c r="E214" s="892">
        <v>1.5469999999999999</v>
      </c>
      <c r="F214" s="892">
        <v>1.5469999999999999</v>
      </c>
      <c r="G214" s="892">
        <v>1.5469999999999999</v>
      </c>
      <c r="H214" s="892">
        <v>1.5469999999999999</v>
      </c>
      <c r="I214" s="892">
        <v>1.3839999999999999</v>
      </c>
      <c r="J214" s="892">
        <v>1.3839999999999999</v>
      </c>
      <c r="K214" s="892">
        <v>1.3839999999999999</v>
      </c>
      <c r="L214" s="892">
        <v>1.3839999999999999</v>
      </c>
      <c r="M214" s="892">
        <v>1.3839999999999999</v>
      </c>
    </row>
    <row r="215" spans="1:13">
      <c r="A215" s="885">
        <v>0.9</v>
      </c>
      <c r="B215" s="892">
        <v>1.3524</v>
      </c>
      <c r="C215" s="892">
        <v>1.3524</v>
      </c>
      <c r="D215" s="892">
        <v>1.3751</v>
      </c>
      <c r="E215" s="892">
        <v>1.3751</v>
      </c>
      <c r="F215" s="892">
        <v>1.3751</v>
      </c>
      <c r="G215" s="892">
        <v>1.3751</v>
      </c>
      <c r="H215" s="892">
        <v>1.3751</v>
      </c>
      <c r="I215" s="892">
        <v>1.2302</v>
      </c>
      <c r="J215" s="892">
        <v>1.2302</v>
      </c>
      <c r="K215" s="892">
        <v>1.2302</v>
      </c>
      <c r="L215" s="892">
        <v>1.2302</v>
      </c>
      <c r="M215" s="892">
        <v>1.2302</v>
      </c>
    </row>
    <row r="216" spans="1:13">
      <c r="A216" s="885">
        <v>1</v>
      </c>
      <c r="B216" s="892">
        <v>1.2172000000000001</v>
      </c>
      <c r="C216" s="892">
        <v>1.2172000000000001</v>
      </c>
      <c r="D216" s="892">
        <v>1.2376</v>
      </c>
      <c r="E216" s="892">
        <v>1.2376</v>
      </c>
      <c r="F216" s="892">
        <v>1.2376</v>
      </c>
      <c r="G216" s="892">
        <v>1.2376</v>
      </c>
      <c r="H216" s="892">
        <v>1.2376</v>
      </c>
      <c r="I216" s="892">
        <v>1.1072</v>
      </c>
      <c r="J216" s="892">
        <v>1.1072</v>
      </c>
      <c r="K216" s="892">
        <v>1.1072</v>
      </c>
      <c r="L216" s="892">
        <v>1.1072</v>
      </c>
      <c r="M216" s="892">
        <v>1.1072</v>
      </c>
    </row>
    <row r="217" spans="1:13">
      <c r="A217" s="885">
        <v>1.1000000000000001</v>
      </c>
      <c r="B217" s="892">
        <v>1.198</v>
      </c>
      <c r="C217" s="892">
        <v>1.198</v>
      </c>
      <c r="D217" s="892">
        <v>1.2156</v>
      </c>
      <c r="E217" s="892">
        <v>1.2156</v>
      </c>
      <c r="F217" s="892">
        <v>1.2156</v>
      </c>
      <c r="G217" s="892">
        <v>1.2156</v>
      </c>
      <c r="H217" s="892">
        <v>1.2156</v>
      </c>
      <c r="I217" s="892">
        <v>1.0829</v>
      </c>
      <c r="J217" s="892">
        <v>1.0829</v>
      </c>
      <c r="K217" s="892">
        <v>1.0829</v>
      </c>
      <c r="L217" s="892">
        <v>1.0829</v>
      </c>
      <c r="M217" s="892">
        <v>1.0829</v>
      </c>
    </row>
    <row r="218" spans="1:13">
      <c r="A218" s="885">
        <v>1.2</v>
      </c>
      <c r="B218" s="892">
        <v>1.1795</v>
      </c>
      <c r="C218" s="892">
        <v>1.1795</v>
      </c>
      <c r="D218" s="892">
        <v>1.1947000000000001</v>
      </c>
      <c r="E218" s="892">
        <v>1.1947000000000001</v>
      </c>
      <c r="F218" s="892">
        <v>1.1947000000000001</v>
      </c>
      <c r="G218" s="892">
        <v>1.1947000000000001</v>
      </c>
      <c r="H218" s="892">
        <v>1.1947000000000001</v>
      </c>
      <c r="I218" s="892">
        <v>1.0601</v>
      </c>
      <c r="J218" s="892">
        <v>1.0601</v>
      </c>
      <c r="K218" s="892">
        <v>1.0601</v>
      </c>
      <c r="L218" s="892">
        <v>1.0601</v>
      </c>
      <c r="M218" s="892">
        <v>1.0601</v>
      </c>
    </row>
    <row r="219" spans="1:13">
      <c r="A219" s="885">
        <v>1.3</v>
      </c>
      <c r="B219" s="892">
        <v>1.1617999999999999</v>
      </c>
      <c r="C219" s="892">
        <v>1.1617999999999999</v>
      </c>
      <c r="D219" s="892">
        <v>1.1748000000000001</v>
      </c>
      <c r="E219" s="892">
        <v>1.1748000000000001</v>
      </c>
      <c r="F219" s="892">
        <v>1.1748000000000001</v>
      </c>
      <c r="G219" s="892">
        <v>1.1748000000000001</v>
      </c>
      <c r="H219" s="892">
        <v>1.1748000000000001</v>
      </c>
      <c r="I219" s="892">
        <v>1.0387999999999999</v>
      </c>
      <c r="J219" s="892">
        <v>1.0387999999999999</v>
      </c>
      <c r="K219" s="892">
        <v>1.0387999999999999</v>
      </c>
      <c r="L219" s="892">
        <v>1.0387999999999999</v>
      </c>
      <c r="M219" s="892">
        <v>1.0387999999999999</v>
      </c>
    </row>
    <row r="220" spans="1:13">
      <c r="A220" s="885">
        <v>1.4</v>
      </c>
      <c r="B220" s="892">
        <v>1.1448</v>
      </c>
      <c r="C220" s="892">
        <v>1.1448</v>
      </c>
      <c r="D220" s="892">
        <v>1.1557999999999999</v>
      </c>
      <c r="E220" s="892">
        <v>1.1557999999999999</v>
      </c>
      <c r="F220" s="892">
        <v>1.1557999999999999</v>
      </c>
      <c r="G220" s="892">
        <v>1.1557999999999999</v>
      </c>
      <c r="H220" s="892">
        <v>1.1557999999999999</v>
      </c>
      <c r="I220" s="892">
        <v>1.0187999999999999</v>
      </c>
      <c r="J220" s="892">
        <v>1.0187999999999999</v>
      </c>
      <c r="K220" s="892">
        <v>1.0187999999999999</v>
      </c>
      <c r="L220" s="892">
        <v>1.0187999999999999</v>
      </c>
      <c r="M220" s="892">
        <v>1.0187999999999999</v>
      </c>
    </row>
    <row r="221" spans="1:13">
      <c r="A221" s="885">
        <v>1.5</v>
      </c>
      <c r="B221" s="892">
        <v>1.1285000000000001</v>
      </c>
      <c r="C221" s="892">
        <v>1.1285000000000001</v>
      </c>
      <c r="D221" s="892">
        <v>1.1377999999999999</v>
      </c>
      <c r="E221" s="892">
        <v>1.1377999999999999</v>
      </c>
      <c r="F221" s="892">
        <v>1.1377999999999999</v>
      </c>
      <c r="G221" s="892">
        <v>1.1377999999999999</v>
      </c>
      <c r="H221" s="892">
        <v>1.1377999999999999</v>
      </c>
      <c r="I221" s="892">
        <v>1</v>
      </c>
      <c r="J221" s="892">
        <v>1</v>
      </c>
      <c r="K221" s="892">
        <v>1</v>
      </c>
      <c r="L221" s="892">
        <v>1</v>
      </c>
      <c r="M221" s="892">
        <v>1</v>
      </c>
    </row>
    <row r="222" spans="1:13">
      <c r="A222" s="885">
        <v>1.6</v>
      </c>
      <c r="B222" s="892">
        <v>1.1129</v>
      </c>
      <c r="C222" s="892">
        <v>1.1129</v>
      </c>
      <c r="D222" s="892">
        <v>1.1206</v>
      </c>
      <c r="E222" s="892">
        <v>1.1206</v>
      </c>
      <c r="F222" s="892">
        <v>1.1206</v>
      </c>
      <c r="G222" s="892">
        <v>1.1206</v>
      </c>
      <c r="H222" s="892">
        <v>1.1206</v>
      </c>
      <c r="I222" s="892">
        <v>0.98240000000000005</v>
      </c>
      <c r="J222" s="892">
        <v>0.98240000000000005</v>
      </c>
      <c r="K222" s="892">
        <v>0.98240000000000005</v>
      </c>
      <c r="L222" s="892">
        <v>0.98240000000000005</v>
      </c>
      <c r="M222" s="892">
        <v>0.98240000000000005</v>
      </c>
    </row>
    <row r="223" spans="1:13">
      <c r="A223" s="885">
        <v>1.7</v>
      </c>
      <c r="B223" s="892">
        <v>1.0980000000000001</v>
      </c>
      <c r="C223" s="892">
        <v>1.0980000000000001</v>
      </c>
      <c r="D223" s="892">
        <v>1.1043000000000001</v>
      </c>
      <c r="E223" s="892">
        <v>1.1043000000000001</v>
      </c>
      <c r="F223" s="892">
        <v>1.1043000000000001</v>
      </c>
      <c r="G223" s="892">
        <v>1.1043000000000001</v>
      </c>
      <c r="H223" s="892">
        <v>1.1043000000000001</v>
      </c>
      <c r="I223" s="892">
        <v>0.96579999999999999</v>
      </c>
      <c r="J223" s="892">
        <v>0.96579999999999999</v>
      </c>
      <c r="K223" s="892">
        <v>0.96579999999999999</v>
      </c>
      <c r="L223" s="892">
        <v>0.96579999999999999</v>
      </c>
      <c r="M223" s="892">
        <v>0.96579999999999999</v>
      </c>
    </row>
    <row r="224" spans="1:13">
      <c r="A224" s="885">
        <v>1.8</v>
      </c>
      <c r="B224" s="892">
        <v>1.0835999999999999</v>
      </c>
      <c r="C224" s="892">
        <v>1.0835999999999999</v>
      </c>
      <c r="D224" s="892">
        <v>1.0888</v>
      </c>
      <c r="E224" s="892">
        <v>1.0888</v>
      </c>
      <c r="F224" s="892">
        <v>1.0888</v>
      </c>
      <c r="G224" s="892">
        <v>1.0888</v>
      </c>
      <c r="H224" s="892">
        <v>1.0888</v>
      </c>
      <c r="I224" s="892">
        <v>0.95030000000000003</v>
      </c>
      <c r="J224" s="892">
        <v>0.95030000000000003</v>
      </c>
      <c r="K224" s="892">
        <v>0.95030000000000003</v>
      </c>
      <c r="L224" s="892">
        <v>0.95030000000000003</v>
      </c>
      <c r="M224" s="892">
        <v>0.95030000000000003</v>
      </c>
    </row>
    <row r="225" spans="1:13">
      <c r="A225" s="885">
        <v>1.9</v>
      </c>
      <c r="B225" s="892">
        <v>1.0698000000000001</v>
      </c>
      <c r="C225" s="892">
        <v>1.0698000000000001</v>
      </c>
      <c r="D225" s="892">
        <v>1.0741000000000001</v>
      </c>
      <c r="E225" s="892">
        <v>1.0741000000000001</v>
      </c>
      <c r="F225" s="892">
        <v>1.0741000000000001</v>
      </c>
      <c r="G225" s="892">
        <v>1.0741000000000001</v>
      </c>
      <c r="H225" s="892">
        <v>1.0741000000000001</v>
      </c>
      <c r="I225" s="892">
        <v>0.93610000000000004</v>
      </c>
      <c r="J225" s="892">
        <v>0.93610000000000004</v>
      </c>
      <c r="K225" s="892">
        <v>0.93610000000000004</v>
      </c>
      <c r="L225" s="892">
        <v>0.93610000000000004</v>
      </c>
      <c r="M225" s="892">
        <v>0.93610000000000004</v>
      </c>
    </row>
    <row r="226" spans="1:13">
      <c r="A226" s="885">
        <v>2</v>
      </c>
      <c r="B226" s="892">
        <v>1.0568</v>
      </c>
      <c r="C226" s="892">
        <v>1.0568</v>
      </c>
      <c r="D226" s="892">
        <v>1.0601</v>
      </c>
      <c r="E226" s="892">
        <v>1.0601</v>
      </c>
      <c r="F226" s="892">
        <v>1.0601</v>
      </c>
      <c r="G226" s="892">
        <v>1.0601</v>
      </c>
      <c r="H226" s="892">
        <v>1.0601</v>
      </c>
      <c r="I226" s="892">
        <v>0.9224</v>
      </c>
      <c r="J226" s="892">
        <v>0.9224</v>
      </c>
      <c r="K226" s="892">
        <v>0.9224</v>
      </c>
      <c r="L226" s="892">
        <v>0.9224</v>
      </c>
      <c r="M226" s="892">
        <v>0.9224</v>
      </c>
    </row>
    <row r="227" spans="1:13">
      <c r="A227" s="900">
        <v>2.1</v>
      </c>
      <c r="B227" s="892">
        <v>1.0443</v>
      </c>
      <c r="C227" s="892">
        <v>1.0443</v>
      </c>
      <c r="D227" s="892">
        <v>1.0468</v>
      </c>
      <c r="E227" s="892">
        <v>1.0468</v>
      </c>
      <c r="F227" s="892">
        <v>1.0468</v>
      </c>
      <c r="G227" s="892">
        <v>1.0468</v>
      </c>
      <c r="H227" s="892">
        <v>1.0468</v>
      </c>
      <c r="I227" s="892">
        <v>0.90959999999999996</v>
      </c>
      <c r="J227" s="892">
        <v>0.90959999999999996</v>
      </c>
      <c r="K227" s="892">
        <v>0.90959999999999996</v>
      </c>
      <c r="L227" s="892">
        <v>0.90959999999999996</v>
      </c>
      <c r="M227" s="892">
        <v>0.90959999999999996</v>
      </c>
    </row>
    <row r="228" spans="1:13">
      <c r="A228" s="900">
        <v>2.2000000000000002</v>
      </c>
      <c r="B228" s="892">
        <v>1.0325</v>
      </c>
      <c r="C228" s="892">
        <v>1.0325</v>
      </c>
      <c r="D228" s="892">
        <v>1.0342</v>
      </c>
      <c r="E228" s="892">
        <v>1.0342</v>
      </c>
      <c r="F228" s="892">
        <v>1.0342</v>
      </c>
      <c r="G228" s="892">
        <v>1.0342</v>
      </c>
      <c r="H228" s="892">
        <v>1.0342</v>
      </c>
      <c r="I228" s="892">
        <v>0.89749999999999996</v>
      </c>
      <c r="J228" s="892">
        <v>0.89749999999999996</v>
      </c>
      <c r="K228" s="892">
        <v>0.89749999999999996</v>
      </c>
      <c r="L228" s="892">
        <v>0.89749999999999996</v>
      </c>
      <c r="M228" s="892">
        <v>0.89749999999999996</v>
      </c>
    </row>
    <row r="229" spans="1:13">
      <c r="A229" s="900">
        <v>2.2999999999999998</v>
      </c>
      <c r="B229" s="892">
        <v>1.0209999999999999</v>
      </c>
      <c r="C229" s="892">
        <v>1.0209999999999999</v>
      </c>
      <c r="D229" s="892">
        <v>1.0222</v>
      </c>
      <c r="E229" s="892">
        <v>1.0222</v>
      </c>
      <c r="F229" s="892">
        <v>1.0222</v>
      </c>
      <c r="G229" s="892">
        <v>1.0222</v>
      </c>
      <c r="H229" s="892">
        <v>1.0222</v>
      </c>
      <c r="I229" s="892">
        <v>0.88619999999999999</v>
      </c>
      <c r="J229" s="892">
        <v>0.88619999999999999</v>
      </c>
      <c r="K229" s="892">
        <v>0.88619999999999999</v>
      </c>
      <c r="L229" s="892">
        <v>0.88619999999999999</v>
      </c>
      <c r="M229" s="892">
        <v>0.88619999999999999</v>
      </c>
    </row>
    <row r="230" spans="1:13">
      <c r="A230" s="900">
        <v>2.4</v>
      </c>
      <c r="B230" s="892">
        <v>1.0102</v>
      </c>
      <c r="C230" s="892">
        <v>1.0102</v>
      </c>
      <c r="D230" s="892">
        <v>1.0107999999999999</v>
      </c>
      <c r="E230" s="892">
        <v>1.0107999999999999</v>
      </c>
      <c r="F230" s="892">
        <v>1.0107999999999999</v>
      </c>
      <c r="G230" s="892">
        <v>1.0107999999999999</v>
      </c>
      <c r="H230" s="892">
        <v>1.0107999999999999</v>
      </c>
      <c r="I230" s="892">
        <v>0.87529999999999997</v>
      </c>
      <c r="J230" s="892">
        <v>0.87529999999999997</v>
      </c>
      <c r="K230" s="892">
        <v>0.87529999999999997</v>
      </c>
      <c r="L230" s="892">
        <v>0.87529999999999997</v>
      </c>
      <c r="M230" s="892">
        <v>0.87529999999999997</v>
      </c>
    </row>
    <row r="231" spans="1:13">
      <c r="A231" s="900">
        <v>2.5</v>
      </c>
      <c r="B231" s="892">
        <v>1</v>
      </c>
      <c r="C231" s="892">
        <v>1</v>
      </c>
      <c r="D231" s="892">
        <v>1</v>
      </c>
      <c r="E231" s="892">
        <v>1</v>
      </c>
      <c r="F231" s="892">
        <v>1</v>
      </c>
      <c r="G231" s="892">
        <v>1</v>
      </c>
      <c r="H231" s="892">
        <v>1</v>
      </c>
      <c r="I231" s="892">
        <v>0.86509999999999998</v>
      </c>
      <c r="J231" s="892">
        <v>0.86509999999999998</v>
      </c>
      <c r="K231" s="892">
        <v>0.86509999999999998</v>
      </c>
      <c r="L231" s="892">
        <v>0.86509999999999998</v>
      </c>
      <c r="M231" s="892">
        <v>0.86509999999999998</v>
      </c>
    </row>
    <row r="232" spans="1:13">
      <c r="A232" s="900">
        <v>2.6</v>
      </c>
      <c r="B232" s="892">
        <v>0.99029999999999996</v>
      </c>
      <c r="C232" s="892">
        <v>0.99029999999999996</v>
      </c>
      <c r="D232" s="892">
        <v>0.98970000000000002</v>
      </c>
      <c r="E232" s="892">
        <v>0.98970000000000002</v>
      </c>
      <c r="F232" s="892">
        <v>0.98970000000000002</v>
      </c>
      <c r="G232" s="892">
        <v>0.98970000000000002</v>
      </c>
      <c r="H232" s="892">
        <v>0.98970000000000002</v>
      </c>
      <c r="I232" s="892">
        <v>0.85529999999999995</v>
      </c>
      <c r="J232" s="892">
        <v>0.85529999999999995</v>
      </c>
      <c r="K232" s="892">
        <v>0.85529999999999995</v>
      </c>
      <c r="L232" s="892">
        <v>0.85529999999999995</v>
      </c>
      <c r="M232" s="892">
        <v>0.85529999999999995</v>
      </c>
    </row>
    <row r="233" spans="1:13">
      <c r="A233" s="900">
        <v>2.7</v>
      </c>
      <c r="B233" s="892">
        <v>0.98109999999999997</v>
      </c>
      <c r="C233" s="892">
        <v>0.98109999999999997</v>
      </c>
      <c r="D233" s="892">
        <v>0.97989999999999999</v>
      </c>
      <c r="E233" s="892">
        <v>0.97989999999999999</v>
      </c>
      <c r="F233" s="892">
        <v>0.97989999999999999</v>
      </c>
      <c r="G233" s="892">
        <v>0.97989999999999999</v>
      </c>
      <c r="H233" s="892">
        <v>0.97989999999999999</v>
      </c>
      <c r="I233" s="892">
        <v>0.84599999999999997</v>
      </c>
      <c r="J233" s="892">
        <v>0.84599999999999997</v>
      </c>
      <c r="K233" s="892">
        <v>0.84599999999999997</v>
      </c>
      <c r="L233" s="892">
        <v>0.84599999999999997</v>
      </c>
      <c r="M233" s="892">
        <v>0.84599999999999997</v>
      </c>
    </row>
    <row r="234" spans="1:13">
      <c r="A234" s="900">
        <v>2.8</v>
      </c>
      <c r="B234" s="892">
        <v>0.97240000000000004</v>
      </c>
      <c r="C234" s="892">
        <v>0.97240000000000004</v>
      </c>
      <c r="D234" s="892">
        <v>0.97060000000000002</v>
      </c>
      <c r="E234" s="892">
        <v>0.97060000000000002</v>
      </c>
      <c r="F234" s="892">
        <v>0.97060000000000002</v>
      </c>
      <c r="G234" s="892">
        <v>0.97060000000000002</v>
      </c>
      <c r="H234" s="892">
        <v>0.97060000000000002</v>
      </c>
      <c r="I234" s="892">
        <v>0.83709999999999996</v>
      </c>
      <c r="J234" s="892">
        <v>0.83709999999999996</v>
      </c>
      <c r="K234" s="892">
        <v>0.83709999999999996</v>
      </c>
      <c r="L234" s="892">
        <v>0.83709999999999996</v>
      </c>
      <c r="M234" s="892">
        <v>0.83709999999999996</v>
      </c>
    </row>
    <row r="235" spans="1:13">
      <c r="A235" s="900">
        <v>2.9</v>
      </c>
      <c r="B235" s="892">
        <v>0.96419999999999995</v>
      </c>
      <c r="C235" s="892">
        <v>0.96419999999999995</v>
      </c>
      <c r="D235" s="892">
        <v>0.96179999999999999</v>
      </c>
      <c r="E235" s="892">
        <v>0.96179999999999999</v>
      </c>
      <c r="F235" s="892">
        <v>0.96179999999999999</v>
      </c>
      <c r="G235" s="892">
        <v>0.96179999999999999</v>
      </c>
      <c r="H235" s="892">
        <v>0.96179999999999999</v>
      </c>
      <c r="I235" s="892">
        <v>0.82850000000000001</v>
      </c>
      <c r="J235" s="892">
        <v>0.82850000000000001</v>
      </c>
      <c r="K235" s="892">
        <v>0.82850000000000001</v>
      </c>
      <c r="L235" s="892">
        <v>0.82850000000000001</v>
      </c>
      <c r="M235" s="892">
        <v>0.82850000000000001</v>
      </c>
    </row>
    <row r="236" spans="1:13">
      <c r="A236" s="900">
        <v>3</v>
      </c>
      <c r="B236" s="892">
        <v>0.95640000000000003</v>
      </c>
      <c r="C236" s="892">
        <v>0.95640000000000003</v>
      </c>
      <c r="D236" s="892">
        <v>0.95340000000000003</v>
      </c>
      <c r="E236" s="892">
        <v>0.95340000000000003</v>
      </c>
      <c r="F236" s="892">
        <v>0.95340000000000003</v>
      </c>
      <c r="G236" s="892">
        <v>0.95340000000000003</v>
      </c>
      <c r="H236" s="892">
        <v>0.95340000000000003</v>
      </c>
      <c r="I236" s="892">
        <v>0.82040000000000002</v>
      </c>
      <c r="J236" s="892">
        <v>0.82040000000000002</v>
      </c>
      <c r="K236" s="892">
        <v>0.82040000000000002</v>
      </c>
      <c r="L236" s="892">
        <v>0.82040000000000002</v>
      </c>
      <c r="M236" s="892">
        <v>0.82040000000000002</v>
      </c>
    </row>
    <row r="237" spans="1:13">
      <c r="A237" s="900">
        <v>3.1</v>
      </c>
      <c r="B237" s="892">
        <v>0.94899999999999995</v>
      </c>
      <c r="C237" s="892">
        <v>0.94899999999999995</v>
      </c>
      <c r="D237" s="892">
        <v>0.94550000000000001</v>
      </c>
      <c r="E237" s="892">
        <v>0.94550000000000001</v>
      </c>
      <c r="F237" s="892">
        <v>0.94550000000000001</v>
      </c>
      <c r="G237" s="892">
        <v>0.94550000000000001</v>
      </c>
      <c r="H237" s="892">
        <v>0.94550000000000001</v>
      </c>
      <c r="I237" s="892">
        <v>0.81259999999999999</v>
      </c>
      <c r="J237" s="892">
        <v>0.81259999999999999</v>
      </c>
      <c r="K237" s="892">
        <v>0.81259999999999999</v>
      </c>
      <c r="L237" s="892">
        <v>0.81259999999999999</v>
      </c>
      <c r="M237" s="892">
        <v>0.81259999999999999</v>
      </c>
    </row>
    <row r="238" spans="1:13">
      <c r="A238" s="900">
        <v>3.2</v>
      </c>
      <c r="B238" s="892">
        <v>0.94199999999999995</v>
      </c>
      <c r="C238" s="892">
        <v>0.94199999999999995</v>
      </c>
      <c r="D238" s="892">
        <v>0.93789999999999996</v>
      </c>
      <c r="E238" s="892">
        <v>0.93789999999999996</v>
      </c>
      <c r="F238" s="892">
        <v>0.93789999999999996</v>
      </c>
      <c r="G238" s="892">
        <v>0.93789999999999996</v>
      </c>
      <c r="H238" s="892">
        <v>0.93789999999999996</v>
      </c>
      <c r="I238" s="892">
        <v>0.80530000000000002</v>
      </c>
      <c r="J238" s="892">
        <v>0.80530000000000002</v>
      </c>
      <c r="K238" s="892">
        <v>0.80530000000000002</v>
      </c>
      <c r="L238" s="892">
        <v>0.80530000000000002</v>
      </c>
      <c r="M238" s="892">
        <v>0.80530000000000002</v>
      </c>
    </row>
    <row r="239" spans="1:13">
      <c r="A239" s="900">
        <v>3.3</v>
      </c>
      <c r="B239" s="892">
        <v>0.93540000000000001</v>
      </c>
      <c r="C239" s="892">
        <v>0.93540000000000001</v>
      </c>
      <c r="D239" s="892">
        <v>0.93069999999999997</v>
      </c>
      <c r="E239" s="892">
        <v>0.93069999999999997</v>
      </c>
      <c r="F239" s="892">
        <v>0.93069999999999997</v>
      </c>
      <c r="G239" s="892">
        <v>0.93069999999999997</v>
      </c>
      <c r="H239" s="892">
        <v>0.93069999999999997</v>
      </c>
      <c r="I239" s="892">
        <v>0.79820000000000002</v>
      </c>
      <c r="J239" s="892">
        <v>0.79820000000000002</v>
      </c>
      <c r="K239" s="892">
        <v>0.79820000000000002</v>
      </c>
      <c r="L239" s="892">
        <v>0.79820000000000002</v>
      </c>
      <c r="M239" s="892">
        <v>0.79820000000000002</v>
      </c>
    </row>
    <row r="240" spans="1:13">
      <c r="A240" s="900">
        <v>3.4</v>
      </c>
      <c r="B240" s="892">
        <v>0.92920000000000003</v>
      </c>
      <c r="C240" s="892">
        <v>0.92920000000000003</v>
      </c>
      <c r="D240" s="892">
        <v>0.92390000000000005</v>
      </c>
      <c r="E240" s="892">
        <v>0.92390000000000005</v>
      </c>
      <c r="F240" s="892">
        <v>0.92390000000000005</v>
      </c>
      <c r="G240" s="892">
        <v>0.92390000000000005</v>
      </c>
      <c r="H240" s="892">
        <v>0.92390000000000005</v>
      </c>
      <c r="I240" s="892">
        <v>0.79139999999999999</v>
      </c>
      <c r="J240" s="892">
        <v>0.79139999999999999</v>
      </c>
      <c r="K240" s="892">
        <v>0.79139999999999999</v>
      </c>
      <c r="L240" s="892">
        <v>0.79139999999999999</v>
      </c>
      <c r="M240" s="892">
        <v>0.79139999999999999</v>
      </c>
    </row>
    <row r="241" spans="1:13">
      <c r="A241" s="900">
        <v>3.5</v>
      </c>
      <c r="B241" s="892">
        <v>0.9234</v>
      </c>
      <c r="C241" s="892">
        <v>0.9234</v>
      </c>
      <c r="D241" s="892">
        <v>0.91749999999999998</v>
      </c>
      <c r="E241" s="892">
        <v>0.91749999999999998</v>
      </c>
      <c r="F241" s="892">
        <v>0.91749999999999998</v>
      </c>
      <c r="G241" s="892">
        <v>0.91749999999999998</v>
      </c>
      <c r="H241" s="892">
        <v>0.91749999999999998</v>
      </c>
      <c r="I241" s="892">
        <v>0.78490000000000004</v>
      </c>
      <c r="J241" s="892">
        <v>0.78490000000000004</v>
      </c>
      <c r="K241" s="892">
        <v>0.78490000000000004</v>
      </c>
      <c r="L241" s="892">
        <v>0.78490000000000004</v>
      </c>
      <c r="M241" s="892">
        <v>0.78490000000000004</v>
      </c>
    </row>
    <row r="242" spans="1:13">
      <c r="A242" s="900">
        <v>3.6</v>
      </c>
      <c r="B242" s="892">
        <v>0.91790000000000005</v>
      </c>
      <c r="C242" s="892">
        <v>0.91790000000000005</v>
      </c>
      <c r="D242" s="892">
        <v>0.91139999999999999</v>
      </c>
      <c r="E242" s="892">
        <v>0.91139999999999999</v>
      </c>
      <c r="F242" s="892">
        <v>0.91139999999999999</v>
      </c>
      <c r="G242" s="892">
        <v>0.91139999999999999</v>
      </c>
      <c r="H242" s="892">
        <v>0.91139999999999999</v>
      </c>
      <c r="I242" s="892">
        <v>0.77880000000000005</v>
      </c>
      <c r="J242" s="892">
        <v>0.77880000000000005</v>
      </c>
      <c r="K242" s="892">
        <v>0.77880000000000005</v>
      </c>
      <c r="L242" s="892">
        <v>0.77880000000000005</v>
      </c>
      <c r="M242" s="892">
        <v>0.77880000000000005</v>
      </c>
    </row>
    <row r="243" spans="1:13">
      <c r="A243" s="900">
        <v>3.7</v>
      </c>
      <c r="B243" s="892">
        <v>0.91269999999999996</v>
      </c>
      <c r="C243" s="892">
        <v>0.91269999999999996</v>
      </c>
      <c r="D243" s="892">
        <v>0.90559999999999996</v>
      </c>
      <c r="E243" s="892">
        <v>0.90559999999999996</v>
      </c>
      <c r="F243" s="892">
        <v>0.90559999999999996</v>
      </c>
      <c r="G243" s="892">
        <v>0.90559999999999996</v>
      </c>
      <c r="H243" s="892">
        <v>0.90559999999999996</v>
      </c>
      <c r="I243" s="892">
        <v>0.77300000000000002</v>
      </c>
      <c r="J243" s="892">
        <v>0.77300000000000002</v>
      </c>
      <c r="K243" s="892">
        <v>0.77300000000000002</v>
      </c>
      <c r="L243" s="892">
        <v>0.77300000000000002</v>
      </c>
      <c r="M243" s="892">
        <v>0.77300000000000002</v>
      </c>
    </row>
    <row r="244" spans="1:13">
      <c r="A244" s="900">
        <v>3.8</v>
      </c>
      <c r="B244" s="892">
        <v>0.90780000000000005</v>
      </c>
      <c r="C244" s="892">
        <v>0.90780000000000005</v>
      </c>
      <c r="D244" s="892">
        <v>0.90010000000000001</v>
      </c>
      <c r="E244" s="892">
        <v>0.90010000000000001</v>
      </c>
      <c r="F244" s="892">
        <v>0.90010000000000001</v>
      </c>
      <c r="G244" s="892">
        <v>0.90010000000000001</v>
      </c>
      <c r="H244" s="892">
        <v>0.90010000000000001</v>
      </c>
      <c r="I244" s="892">
        <v>0.76739999999999997</v>
      </c>
      <c r="J244" s="892">
        <v>0.76739999999999997</v>
      </c>
      <c r="K244" s="892">
        <v>0.76739999999999997</v>
      </c>
      <c r="L244" s="892">
        <v>0.76739999999999997</v>
      </c>
      <c r="M244" s="892">
        <v>0.76739999999999997</v>
      </c>
    </row>
    <row r="245" spans="1:13">
      <c r="A245" s="900">
        <v>3.9</v>
      </c>
      <c r="B245" s="892">
        <v>0.9032</v>
      </c>
      <c r="C245" s="892">
        <v>0.9032</v>
      </c>
      <c r="D245" s="892">
        <v>0.89490000000000003</v>
      </c>
      <c r="E245" s="892">
        <v>0.89490000000000003</v>
      </c>
      <c r="F245" s="892">
        <v>0.89490000000000003</v>
      </c>
      <c r="G245" s="892">
        <v>0.89490000000000003</v>
      </c>
      <c r="H245" s="892">
        <v>0.89490000000000003</v>
      </c>
      <c r="I245" s="892">
        <v>0.7621</v>
      </c>
      <c r="J245" s="892">
        <v>0.7621</v>
      </c>
      <c r="K245" s="892">
        <v>0.7621</v>
      </c>
      <c r="L245" s="892">
        <v>0.7621</v>
      </c>
      <c r="M245" s="892">
        <v>0.7621</v>
      </c>
    </row>
    <row r="246" spans="1:13">
      <c r="A246" s="900">
        <v>4</v>
      </c>
      <c r="B246" s="892">
        <v>0.89890000000000003</v>
      </c>
      <c r="C246" s="892">
        <v>0.89890000000000003</v>
      </c>
      <c r="D246" s="892">
        <v>0.89</v>
      </c>
      <c r="E246" s="892">
        <v>0.89</v>
      </c>
      <c r="F246" s="892">
        <v>0.89</v>
      </c>
      <c r="G246" s="892">
        <v>0.89</v>
      </c>
      <c r="H246" s="892">
        <v>0.89</v>
      </c>
      <c r="I246" s="892">
        <v>0.7571</v>
      </c>
      <c r="J246" s="892">
        <v>0.7571</v>
      </c>
      <c r="K246" s="892">
        <v>0.7571</v>
      </c>
      <c r="L246" s="892">
        <v>0.7571</v>
      </c>
      <c r="M246" s="892">
        <v>0.7571</v>
      </c>
    </row>
    <row r="247" spans="1:13">
      <c r="A247" s="900">
        <v>4.0999999999999996</v>
      </c>
      <c r="B247" s="892">
        <v>0.89480000000000004</v>
      </c>
      <c r="C247" s="892">
        <v>0.89480000000000004</v>
      </c>
      <c r="D247" s="892">
        <v>0.88539999999999996</v>
      </c>
      <c r="E247" s="892">
        <v>0.88539999999999996</v>
      </c>
      <c r="F247" s="892">
        <v>0.88539999999999996</v>
      </c>
      <c r="G247" s="892">
        <v>0.88539999999999996</v>
      </c>
      <c r="H247" s="892">
        <v>0.88539999999999996</v>
      </c>
      <c r="I247" s="892">
        <v>0.75229999999999997</v>
      </c>
      <c r="J247" s="892">
        <v>0.75229999999999997</v>
      </c>
      <c r="K247" s="892">
        <v>0.75229999999999997</v>
      </c>
      <c r="L247" s="892">
        <v>0.75229999999999997</v>
      </c>
      <c r="M247" s="892">
        <v>0.75229999999999997</v>
      </c>
    </row>
    <row r="248" spans="1:13">
      <c r="A248" s="900">
        <v>4.2</v>
      </c>
      <c r="B248" s="892">
        <v>0.89100000000000001</v>
      </c>
      <c r="C248" s="892">
        <v>0.89100000000000001</v>
      </c>
      <c r="D248" s="892">
        <v>0.88109999999999999</v>
      </c>
      <c r="E248" s="892">
        <v>0.88109999999999999</v>
      </c>
      <c r="F248" s="892">
        <v>0.88109999999999999</v>
      </c>
      <c r="G248" s="892">
        <v>0.88109999999999999</v>
      </c>
      <c r="H248" s="892">
        <v>0.88109999999999999</v>
      </c>
      <c r="I248" s="892">
        <v>0.74780000000000002</v>
      </c>
      <c r="J248" s="892">
        <v>0.74780000000000002</v>
      </c>
      <c r="K248" s="892">
        <v>0.74780000000000002</v>
      </c>
      <c r="L248" s="892">
        <v>0.74780000000000002</v>
      </c>
      <c r="M248" s="892">
        <v>0.74780000000000002</v>
      </c>
    </row>
    <row r="249" spans="1:13">
      <c r="A249" s="900">
        <v>4.3</v>
      </c>
      <c r="B249" s="892">
        <v>0.88739999999999997</v>
      </c>
      <c r="C249" s="892">
        <v>0.88739999999999997</v>
      </c>
      <c r="D249" s="892">
        <v>0.877</v>
      </c>
      <c r="E249" s="892">
        <v>0.877</v>
      </c>
      <c r="F249" s="892">
        <v>0.877</v>
      </c>
      <c r="G249" s="892">
        <v>0.877</v>
      </c>
      <c r="H249" s="892">
        <v>0.877</v>
      </c>
      <c r="I249" s="892">
        <v>0.74329999999999996</v>
      </c>
      <c r="J249" s="892">
        <v>0.74329999999999996</v>
      </c>
      <c r="K249" s="892">
        <v>0.74329999999999996</v>
      </c>
      <c r="L249" s="892">
        <v>0.74329999999999996</v>
      </c>
      <c r="M249" s="892">
        <v>0.74329999999999996</v>
      </c>
    </row>
    <row r="250" spans="1:13">
      <c r="A250" s="900">
        <v>4.4000000000000004</v>
      </c>
      <c r="B250" s="892">
        <v>0.88400000000000001</v>
      </c>
      <c r="C250" s="892">
        <v>0.88400000000000001</v>
      </c>
      <c r="D250" s="892">
        <v>0.87309999999999999</v>
      </c>
      <c r="E250" s="892">
        <v>0.87309999999999999</v>
      </c>
      <c r="F250" s="892">
        <v>0.87309999999999999</v>
      </c>
      <c r="G250" s="892">
        <v>0.87309999999999999</v>
      </c>
      <c r="H250" s="892">
        <v>0.87309999999999999</v>
      </c>
      <c r="I250" s="892">
        <v>0.73909999999999998</v>
      </c>
      <c r="J250" s="892">
        <v>0.73909999999999998</v>
      </c>
      <c r="K250" s="892">
        <v>0.73909999999999998</v>
      </c>
      <c r="L250" s="892">
        <v>0.73909999999999998</v>
      </c>
      <c r="M250" s="892">
        <v>0.73909999999999998</v>
      </c>
    </row>
    <row r="251" spans="1:13">
      <c r="A251" s="900">
        <v>4.5</v>
      </c>
      <c r="B251" s="892">
        <v>0.88080000000000003</v>
      </c>
      <c r="C251" s="892">
        <v>0.88080000000000003</v>
      </c>
      <c r="D251" s="892">
        <v>0.86939999999999995</v>
      </c>
      <c r="E251" s="892">
        <v>0.86939999999999995</v>
      </c>
      <c r="F251" s="892">
        <v>0.86939999999999995</v>
      </c>
      <c r="G251" s="892">
        <v>0.86939999999999995</v>
      </c>
      <c r="H251" s="892">
        <v>0.86939999999999995</v>
      </c>
      <c r="I251" s="892">
        <v>0.73499999999999999</v>
      </c>
      <c r="J251" s="892">
        <v>0.73499999999999999</v>
      </c>
      <c r="K251" s="892">
        <v>0.73499999999999999</v>
      </c>
      <c r="L251" s="892">
        <v>0.73499999999999999</v>
      </c>
      <c r="M251" s="892">
        <v>0.73499999999999999</v>
      </c>
    </row>
    <row r="252" spans="1:13">
      <c r="A252" s="900">
        <v>4.5999999999999996</v>
      </c>
      <c r="B252" s="892">
        <v>0.87780000000000002</v>
      </c>
      <c r="C252" s="892">
        <v>0.87780000000000002</v>
      </c>
      <c r="D252" s="892">
        <v>0.8659</v>
      </c>
      <c r="E252" s="892">
        <v>0.8659</v>
      </c>
      <c r="F252" s="892">
        <v>0.8659</v>
      </c>
      <c r="G252" s="892">
        <v>0.8659</v>
      </c>
      <c r="H252" s="892">
        <v>0.8659</v>
      </c>
      <c r="I252" s="892">
        <v>0.73109999999999997</v>
      </c>
      <c r="J252" s="892">
        <v>0.73109999999999997</v>
      </c>
      <c r="K252" s="892">
        <v>0.73109999999999997</v>
      </c>
      <c r="L252" s="892">
        <v>0.73109999999999997</v>
      </c>
      <c r="M252" s="892">
        <v>0.73109999999999997</v>
      </c>
    </row>
    <row r="253" spans="1:13">
      <c r="A253" s="900">
        <v>4.7</v>
      </c>
      <c r="B253" s="892">
        <v>0.875</v>
      </c>
      <c r="C253" s="892">
        <v>0.875</v>
      </c>
      <c r="D253" s="892">
        <v>0.86260000000000003</v>
      </c>
      <c r="E253" s="892">
        <v>0.86260000000000003</v>
      </c>
      <c r="F253" s="892">
        <v>0.86260000000000003</v>
      </c>
      <c r="G253" s="892">
        <v>0.86260000000000003</v>
      </c>
      <c r="H253" s="892">
        <v>0.86260000000000003</v>
      </c>
      <c r="I253" s="892">
        <v>0.72750000000000004</v>
      </c>
      <c r="J253" s="892">
        <v>0.72750000000000004</v>
      </c>
      <c r="K253" s="892">
        <v>0.72750000000000004</v>
      </c>
      <c r="L253" s="892">
        <v>0.72750000000000004</v>
      </c>
      <c r="M253" s="892">
        <v>0.72750000000000004</v>
      </c>
    </row>
    <row r="254" spans="1:13">
      <c r="A254" s="900">
        <v>4.8</v>
      </c>
      <c r="B254" s="892">
        <v>0.87229999999999996</v>
      </c>
      <c r="C254" s="892">
        <v>0.87229999999999996</v>
      </c>
      <c r="D254" s="892">
        <v>0.85950000000000004</v>
      </c>
      <c r="E254" s="892">
        <v>0.85950000000000004</v>
      </c>
      <c r="F254" s="892">
        <v>0.85950000000000004</v>
      </c>
      <c r="G254" s="892">
        <v>0.85950000000000004</v>
      </c>
      <c r="H254" s="892">
        <v>0.85950000000000004</v>
      </c>
      <c r="I254" s="892">
        <v>0.72399999999999998</v>
      </c>
      <c r="J254" s="892">
        <v>0.72399999999999998</v>
      </c>
      <c r="K254" s="892">
        <v>0.72399999999999998</v>
      </c>
      <c r="L254" s="892">
        <v>0.72399999999999998</v>
      </c>
      <c r="M254" s="892">
        <v>0.72399999999999998</v>
      </c>
    </row>
    <row r="255" spans="1:13">
      <c r="A255" s="900">
        <v>4.9000000000000004</v>
      </c>
      <c r="B255" s="892">
        <v>0.86980000000000002</v>
      </c>
      <c r="C255" s="892">
        <v>0.86980000000000002</v>
      </c>
      <c r="D255" s="892">
        <v>0.85660000000000003</v>
      </c>
      <c r="E255" s="892">
        <v>0.85660000000000003</v>
      </c>
      <c r="F255" s="892">
        <v>0.85660000000000003</v>
      </c>
      <c r="G255" s="892">
        <v>0.85660000000000003</v>
      </c>
      <c r="H255" s="892">
        <v>0.85660000000000003</v>
      </c>
      <c r="I255" s="892">
        <v>0.7208</v>
      </c>
      <c r="J255" s="892">
        <v>0.7208</v>
      </c>
      <c r="K255" s="892">
        <v>0.7208</v>
      </c>
      <c r="L255" s="892">
        <v>0.7208</v>
      </c>
      <c r="M255" s="892">
        <v>0.7208</v>
      </c>
    </row>
    <row r="256" spans="1:13">
      <c r="A256" s="900">
        <v>5</v>
      </c>
      <c r="B256" s="892">
        <v>0.86739999999999995</v>
      </c>
      <c r="C256" s="892">
        <v>0.86739999999999995</v>
      </c>
      <c r="D256" s="892">
        <v>0.8538</v>
      </c>
      <c r="E256" s="892">
        <v>0.8538</v>
      </c>
      <c r="F256" s="892">
        <v>0.8538</v>
      </c>
      <c r="G256" s="892">
        <v>0.8538</v>
      </c>
      <c r="H256" s="892">
        <v>0.8538</v>
      </c>
      <c r="I256" s="892">
        <v>0.71760000000000002</v>
      </c>
      <c r="J256" s="892">
        <v>0.71760000000000002</v>
      </c>
      <c r="K256" s="892">
        <v>0.71760000000000002</v>
      </c>
      <c r="L256" s="892">
        <v>0.71760000000000002</v>
      </c>
      <c r="M256" s="892">
        <v>0.71760000000000002</v>
      </c>
    </row>
    <row r="257" spans="1:13">
      <c r="A257" s="885">
        <v>5.0999999999999996</v>
      </c>
      <c r="B257" s="892">
        <v>0.86519999999999997</v>
      </c>
      <c r="C257" s="892">
        <v>0.86519999999999997</v>
      </c>
      <c r="D257" s="892">
        <v>0.85109999999999997</v>
      </c>
      <c r="E257" s="892">
        <v>0.85109999999999997</v>
      </c>
      <c r="F257" s="892">
        <v>0.85109999999999997</v>
      </c>
      <c r="G257" s="892">
        <v>0.85109999999999997</v>
      </c>
      <c r="H257" s="892">
        <v>0.85109999999999997</v>
      </c>
      <c r="I257" s="892">
        <v>0.7147</v>
      </c>
      <c r="J257" s="892">
        <v>0.7147</v>
      </c>
      <c r="K257" s="892">
        <v>0.7147</v>
      </c>
      <c r="L257" s="892">
        <v>0.7147</v>
      </c>
      <c r="M257" s="892">
        <v>0.7147</v>
      </c>
    </row>
    <row r="258" spans="1:13">
      <c r="A258" s="885">
        <v>5.2</v>
      </c>
      <c r="B258" s="892">
        <v>0.86309999999999998</v>
      </c>
      <c r="C258" s="892">
        <v>0.86309999999999998</v>
      </c>
      <c r="D258" s="892">
        <v>0.84860000000000002</v>
      </c>
      <c r="E258" s="892">
        <v>0.84860000000000002</v>
      </c>
      <c r="F258" s="892">
        <v>0.84860000000000002</v>
      </c>
      <c r="G258" s="892">
        <v>0.84860000000000002</v>
      </c>
      <c r="H258" s="892">
        <v>0.84860000000000002</v>
      </c>
      <c r="I258" s="892">
        <v>0.71189999999999998</v>
      </c>
      <c r="J258" s="892">
        <v>0.71189999999999998</v>
      </c>
      <c r="K258" s="892">
        <v>0.71189999999999998</v>
      </c>
      <c r="L258" s="892">
        <v>0.71189999999999998</v>
      </c>
      <c r="M258" s="892">
        <v>0.71189999999999998</v>
      </c>
    </row>
    <row r="259" spans="1:13">
      <c r="A259" s="885">
        <v>5.3</v>
      </c>
      <c r="B259" s="892">
        <v>0.86119999999999997</v>
      </c>
      <c r="C259" s="892">
        <v>0.86119999999999997</v>
      </c>
      <c r="D259" s="892">
        <v>0.84619999999999995</v>
      </c>
      <c r="E259" s="892">
        <v>0.84619999999999995</v>
      </c>
      <c r="F259" s="892">
        <v>0.84619999999999995</v>
      </c>
      <c r="G259" s="892">
        <v>0.84619999999999995</v>
      </c>
      <c r="H259" s="892">
        <v>0.84619999999999995</v>
      </c>
      <c r="I259" s="892">
        <v>0.70909999999999995</v>
      </c>
      <c r="J259" s="892">
        <v>0.70909999999999995</v>
      </c>
      <c r="K259" s="892">
        <v>0.70909999999999995</v>
      </c>
      <c r="L259" s="892">
        <v>0.70909999999999995</v>
      </c>
      <c r="M259" s="892">
        <v>0.70909999999999995</v>
      </c>
    </row>
    <row r="260" spans="1:13">
      <c r="A260" s="885">
        <v>5.4</v>
      </c>
      <c r="B260" s="892">
        <v>0.85940000000000005</v>
      </c>
      <c r="C260" s="892">
        <v>0.85940000000000005</v>
      </c>
      <c r="D260" s="892">
        <v>0.84389999999999998</v>
      </c>
      <c r="E260" s="892">
        <v>0.84389999999999998</v>
      </c>
      <c r="F260" s="892">
        <v>0.84389999999999998</v>
      </c>
      <c r="G260" s="892">
        <v>0.84389999999999998</v>
      </c>
      <c r="H260" s="892">
        <v>0.84389999999999998</v>
      </c>
      <c r="I260" s="892">
        <v>0.70650000000000002</v>
      </c>
      <c r="J260" s="892">
        <v>0.70650000000000002</v>
      </c>
      <c r="K260" s="892">
        <v>0.70650000000000002</v>
      </c>
      <c r="L260" s="892">
        <v>0.70650000000000002</v>
      </c>
      <c r="M260" s="892">
        <v>0.70650000000000002</v>
      </c>
    </row>
    <row r="261" spans="1:13">
      <c r="A261" s="885">
        <v>5.5</v>
      </c>
      <c r="B261" s="892">
        <v>0.85770000000000002</v>
      </c>
      <c r="C261" s="892">
        <v>0.85770000000000002</v>
      </c>
      <c r="D261" s="892">
        <v>0.84179999999999999</v>
      </c>
      <c r="E261" s="892">
        <v>0.84179999999999999</v>
      </c>
      <c r="F261" s="892">
        <v>0.84179999999999999</v>
      </c>
      <c r="G261" s="892">
        <v>0.84179999999999999</v>
      </c>
      <c r="H261" s="892">
        <v>0.84179999999999999</v>
      </c>
      <c r="I261" s="892">
        <v>0.70399999999999996</v>
      </c>
      <c r="J261" s="892">
        <v>0.70399999999999996</v>
      </c>
      <c r="K261" s="892">
        <v>0.70399999999999996</v>
      </c>
      <c r="L261" s="892">
        <v>0.70399999999999996</v>
      </c>
      <c r="M261" s="892">
        <v>0.70399999999999996</v>
      </c>
    </row>
    <row r="262" spans="1:13">
      <c r="A262" s="885">
        <v>5.6</v>
      </c>
      <c r="B262" s="892">
        <v>0.85599999999999998</v>
      </c>
      <c r="C262" s="892">
        <v>0.85599999999999998</v>
      </c>
      <c r="D262" s="892">
        <v>0.83979999999999999</v>
      </c>
      <c r="E262" s="892">
        <v>0.83979999999999999</v>
      </c>
      <c r="F262" s="892">
        <v>0.83979999999999999</v>
      </c>
      <c r="G262" s="892">
        <v>0.83979999999999999</v>
      </c>
      <c r="H262" s="892">
        <v>0.83979999999999999</v>
      </c>
      <c r="I262" s="892">
        <v>0.7016</v>
      </c>
      <c r="J262" s="892">
        <v>0.7016</v>
      </c>
      <c r="K262" s="892">
        <v>0.7016</v>
      </c>
      <c r="L262" s="892">
        <v>0.7016</v>
      </c>
      <c r="M262" s="892">
        <v>0.7016</v>
      </c>
    </row>
    <row r="263" spans="1:13">
      <c r="A263" s="900">
        <v>5.7</v>
      </c>
      <c r="B263" s="892">
        <v>0.85440000000000005</v>
      </c>
      <c r="C263" s="892">
        <v>0.85440000000000005</v>
      </c>
      <c r="D263" s="892">
        <v>0.83789999999999998</v>
      </c>
      <c r="E263" s="892">
        <v>0.83789999999999998</v>
      </c>
      <c r="F263" s="892">
        <v>0.83789999999999998</v>
      </c>
      <c r="G263" s="892">
        <v>0.83789999999999998</v>
      </c>
      <c r="H263" s="892">
        <v>0.83789999999999998</v>
      </c>
      <c r="I263" s="892">
        <v>0.69940000000000002</v>
      </c>
      <c r="J263" s="892">
        <v>0.69940000000000002</v>
      </c>
      <c r="K263" s="892">
        <v>0.69940000000000002</v>
      </c>
      <c r="L263" s="892">
        <v>0.69940000000000002</v>
      </c>
      <c r="M263" s="892">
        <v>0.69940000000000002</v>
      </c>
    </row>
    <row r="264" spans="1:13">
      <c r="A264" s="885">
        <v>5.8</v>
      </c>
      <c r="B264" s="892">
        <v>0.85289999999999999</v>
      </c>
      <c r="C264" s="892">
        <v>0.85289999999999999</v>
      </c>
      <c r="D264" s="892">
        <v>0.83599999999999997</v>
      </c>
      <c r="E264" s="892">
        <v>0.83599999999999997</v>
      </c>
      <c r="F264" s="892">
        <v>0.83599999999999997</v>
      </c>
      <c r="G264" s="892">
        <v>0.83599999999999997</v>
      </c>
      <c r="H264" s="892">
        <v>0.83599999999999997</v>
      </c>
      <c r="I264" s="892">
        <v>0.69720000000000004</v>
      </c>
      <c r="J264" s="892">
        <v>0.69720000000000004</v>
      </c>
      <c r="K264" s="892">
        <v>0.69720000000000004</v>
      </c>
      <c r="L264" s="892">
        <v>0.69720000000000004</v>
      </c>
      <c r="M264" s="892">
        <v>0.69720000000000004</v>
      </c>
    </row>
    <row r="265" spans="1:13">
      <c r="A265" s="885">
        <v>5.9</v>
      </c>
      <c r="B265" s="892">
        <v>0.85150000000000003</v>
      </c>
      <c r="C265" s="892">
        <v>0.85150000000000003</v>
      </c>
      <c r="D265" s="892">
        <v>0.83430000000000004</v>
      </c>
      <c r="E265" s="892">
        <v>0.83430000000000004</v>
      </c>
      <c r="F265" s="892">
        <v>0.83430000000000004</v>
      </c>
      <c r="G265" s="892">
        <v>0.83430000000000004</v>
      </c>
      <c r="H265" s="892">
        <v>0.83430000000000004</v>
      </c>
      <c r="I265" s="892">
        <v>0.69520000000000004</v>
      </c>
      <c r="J265" s="892">
        <v>0.69520000000000004</v>
      </c>
      <c r="K265" s="892">
        <v>0.69520000000000004</v>
      </c>
      <c r="L265" s="892">
        <v>0.69520000000000004</v>
      </c>
      <c r="M265" s="892">
        <v>0.69520000000000004</v>
      </c>
    </row>
    <row r="266" spans="1:13">
      <c r="A266" s="885">
        <v>6</v>
      </c>
      <c r="B266" s="892">
        <v>0.85019999999999996</v>
      </c>
      <c r="C266" s="892">
        <v>0.85019999999999996</v>
      </c>
      <c r="D266" s="892">
        <v>0.8327</v>
      </c>
      <c r="E266" s="892">
        <v>0.8327</v>
      </c>
      <c r="F266" s="892">
        <v>0.8327</v>
      </c>
      <c r="G266" s="892">
        <v>0.8327</v>
      </c>
      <c r="H266" s="892">
        <v>0.8327</v>
      </c>
      <c r="I266" s="892">
        <v>0.69320000000000004</v>
      </c>
      <c r="J266" s="892">
        <v>0.69320000000000004</v>
      </c>
      <c r="K266" s="892">
        <v>0.69320000000000004</v>
      </c>
      <c r="L266" s="892">
        <v>0.69320000000000004</v>
      </c>
      <c r="M266" s="892">
        <v>0.69320000000000004</v>
      </c>
    </row>
    <row r="267" spans="1:13">
      <c r="A267" s="885">
        <v>6.1</v>
      </c>
      <c r="B267" s="892">
        <v>0.84899999999999998</v>
      </c>
      <c r="C267" s="892">
        <v>0.84899999999999998</v>
      </c>
      <c r="D267" s="892">
        <v>0.83109999999999995</v>
      </c>
      <c r="E267" s="892">
        <v>0.83109999999999995</v>
      </c>
      <c r="F267" s="892">
        <v>0.83109999999999995</v>
      </c>
      <c r="G267" s="892">
        <v>0.83109999999999995</v>
      </c>
      <c r="H267" s="892">
        <v>0.83109999999999995</v>
      </c>
      <c r="I267" s="892">
        <v>0.69130000000000003</v>
      </c>
      <c r="J267" s="892">
        <v>0.69130000000000003</v>
      </c>
      <c r="K267" s="892">
        <v>0.69130000000000003</v>
      </c>
      <c r="L267" s="892">
        <v>0.69130000000000003</v>
      </c>
      <c r="M267" s="892">
        <v>0.69130000000000003</v>
      </c>
    </row>
    <row r="268" spans="1:13">
      <c r="A268" s="885">
        <v>6.2</v>
      </c>
      <c r="B268" s="892">
        <v>0.8478</v>
      </c>
      <c r="C268" s="892">
        <v>0.8478</v>
      </c>
      <c r="D268" s="892">
        <v>0.8296</v>
      </c>
      <c r="E268" s="892">
        <v>0.8296</v>
      </c>
      <c r="F268" s="892">
        <v>0.8296</v>
      </c>
      <c r="G268" s="892">
        <v>0.8296</v>
      </c>
      <c r="H268" s="892">
        <v>0.8296</v>
      </c>
      <c r="I268" s="892">
        <v>0.68940000000000001</v>
      </c>
      <c r="J268" s="892">
        <v>0.68940000000000001</v>
      </c>
      <c r="K268" s="892">
        <v>0.68940000000000001</v>
      </c>
      <c r="L268" s="892">
        <v>0.68940000000000001</v>
      </c>
      <c r="M268" s="892">
        <v>0.68940000000000001</v>
      </c>
    </row>
    <row r="269" spans="1:13">
      <c r="A269" s="885">
        <v>6.3</v>
      </c>
      <c r="B269" s="892">
        <v>0.84670000000000001</v>
      </c>
      <c r="C269" s="892">
        <v>0.84670000000000001</v>
      </c>
      <c r="D269" s="892">
        <v>0.82820000000000005</v>
      </c>
      <c r="E269" s="892">
        <v>0.82820000000000005</v>
      </c>
      <c r="F269" s="892">
        <v>0.82820000000000005</v>
      </c>
      <c r="G269" s="892">
        <v>0.82820000000000005</v>
      </c>
      <c r="H269" s="892">
        <v>0.82820000000000005</v>
      </c>
      <c r="I269" s="892">
        <v>0.68769999999999998</v>
      </c>
      <c r="J269" s="892">
        <v>0.68769999999999998</v>
      </c>
      <c r="K269" s="892">
        <v>0.68769999999999998</v>
      </c>
      <c r="L269" s="892">
        <v>0.68769999999999998</v>
      </c>
      <c r="M269" s="892">
        <v>0.68769999999999998</v>
      </c>
    </row>
    <row r="270" spans="1:13">
      <c r="A270" s="885">
        <v>6.4</v>
      </c>
      <c r="B270" s="892">
        <v>0.84570000000000001</v>
      </c>
      <c r="C270" s="892">
        <v>0.84570000000000001</v>
      </c>
      <c r="D270" s="892">
        <v>0.82689999999999997</v>
      </c>
      <c r="E270" s="892">
        <v>0.82689999999999997</v>
      </c>
      <c r="F270" s="892">
        <v>0.82689999999999997</v>
      </c>
      <c r="G270" s="892">
        <v>0.82689999999999997</v>
      </c>
      <c r="H270" s="892">
        <v>0.82689999999999997</v>
      </c>
      <c r="I270" s="892">
        <v>0.68610000000000004</v>
      </c>
      <c r="J270" s="892">
        <v>0.68610000000000004</v>
      </c>
      <c r="K270" s="892">
        <v>0.68610000000000004</v>
      </c>
      <c r="L270" s="892">
        <v>0.68610000000000004</v>
      </c>
      <c r="M270" s="892">
        <v>0.68610000000000004</v>
      </c>
    </row>
    <row r="271" spans="1:13">
      <c r="A271" s="885">
        <v>6.5</v>
      </c>
      <c r="B271" s="892">
        <v>0.84470000000000001</v>
      </c>
      <c r="C271" s="892">
        <v>0.84470000000000001</v>
      </c>
      <c r="D271" s="892">
        <v>0.82569999999999999</v>
      </c>
      <c r="E271" s="892">
        <v>0.82569999999999999</v>
      </c>
      <c r="F271" s="892">
        <v>0.82569999999999999</v>
      </c>
      <c r="G271" s="892">
        <v>0.82569999999999999</v>
      </c>
      <c r="H271" s="892">
        <v>0.82569999999999999</v>
      </c>
      <c r="I271" s="892">
        <v>0.68440000000000001</v>
      </c>
      <c r="J271" s="892">
        <v>0.68440000000000001</v>
      </c>
      <c r="K271" s="892">
        <v>0.68440000000000001</v>
      </c>
      <c r="L271" s="892">
        <v>0.68440000000000001</v>
      </c>
      <c r="M271" s="892">
        <v>0.68440000000000001</v>
      </c>
    </row>
    <row r="272" spans="1:13">
      <c r="A272" s="885">
        <v>6.6</v>
      </c>
      <c r="B272" s="892">
        <v>0.84370000000000001</v>
      </c>
      <c r="C272" s="892">
        <v>0.84370000000000001</v>
      </c>
      <c r="D272" s="892">
        <v>0.82450000000000001</v>
      </c>
      <c r="E272" s="892">
        <v>0.82450000000000001</v>
      </c>
      <c r="F272" s="892">
        <v>0.82450000000000001</v>
      </c>
      <c r="G272" s="892">
        <v>0.82450000000000001</v>
      </c>
      <c r="H272" s="892">
        <v>0.82450000000000001</v>
      </c>
      <c r="I272" s="892">
        <v>0.68289999999999995</v>
      </c>
      <c r="J272" s="892">
        <v>0.68289999999999995</v>
      </c>
      <c r="K272" s="892">
        <v>0.68289999999999995</v>
      </c>
      <c r="L272" s="892">
        <v>0.68289999999999995</v>
      </c>
      <c r="M272" s="892">
        <v>0.68289999999999995</v>
      </c>
    </row>
    <row r="273" spans="1:13">
      <c r="A273" s="885">
        <v>6.7</v>
      </c>
      <c r="B273" s="892">
        <v>0.8427</v>
      </c>
      <c r="C273" s="892">
        <v>0.8427</v>
      </c>
      <c r="D273" s="892">
        <v>0.82330000000000003</v>
      </c>
      <c r="E273" s="892">
        <v>0.82330000000000003</v>
      </c>
      <c r="F273" s="892">
        <v>0.82330000000000003</v>
      </c>
      <c r="G273" s="892">
        <v>0.82330000000000003</v>
      </c>
      <c r="H273" s="892">
        <v>0.82330000000000003</v>
      </c>
      <c r="I273" s="892">
        <v>0.68130000000000002</v>
      </c>
      <c r="J273" s="892">
        <v>0.68130000000000002</v>
      </c>
      <c r="K273" s="892">
        <v>0.68130000000000002</v>
      </c>
      <c r="L273" s="892">
        <v>0.68130000000000002</v>
      </c>
      <c r="M273" s="892">
        <v>0.68130000000000002</v>
      </c>
    </row>
    <row r="274" spans="1:13">
      <c r="A274" s="885">
        <v>6.8</v>
      </c>
      <c r="B274" s="892">
        <v>0.84179999999999999</v>
      </c>
      <c r="C274" s="892">
        <v>0.84179999999999999</v>
      </c>
      <c r="D274" s="892">
        <v>0.82210000000000005</v>
      </c>
      <c r="E274" s="892">
        <v>0.82210000000000005</v>
      </c>
      <c r="F274" s="892">
        <v>0.82210000000000005</v>
      </c>
      <c r="G274" s="892">
        <v>0.82210000000000005</v>
      </c>
      <c r="H274" s="892">
        <v>0.82210000000000005</v>
      </c>
      <c r="I274" s="892">
        <v>0.67979999999999996</v>
      </c>
      <c r="J274" s="892">
        <v>0.67979999999999996</v>
      </c>
      <c r="K274" s="892">
        <v>0.67979999999999996</v>
      </c>
      <c r="L274" s="892">
        <v>0.67979999999999996</v>
      </c>
      <c r="M274" s="892">
        <v>0.67979999999999996</v>
      </c>
    </row>
    <row r="275" spans="1:13">
      <c r="A275" s="885">
        <v>6.9</v>
      </c>
      <c r="B275" s="892">
        <v>0.84089999999999998</v>
      </c>
      <c r="C275" s="892">
        <v>0.84089999999999998</v>
      </c>
      <c r="D275" s="892">
        <v>0.82099999999999995</v>
      </c>
      <c r="E275" s="892">
        <v>0.82099999999999995</v>
      </c>
      <c r="F275" s="892">
        <v>0.82099999999999995</v>
      </c>
      <c r="G275" s="892">
        <v>0.82099999999999995</v>
      </c>
      <c r="H275" s="892">
        <v>0.82099999999999995</v>
      </c>
      <c r="I275" s="892">
        <v>0.67849999999999999</v>
      </c>
      <c r="J275" s="892">
        <v>0.67849999999999999</v>
      </c>
      <c r="K275" s="892">
        <v>0.67849999999999999</v>
      </c>
      <c r="L275" s="892">
        <v>0.67849999999999999</v>
      </c>
      <c r="M275" s="892">
        <v>0.67849999999999999</v>
      </c>
    </row>
    <row r="276" spans="1:13">
      <c r="A276" s="885">
        <v>7</v>
      </c>
      <c r="B276" s="892">
        <v>0.84009999999999996</v>
      </c>
      <c r="C276" s="892">
        <v>0.84009999999999996</v>
      </c>
      <c r="D276" s="892">
        <v>0.81989999999999996</v>
      </c>
      <c r="E276" s="892">
        <v>0.81989999999999996</v>
      </c>
      <c r="F276" s="892">
        <v>0.81989999999999996</v>
      </c>
      <c r="G276" s="892">
        <v>0.81989999999999996</v>
      </c>
      <c r="H276" s="892">
        <v>0.81989999999999996</v>
      </c>
      <c r="I276" s="892">
        <v>0.67720000000000002</v>
      </c>
      <c r="J276" s="892">
        <v>0.67720000000000002</v>
      </c>
      <c r="K276" s="892">
        <v>0.67720000000000002</v>
      </c>
      <c r="L276" s="892">
        <v>0.67720000000000002</v>
      </c>
      <c r="M276" s="892">
        <v>0.67720000000000002</v>
      </c>
    </row>
    <row r="277" spans="1:13">
      <c r="A277" s="885">
        <v>7.1</v>
      </c>
      <c r="B277" s="892">
        <v>0.83930000000000005</v>
      </c>
      <c r="C277" s="892">
        <v>0.83930000000000005</v>
      </c>
      <c r="D277" s="892">
        <v>0.81889999999999996</v>
      </c>
      <c r="E277" s="892">
        <v>0.81889999999999996</v>
      </c>
      <c r="F277" s="892">
        <v>0.81889999999999996</v>
      </c>
      <c r="G277" s="892">
        <v>0.81889999999999996</v>
      </c>
      <c r="H277" s="892">
        <v>0.81889999999999996</v>
      </c>
      <c r="I277" s="892">
        <v>0.67589999999999995</v>
      </c>
      <c r="J277" s="892">
        <v>0.67589999999999995</v>
      </c>
      <c r="K277" s="892">
        <v>0.67589999999999995</v>
      </c>
      <c r="L277" s="892">
        <v>0.67589999999999995</v>
      </c>
      <c r="M277" s="892">
        <v>0.67589999999999995</v>
      </c>
    </row>
    <row r="278" spans="1:13">
      <c r="A278" s="885">
        <v>7.2</v>
      </c>
      <c r="B278" s="892">
        <v>0.83850000000000002</v>
      </c>
      <c r="C278" s="892">
        <v>0.83850000000000002</v>
      </c>
      <c r="D278" s="892">
        <v>0.81789999999999996</v>
      </c>
      <c r="E278" s="892">
        <v>0.81789999999999996</v>
      </c>
      <c r="F278" s="892">
        <v>0.81789999999999996</v>
      </c>
      <c r="G278" s="892">
        <v>0.81789999999999996</v>
      </c>
      <c r="H278" s="892">
        <v>0.81789999999999996</v>
      </c>
      <c r="I278" s="892">
        <v>0.67459999999999998</v>
      </c>
      <c r="J278" s="892">
        <v>0.67459999999999998</v>
      </c>
      <c r="K278" s="892">
        <v>0.67459999999999998</v>
      </c>
      <c r="L278" s="892">
        <v>0.67459999999999998</v>
      </c>
      <c r="M278" s="892">
        <v>0.67459999999999998</v>
      </c>
    </row>
    <row r="279" spans="1:13">
      <c r="A279" s="885">
        <v>7.3</v>
      </c>
      <c r="B279" s="892">
        <v>0.8377</v>
      </c>
      <c r="C279" s="892">
        <v>0.8377</v>
      </c>
      <c r="D279" s="892">
        <v>0.81689999999999996</v>
      </c>
      <c r="E279" s="892">
        <v>0.81689999999999996</v>
      </c>
      <c r="F279" s="892">
        <v>0.81689999999999996</v>
      </c>
      <c r="G279" s="892">
        <v>0.81689999999999996</v>
      </c>
      <c r="H279" s="892">
        <v>0.81689999999999996</v>
      </c>
      <c r="I279" s="892">
        <v>0.6734</v>
      </c>
      <c r="J279" s="892">
        <v>0.6734</v>
      </c>
      <c r="K279" s="892">
        <v>0.6734</v>
      </c>
      <c r="L279" s="892">
        <v>0.6734</v>
      </c>
      <c r="M279" s="892">
        <v>0.6734</v>
      </c>
    </row>
    <row r="280" spans="1:13">
      <c r="A280" s="885">
        <v>7.4</v>
      </c>
      <c r="B280" s="892">
        <v>0.83699999999999997</v>
      </c>
      <c r="C280" s="892">
        <v>0.83699999999999997</v>
      </c>
      <c r="D280" s="892">
        <v>0.81599999999999995</v>
      </c>
      <c r="E280" s="892">
        <v>0.81599999999999995</v>
      </c>
      <c r="F280" s="892">
        <v>0.81599999999999995</v>
      </c>
      <c r="G280" s="892">
        <v>0.81599999999999995</v>
      </c>
      <c r="H280" s="892">
        <v>0.81599999999999995</v>
      </c>
      <c r="I280" s="892">
        <v>0.67210000000000003</v>
      </c>
      <c r="J280" s="892">
        <v>0.67210000000000003</v>
      </c>
      <c r="K280" s="892">
        <v>0.67210000000000003</v>
      </c>
      <c r="L280" s="892">
        <v>0.67210000000000003</v>
      </c>
      <c r="M280" s="892">
        <v>0.67210000000000003</v>
      </c>
    </row>
    <row r="281" spans="1:13">
      <c r="A281" s="885">
        <v>7.5</v>
      </c>
      <c r="B281" s="892">
        <v>0.83630000000000004</v>
      </c>
      <c r="C281" s="892">
        <v>0.83630000000000004</v>
      </c>
      <c r="D281" s="892">
        <v>0.81510000000000005</v>
      </c>
      <c r="E281" s="892">
        <v>0.81510000000000005</v>
      </c>
      <c r="F281" s="892">
        <v>0.81510000000000005</v>
      </c>
      <c r="G281" s="892">
        <v>0.81510000000000005</v>
      </c>
      <c r="H281" s="892">
        <v>0.81510000000000005</v>
      </c>
      <c r="I281" s="892">
        <v>0.67090000000000005</v>
      </c>
      <c r="J281" s="892">
        <v>0.67090000000000005</v>
      </c>
      <c r="K281" s="892">
        <v>0.67090000000000005</v>
      </c>
      <c r="L281" s="892">
        <v>0.67090000000000005</v>
      </c>
      <c r="M281" s="892">
        <v>0.67090000000000005</v>
      </c>
    </row>
    <row r="282" spans="1:13">
      <c r="A282" s="885">
        <v>7.6</v>
      </c>
      <c r="B282" s="892">
        <v>0.83560000000000001</v>
      </c>
      <c r="C282" s="892">
        <v>0.83560000000000001</v>
      </c>
      <c r="D282" s="892">
        <v>0.81420000000000003</v>
      </c>
      <c r="E282" s="892">
        <v>0.81420000000000003</v>
      </c>
      <c r="F282" s="892">
        <v>0.81420000000000003</v>
      </c>
      <c r="G282" s="892">
        <v>0.81420000000000003</v>
      </c>
      <c r="H282" s="892">
        <v>0.81420000000000003</v>
      </c>
      <c r="I282" s="892">
        <v>0.66979999999999995</v>
      </c>
      <c r="J282" s="892">
        <v>0.66979999999999995</v>
      </c>
      <c r="K282" s="892">
        <v>0.66979999999999995</v>
      </c>
      <c r="L282" s="892">
        <v>0.66979999999999995</v>
      </c>
      <c r="M282" s="892">
        <v>0.66979999999999995</v>
      </c>
    </row>
    <row r="283" spans="1:13">
      <c r="A283" s="885">
        <v>7.7</v>
      </c>
      <c r="B283" s="892">
        <v>0.83489999999999998</v>
      </c>
      <c r="C283" s="892">
        <v>0.83489999999999998</v>
      </c>
      <c r="D283" s="892">
        <v>0.81330000000000002</v>
      </c>
      <c r="E283" s="892">
        <v>0.81330000000000002</v>
      </c>
      <c r="F283" s="892">
        <v>0.81330000000000002</v>
      </c>
      <c r="G283" s="892">
        <v>0.81330000000000002</v>
      </c>
      <c r="H283" s="892">
        <v>0.81330000000000002</v>
      </c>
      <c r="I283" s="892">
        <v>0.66869999999999996</v>
      </c>
      <c r="J283" s="892">
        <v>0.66869999999999996</v>
      </c>
      <c r="K283" s="892">
        <v>0.66869999999999996</v>
      </c>
      <c r="L283" s="892">
        <v>0.66869999999999996</v>
      </c>
      <c r="M283" s="892">
        <v>0.66869999999999996</v>
      </c>
    </row>
    <row r="284" spans="1:13">
      <c r="A284" s="885">
        <v>7.8</v>
      </c>
      <c r="B284" s="892">
        <v>0.83420000000000005</v>
      </c>
      <c r="C284" s="892">
        <v>0.83420000000000005</v>
      </c>
      <c r="D284" s="892">
        <v>0.81240000000000001</v>
      </c>
      <c r="E284" s="892">
        <v>0.81240000000000001</v>
      </c>
      <c r="F284" s="892">
        <v>0.81240000000000001</v>
      </c>
      <c r="G284" s="892">
        <v>0.81240000000000001</v>
      </c>
      <c r="H284" s="892">
        <v>0.81240000000000001</v>
      </c>
      <c r="I284" s="892">
        <v>0.66759999999999997</v>
      </c>
      <c r="J284" s="892">
        <v>0.66759999999999997</v>
      </c>
      <c r="K284" s="892">
        <v>0.66759999999999997</v>
      </c>
      <c r="L284" s="892">
        <v>0.66759999999999997</v>
      </c>
      <c r="M284" s="892">
        <v>0.66759999999999997</v>
      </c>
    </row>
    <row r="285" spans="1:13">
      <c r="A285" s="885">
        <v>7.9</v>
      </c>
      <c r="B285" s="892">
        <v>0.83350000000000002</v>
      </c>
      <c r="C285" s="892">
        <v>0.83350000000000002</v>
      </c>
      <c r="D285" s="892">
        <v>0.81159999999999999</v>
      </c>
      <c r="E285" s="892">
        <v>0.81159999999999999</v>
      </c>
      <c r="F285" s="892">
        <v>0.81159999999999999</v>
      </c>
      <c r="G285" s="892">
        <v>0.81159999999999999</v>
      </c>
      <c r="H285" s="892">
        <v>0.81159999999999999</v>
      </c>
      <c r="I285" s="892">
        <v>0.66649999999999998</v>
      </c>
      <c r="J285" s="892">
        <v>0.66649999999999998</v>
      </c>
      <c r="K285" s="892">
        <v>0.66649999999999998</v>
      </c>
      <c r="L285" s="892">
        <v>0.66649999999999998</v>
      </c>
      <c r="M285" s="892">
        <v>0.66649999999999998</v>
      </c>
    </row>
    <row r="286" spans="1:13">
      <c r="A286" s="885">
        <v>8</v>
      </c>
      <c r="B286" s="892">
        <v>0.83279999999999998</v>
      </c>
      <c r="C286" s="892">
        <v>0.83279999999999998</v>
      </c>
      <c r="D286" s="892">
        <v>0.81079999999999997</v>
      </c>
      <c r="E286" s="892">
        <v>0.81079999999999997</v>
      </c>
      <c r="F286" s="892">
        <v>0.81079999999999997</v>
      </c>
      <c r="G286" s="892">
        <v>0.81079999999999997</v>
      </c>
      <c r="H286" s="892">
        <v>0.81079999999999997</v>
      </c>
      <c r="I286" s="892">
        <v>0.66549999999999998</v>
      </c>
      <c r="J286" s="892">
        <v>0.66549999999999998</v>
      </c>
      <c r="K286" s="892">
        <v>0.66549999999999998</v>
      </c>
      <c r="L286" s="892">
        <v>0.66549999999999998</v>
      </c>
      <c r="M286" s="892">
        <v>0.66549999999999998</v>
      </c>
    </row>
    <row r="287" spans="1:13">
      <c r="A287" s="885">
        <v>8.1</v>
      </c>
      <c r="B287" s="892">
        <v>0.83220000000000005</v>
      </c>
      <c r="C287" s="892">
        <v>0.83220000000000005</v>
      </c>
      <c r="D287" s="892">
        <v>0.81</v>
      </c>
      <c r="E287" s="892">
        <v>0.81</v>
      </c>
      <c r="F287" s="892">
        <v>0.81</v>
      </c>
      <c r="G287" s="892">
        <v>0.81</v>
      </c>
      <c r="H287" s="892">
        <v>0.81</v>
      </c>
      <c r="I287" s="892">
        <v>0.66439999999999999</v>
      </c>
      <c r="J287" s="892">
        <v>0.66439999999999999</v>
      </c>
      <c r="K287" s="892">
        <v>0.66439999999999999</v>
      </c>
      <c r="L287" s="892">
        <v>0.66439999999999999</v>
      </c>
      <c r="M287" s="892">
        <v>0.66439999999999999</v>
      </c>
    </row>
    <row r="288" spans="1:13">
      <c r="A288" s="885">
        <v>8.1999999999999993</v>
      </c>
      <c r="B288" s="892">
        <v>0.83160000000000001</v>
      </c>
      <c r="C288" s="892">
        <v>0.83160000000000001</v>
      </c>
      <c r="D288" s="892">
        <v>0.80920000000000003</v>
      </c>
      <c r="E288" s="892">
        <v>0.80920000000000003</v>
      </c>
      <c r="F288" s="892">
        <v>0.80920000000000003</v>
      </c>
      <c r="G288" s="892">
        <v>0.80920000000000003</v>
      </c>
      <c r="H288" s="892">
        <v>0.80920000000000003</v>
      </c>
      <c r="I288" s="892">
        <v>0.66339999999999999</v>
      </c>
      <c r="J288" s="892">
        <v>0.66339999999999999</v>
      </c>
      <c r="K288" s="892">
        <v>0.66339999999999999</v>
      </c>
      <c r="L288" s="892">
        <v>0.66339999999999999</v>
      </c>
      <c r="M288" s="892">
        <v>0.66339999999999999</v>
      </c>
    </row>
    <row r="289" spans="1:13">
      <c r="A289" s="885">
        <v>8.3000000000000007</v>
      </c>
      <c r="B289" s="892">
        <v>0.83099999999999996</v>
      </c>
      <c r="C289" s="892">
        <v>0.83099999999999996</v>
      </c>
      <c r="D289" s="892">
        <v>0.80840000000000001</v>
      </c>
      <c r="E289" s="892">
        <v>0.80840000000000001</v>
      </c>
      <c r="F289" s="892">
        <v>0.80840000000000001</v>
      </c>
      <c r="G289" s="892">
        <v>0.80840000000000001</v>
      </c>
      <c r="H289" s="892">
        <v>0.80840000000000001</v>
      </c>
      <c r="I289" s="892">
        <v>0.66239999999999999</v>
      </c>
      <c r="J289" s="892">
        <v>0.66239999999999999</v>
      </c>
      <c r="K289" s="892">
        <v>0.66239999999999999</v>
      </c>
      <c r="L289" s="892">
        <v>0.66239999999999999</v>
      </c>
      <c r="M289" s="892">
        <v>0.66239999999999999</v>
      </c>
    </row>
    <row r="290" spans="1:13">
      <c r="A290" s="885">
        <v>8.4</v>
      </c>
      <c r="B290" s="892">
        <v>0.83040000000000003</v>
      </c>
      <c r="C290" s="892">
        <v>0.83040000000000003</v>
      </c>
      <c r="D290" s="892">
        <v>0.80759999999999998</v>
      </c>
      <c r="E290" s="892">
        <v>0.80759999999999998</v>
      </c>
      <c r="F290" s="892">
        <v>0.80759999999999998</v>
      </c>
      <c r="G290" s="892">
        <v>0.80759999999999998</v>
      </c>
      <c r="H290" s="892">
        <v>0.80759999999999998</v>
      </c>
      <c r="I290" s="892">
        <v>0.66139999999999999</v>
      </c>
      <c r="J290" s="892">
        <v>0.66139999999999999</v>
      </c>
      <c r="K290" s="892">
        <v>0.66139999999999999</v>
      </c>
      <c r="L290" s="892">
        <v>0.66139999999999999</v>
      </c>
      <c r="M290" s="892">
        <v>0.66139999999999999</v>
      </c>
    </row>
    <row r="291" spans="1:13">
      <c r="A291" s="885">
        <v>8.5</v>
      </c>
      <c r="B291" s="892">
        <v>0.82979999999999998</v>
      </c>
      <c r="C291" s="892">
        <v>0.82979999999999998</v>
      </c>
      <c r="D291" s="892">
        <v>0.80679999999999996</v>
      </c>
      <c r="E291" s="892">
        <v>0.80679999999999996</v>
      </c>
      <c r="F291" s="892">
        <v>0.80679999999999996</v>
      </c>
      <c r="G291" s="892">
        <v>0.80679999999999996</v>
      </c>
      <c r="H291" s="892">
        <v>0.80679999999999996</v>
      </c>
      <c r="I291" s="892">
        <v>0.66049999999999998</v>
      </c>
      <c r="J291" s="892">
        <v>0.66049999999999998</v>
      </c>
      <c r="K291" s="892">
        <v>0.66049999999999998</v>
      </c>
      <c r="L291" s="892">
        <v>0.66049999999999998</v>
      </c>
      <c r="M291" s="892">
        <v>0.66049999999999998</v>
      </c>
    </row>
    <row r="292" spans="1:13">
      <c r="A292" s="885">
        <v>8.6</v>
      </c>
      <c r="B292" s="892">
        <v>0.82920000000000005</v>
      </c>
      <c r="C292" s="892">
        <v>0.82920000000000005</v>
      </c>
      <c r="D292" s="892">
        <v>0.80600000000000005</v>
      </c>
      <c r="E292" s="892">
        <v>0.80600000000000005</v>
      </c>
      <c r="F292" s="892">
        <v>0.80600000000000005</v>
      </c>
      <c r="G292" s="892">
        <v>0.80600000000000005</v>
      </c>
      <c r="H292" s="892">
        <v>0.80600000000000005</v>
      </c>
      <c r="I292" s="892">
        <v>0.65949999999999998</v>
      </c>
      <c r="J292" s="892">
        <v>0.65949999999999998</v>
      </c>
      <c r="K292" s="892">
        <v>0.65949999999999998</v>
      </c>
      <c r="L292" s="892">
        <v>0.65949999999999998</v>
      </c>
      <c r="M292" s="892">
        <v>0.65949999999999998</v>
      </c>
    </row>
    <row r="293" spans="1:13">
      <c r="A293" s="885">
        <v>8.6999999999999993</v>
      </c>
      <c r="B293" s="892">
        <v>0.8286</v>
      </c>
      <c r="C293" s="892">
        <v>0.8286</v>
      </c>
      <c r="D293" s="892">
        <v>0.80520000000000003</v>
      </c>
      <c r="E293" s="892">
        <v>0.80520000000000003</v>
      </c>
      <c r="F293" s="892">
        <v>0.80520000000000003</v>
      </c>
      <c r="G293" s="892">
        <v>0.80520000000000003</v>
      </c>
      <c r="H293" s="892">
        <v>0.80520000000000003</v>
      </c>
      <c r="I293" s="892">
        <v>0.65859999999999996</v>
      </c>
      <c r="J293" s="892">
        <v>0.65859999999999996</v>
      </c>
      <c r="K293" s="892">
        <v>0.65859999999999996</v>
      </c>
      <c r="L293" s="892">
        <v>0.65859999999999996</v>
      </c>
      <c r="M293" s="892">
        <v>0.65859999999999996</v>
      </c>
    </row>
    <row r="294" spans="1:13">
      <c r="A294" s="885">
        <v>8.8000000000000007</v>
      </c>
      <c r="B294" s="892">
        <v>0.82799999999999996</v>
      </c>
      <c r="C294" s="892">
        <v>0.82799999999999996</v>
      </c>
      <c r="D294" s="892">
        <v>0.8044</v>
      </c>
      <c r="E294" s="892">
        <v>0.8044</v>
      </c>
      <c r="F294" s="892">
        <v>0.8044</v>
      </c>
      <c r="G294" s="892">
        <v>0.8044</v>
      </c>
      <c r="H294" s="892">
        <v>0.8044</v>
      </c>
      <c r="I294" s="892">
        <v>0.65759999999999996</v>
      </c>
      <c r="J294" s="892">
        <v>0.65759999999999996</v>
      </c>
      <c r="K294" s="892">
        <v>0.65759999999999996</v>
      </c>
      <c r="L294" s="892">
        <v>0.65759999999999996</v>
      </c>
      <c r="M294" s="892">
        <v>0.65759999999999996</v>
      </c>
    </row>
    <row r="295" spans="1:13">
      <c r="A295" s="885">
        <v>8.9</v>
      </c>
      <c r="B295" s="892">
        <v>0.82740000000000002</v>
      </c>
      <c r="C295" s="892">
        <v>0.82740000000000002</v>
      </c>
      <c r="D295" s="892">
        <v>0.80359999999999998</v>
      </c>
      <c r="E295" s="892">
        <v>0.80359999999999998</v>
      </c>
      <c r="F295" s="892">
        <v>0.80359999999999998</v>
      </c>
      <c r="G295" s="892">
        <v>0.80359999999999998</v>
      </c>
      <c r="H295" s="892">
        <v>0.80359999999999998</v>
      </c>
      <c r="I295" s="892">
        <v>0.65669999999999995</v>
      </c>
      <c r="J295" s="892">
        <v>0.65669999999999995</v>
      </c>
      <c r="K295" s="892">
        <v>0.65669999999999995</v>
      </c>
      <c r="L295" s="892">
        <v>0.65669999999999995</v>
      </c>
      <c r="M295" s="892">
        <v>0.65669999999999995</v>
      </c>
    </row>
    <row r="296" spans="1:13">
      <c r="A296" s="900">
        <v>9</v>
      </c>
      <c r="B296" s="892">
        <v>0.82679999999999998</v>
      </c>
      <c r="C296" s="892">
        <v>0.82679999999999998</v>
      </c>
      <c r="D296" s="892">
        <v>0.80279999999999996</v>
      </c>
      <c r="E296" s="892">
        <v>0.80279999999999996</v>
      </c>
      <c r="F296" s="892">
        <v>0.80279999999999996</v>
      </c>
      <c r="G296" s="892">
        <v>0.80279999999999996</v>
      </c>
      <c r="H296" s="892">
        <v>0.80279999999999996</v>
      </c>
      <c r="I296" s="892">
        <v>0.65569999999999995</v>
      </c>
      <c r="J296" s="892">
        <v>0.65569999999999995</v>
      </c>
      <c r="K296" s="892">
        <v>0.65569999999999995</v>
      </c>
      <c r="L296" s="892">
        <v>0.65569999999999995</v>
      </c>
      <c r="M296" s="892">
        <v>0.65569999999999995</v>
      </c>
    </row>
    <row r="297" spans="1:13">
      <c r="A297" s="900">
        <v>9.1</v>
      </c>
      <c r="B297" s="892">
        <v>0.82620000000000005</v>
      </c>
      <c r="C297" s="892">
        <v>0.82620000000000005</v>
      </c>
      <c r="D297" s="892">
        <v>0.80200000000000005</v>
      </c>
      <c r="E297" s="892">
        <v>0.80200000000000005</v>
      </c>
      <c r="F297" s="892">
        <v>0.80200000000000005</v>
      </c>
      <c r="G297" s="892">
        <v>0.80200000000000005</v>
      </c>
      <c r="H297" s="892">
        <v>0.80200000000000005</v>
      </c>
      <c r="I297" s="892">
        <v>0.65480000000000005</v>
      </c>
      <c r="J297" s="892">
        <v>0.65480000000000005</v>
      </c>
      <c r="K297" s="892">
        <v>0.65480000000000005</v>
      </c>
      <c r="L297" s="892">
        <v>0.65480000000000005</v>
      </c>
      <c r="M297" s="892">
        <v>0.65480000000000005</v>
      </c>
    </row>
    <row r="298" spans="1:13">
      <c r="A298" s="900">
        <v>9.1999999999999993</v>
      </c>
      <c r="B298" s="892">
        <v>0.8256</v>
      </c>
      <c r="C298" s="892">
        <v>0.8256</v>
      </c>
      <c r="D298" s="892">
        <v>0.80120000000000002</v>
      </c>
      <c r="E298" s="892">
        <v>0.80120000000000002</v>
      </c>
      <c r="F298" s="892">
        <v>0.80120000000000002</v>
      </c>
      <c r="G298" s="892">
        <v>0.80120000000000002</v>
      </c>
      <c r="H298" s="892">
        <v>0.80120000000000002</v>
      </c>
      <c r="I298" s="892">
        <v>0.65380000000000005</v>
      </c>
      <c r="J298" s="892">
        <v>0.65380000000000005</v>
      </c>
      <c r="K298" s="892">
        <v>0.65380000000000005</v>
      </c>
      <c r="L298" s="892">
        <v>0.65380000000000005</v>
      </c>
      <c r="M298" s="892">
        <v>0.65380000000000005</v>
      </c>
    </row>
    <row r="299" spans="1:13">
      <c r="A299" s="900">
        <v>9.3000000000000007</v>
      </c>
      <c r="B299" s="892">
        <v>0.82499999999999996</v>
      </c>
      <c r="C299" s="892">
        <v>0.82499999999999996</v>
      </c>
      <c r="D299" s="892">
        <v>0.8004</v>
      </c>
      <c r="E299" s="892">
        <v>0.8004</v>
      </c>
      <c r="F299" s="892">
        <v>0.8004</v>
      </c>
      <c r="G299" s="892">
        <v>0.8004</v>
      </c>
      <c r="H299" s="892">
        <v>0.8004</v>
      </c>
      <c r="I299" s="892">
        <v>0.65290000000000004</v>
      </c>
      <c r="J299" s="892">
        <v>0.65290000000000004</v>
      </c>
      <c r="K299" s="892">
        <v>0.65290000000000004</v>
      </c>
      <c r="L299" s="892">
        <v>0.65290000000000004</v>
      </c>
      <c r="M299" s="892">
        <v>0.65290000000000004</v>
      </c>
    </row>
    <row r="300" spans="1:13">
      <c r="A300" s="900">
        <v>9.4</v>
      </c>
      <c r="B300" s="892">
        <v>0.82440000000000002</v>
      </c>
      <c r="C300" s="892">
        <v>0.82440000000000002</v>
      </c>
      <c r="D300" s="892">
        <v>0.79959999999999998</v>
      </c>
      <c r="E300" s="892">
        <v>0.79959999999999998</v>
      </c>
      <c r="F300" s="892">
        <v>0.79959999999999998</v>
      </c>
      <c r="G300" s="892">
        <v>0.79959999999999998</v>
      </c>
      <c r="H300" s="892">
        <v>0.79959999999999998</v>
      </c>
      <c r="I300" s="892">
        <v>0.65190000000000003</v>
      </c>
      <c r="J300" s="892">
        <v>0.65190000000000003</v>
      </c>
      <c r="K300" s="892">
        <v>0.65190000000000003</v>
      </c>
      <c r="L300" s="892">
        <v>0.65190000000000003</v>
      </c>
      <c r="M300" s="892">
        <v>0.65190000000000003</v>
      </c>
    </row>
    <row r="301" spans="1:13">
      <c r="A301" s="900">
        <v>9.5</v>
      </c>
      <c r="B301" s="892">
        <v>0.82379999999999998</v>
      </c>
      <c r="C301" s="892">
        <v>0.82379999999999998</v>
      </c>
      <c r="D301" s="892">
        <v>0.79879999999999995</v>
      </c>
      <c r="E301" s="892">
        <v>0.79879999999999995</v>
      </c>
      <c r="F301" s="892">
        <v>0.79879999999999995</v>
      </c>
      <c r="G301" s="892">
        <v>0.79879999999999995</v>
      </c>
      <c r="H301" s="892">
        <v>0.79879999999999995</v>
      </c>
      <c r="I301" s="892">
        <v>0.65100000000000002</v>
      </c>
      <c r="J301" s="892">
        <v>0.65100000000000002</v>
      </c>
      <c r="K301" s="892">
        <v>0.65100000000000002</v>
      </c>
      <c r="L301" s="892">
        <v>0.65100000000000002</v>
      </c>
      <c r="M301" s="892">
        <v>0.65100000000000002</v>
      </c>
    </row>
    <row r="302" spans="1:13">
      <c r="A302" s="900">
        <v>9.6</v>
      </c>
      <c r="B302" s="892">
        <v>0.82320000000000004</v>
      </c>
      <c r="C302" s="892">
        <v>0.82320000000000004</v>
      </c>
      <c r="D302" s="892">
        <v>0.79800000000000004</v>
      </c>
      <c r="E302" s="892">
        <v>0.79800000000000004</v>
      </c>
      <c r="F302" s="892">
        <v>0.79800000000000004</v>
      </c>
      <c r="G302" s="892">
        <v>0.79800000000000004</v>
      </c>
      <c r="H302" s="892">
        <v>0.79800000000000004</v>
      </c>
      <c r="I302" s="892">
        <v>0.65</v>
      </c>
      <c r="J302" s="892">
        <v>0.65</v>
      </c>
      <c r="K302" s="892">
        <v>0.65</v>
      </c>
      <c r="L302" s="892">
        <v>0.65</v>
      </c>
      <c r="M302" s="892">
        <v>0.65</v>
      </c>
    </row>
    <row r="303" spans="1:13">
      <c r="A303" s="900">
        <v>9.6999999999999993</v>
      </c>
      <c r="B303" s="892">
        <v>0.8226</v>
      </c>
      <c r="C303" s="892">
        <v>0.8226</v>
      </c>
      <c r="D303" s="892">
        <v>0.79720000000000002</v>
      </c>
      <c r="E303" s="892">
        <v>0.79720000000000002</v>
      </c>
      <c r="F303" s="892">
        <v>0.79720000000000002</v>
      </c>
      <c r="G303" s="892">
        <v>0.79720000000000002</v>
      </c>
      <c r="H303" s="892">
        <v>0.79720000000000002</v>
      </c>
      <c r="I303" s="892">
        <v>0.64900000000000002</v>
      </c>
      <c r="J303" s="892">
        <v>0.64900000000000002</v>
      </c>
      <c r="K303" s="892">
        <v>0.64900000000000002</v>
      </c>
      <c r="L303" s="892">
        <v>0.64900000000000002</v>
      </c>
      <c r="M303" s="892">
        <v>0.64900000000000002</v>
      </c>
    </row>
    <row r="304" spans="1:13">
      <c r="A304" s="900">
        <v>9.8000000000000007</v>
      </c>
      <c r="B304" s="892">
        <v>0.82199999999999995</v>
      </c>
      <c r="C304" s="892">
        <v>0.82199999999999995</v>
      </c>
      <c r="D304" s="892">
        <v>0.7964</v>
      </c>
      <c r="E304" s="892">
        <v>0.7964</v>
      </c>
      <c r="F304" s="892">
        <v>0.7964</v>
      </c>
      <c r="G304" s="892">
        <v>0.7964</v>
      </c>
      <c r="H304" s="892">
        <v>0.7964</v>
      </c>
      <c r="I304" s="892">
        <v>0.64810000000000001</v>
      </c>
      <c r="J304" s="892">
        <v>0.64810000000000001</v>
      </c>
      <c r="K304" s="892">
        <v>0.64810000000000001</v>
      </c>
      <c r="L304" s="892">
        <v>0.64810000000000001</v>
      </c>
      <c r="M304" s="892">
        <v>0.64810000000000001</v>
      </c>
    </row>
    <row r="305" spans="1:13">
      <c r="A305" s="900">
        <v>9.9</v>
      </c>
      <c r="B305" s="892">
        <v>0.82140000000000002</v>
      </c>
      <c r="C305" s="892">
        <v>0.82140000000000002</v>
      </c>
      <c r="D305" s="892">
        <v>0.79559999999999997</v>
      </c>
      <c r="E305" s="892">
        <v>0.79559999999999997</v>
      </c>
      <c r="F305" s="892">
        <v>0.79559999999999997</v>
      </c>
      <c r="G305" s="892">
        <v>0.79559999999999997</v>
      </c>
      <c r="H305" s="892">
        <v>0.79559999999999997</v>
      </c>
      <c r="I305" s="892">
        <v>0.64710000000000001</v>
      </c>
      <c r="J305" s="892">
        <v>0.64710000000000001</v>
      </c>
      <c r="K305" s="892">
        <v>0.64710000000000001</v>
      </c>
      <c r="L305" s="892">
        <v>0.64710000000000001</v>
      </c>
      <c r="M305" s="892">
        <v>0.64710000000000001</v>
      </c>
    </row>
    <row r="306" spans="1:13">
      <c r="A306" s="900">
        <v>10</v>
      </c>
      <c r="B306" s="892">
        <v>0.82079999999999997</v>
      </c>
      <c r="C306" s="892">
        <v>0.82079999999999997</v>
      </c>
      <c r="D306" s="892">
        <v>0.79479999999999995</v>
      </c>
      <c r="E306" s="892">
        <v>0.79479999999999995</v>
      </c>
      <c r="F306" s="892">
        <v>0.79479999999999995</v>
      </c>
      <c r="G306" s="892">
        <v>0.79479999999999995</v>
      </c>
      <c r="H306" s="892">
        <v>0.79479999999999995</v>
      </c>
      <c r="I306" s="892">
        <v>0.6462</v>
      </c>
      <c r="J306" s="892">
        <v>0.6462</v>
      </c>
      <c r="K306" s="892">
        <v>0.6462</v>
      </c>
      <c r="L306" s="892">
        <v>0.6462</v>
      </c>
      <c r="M306" s="892">
        <v>0.6462</v>
      </c>
    </row>
    <row r="307" spans="1:13" ht="14.25">
      <c r="A307" s="882" t="s">
        <v>750</v>
      </c>
      <c r="B307" s="883"/>
      <c r="C307" s="883"/>
      <c r="D307" s="883"/>
      <c r="E307" s="883"/>
      <c r="F307" s="883"/>
      <c r="G307" s="883"/>
      <c r="H307" s="883"/>
      <c r="I307" s="883"/>
      <c r="J307" s="883"/>
      <c r="K307" s="883"/>
      <c r="L307" s="883"/>
      <c r="M307" s="883"/>
    </row>
    <row r="308" spans="1:13">
      <c r="A308" s="885" t="s">
        <v>746</v>
      </c>
      <c r="B308" s="886" t="s">
        <v>157</v>
      </c>
      <c r="C308" s="886" t="s">
        <v>158</v>
      </c>
      <c r="D308" s="886" t="s">
        <v>159</v>
      </c>
      <c r="E308" s="886" t="s">
        <v>160</v>
      </c>
      <c r="F308" s="886" t="s">
        <v>161</v>
      </c>
      <c r="G308" s="886" t="s">
        <v>162</v>
      </c>
      <c r="H308" s="887" t="s">
        <v>163</v>
      </c>
      <c r="I308" s="887" t="s">
        <v>164</v>
      </c>
      <c r="J308" s="888" t="s">
        <v>165</v>
      </c>
      <c r="K308" s="888" t="s">
        <v>166</v>
      </c>
      <c r="L308" s="888" t="s">
        <v>167</v>
      </c>
      <c r="M308" s="888" t="s">
        <v>168</v>
      </c>
    </row>
    <row r="309" spans="1:13">
      <c r="A309" s="885">
        <v>0.1</v>
      </c>
      <c r="B309" s="892">
        <v>11.506</v>
      </c>
      <c r="C309" s="892">
        <v>11.506</v>
      </c>
      <c r="D309" s="892">
        <v>12.015000000000001</v>
      </c>
      <c r="E309" s="892">
        <v>12.015000000000001</v>
      </c>
      <c r="F309" s="892">
        <v>12.015000000000001</v>
      </c>
      <c r="G309" s="892">
        <v>11.118</v>
      </c>
      <c r="H309" s="892">
        <v>11.118</v>
      </c>
      <c r="I309" s="892">
        <v>10</v>
      </c>
      <c r="J309" s="892">
        <v>10</v>
      </c>
      <c r="K309" s="892">
        <v>10</v>
      </c>
      <c r="L309" s="892">
        <v>10</v>
      </c>
      <c r="M309" s="892">
        <v>10</v>
      </c>
    </row>
    <row r="310" spans="1:13">
      <c r="A310" s="885">
        <v>0.2</v>
      </c>
      <c r="B310" s="892">
        <v>5.7530000000000001</v>
      </c>
      <c r="C310" s="892">
        <v>5.7530000000000001</v>
      </c>
      <c r="D310" s="892">
        <v>6.0075000000000003</v>
      </c>
      <c r="E310" s="892">
        <v>6.0075000000000003</v>
      </c>
      <c r="F310" s="892">
        <v>6.0075000000000003</v>
      </c>
      <c r="G310" s="892">
        <v>5.5590000000000002</v>
      </c>
      <c r="H310" s="892">
        <v>5.5590000000000002</v>
      </c>
      <c r="I310" s="892">
        <v>5</v>
      </c>
      <c r="J310" s="892">
        <v>5</v>
      </c>
      <c r="K310" s="892">
        <v>5</v>
      </c>
      <c r="L310" s="892">
        <v>5</v>
      </c>
      <c r="M310" s="892">
        <v>5</v>
      </c>
    </row>
    <row r="311" spans="1:13">
      <c r="A311" s="885">
        <v>0.3</v>
      </c>
      <c r="B311" s="892">
        <v>3.8353000000000002</v>
      </c>
      <c r="C311" s="892">
        <v>3.8353000000000002</v>
      </c>
      <c r="D311" s="892">
        <v>4.0049999999999999</v>
      </c>
      <c r="E311" s="892">
        <v>4.0049999999999999</v>
      </c>
      <c r="F311" s="892">
        <v>4.0049999999999999</v>
      </c>
      <c r="G311" s="892">
        <v>3.706</v>
      </c>
      <c r="H311" s="892">
        <v>3.706</v>
      </c>
      <c r="I311" s="892">
        <v>3.3332999999999999</v>
      </c>
      <c r="J311" s="892">
        <v>3.3332999999999999</v>
      </c>
      <c r="K311" s="892">
        <v>3.3332999999999999</v>
      </c>
      <c r="L311" s="892">
        <v>3.3332999999999999</v>
      </c>
      <c r="M311" s="892">
        <v>3.3332999999999999</v>
      </c>
    </row>
    <row r="312" spans="1:13">
      <c r="A312" s="885">
        <v>0.4</v>
      </c>
      <c r="B312" s="892">
        <v>2.8765000000000001</v>
      </c>
      <c r="C312" s="892">
        <v>2.8765000000000001</v>
      </c>
      <c r="D312" s="892">
        <v>3.0038</v>
      </c>
      <c r="E312" s="892">
        <v>3.0038</v>
      </c>
      <c r="F312" s="892">
        <v>3.0038</v>
      </c>
      <c r="G312" s="892">
        <v>2.7795000000000001</v>
      </c>
      <c r="H312" s="892">
        <v>2.7795000000000001</v>
      </c>
      <c r="I312" s="892">
        <v>2.5</v>
      </c>
      <c r="J312" s="892">
        <v>2.5</v>
      </c>
      <c r="K312" s="892">
        <v>2.5</v>
      </c>
      <c r="L312" s="892">
        <v>2.5</v>
      </c>
      <c r="M312" s="892">
        <v>2.5</v>
      </c>
    </row>
    <row r="313" spans="1:13">
      <c r="A313" s="885">
        <v>0.5</v>
      </c>
      <c r="B313" s="892">
        <v>2.3012000000000001</v>
      </c>
      <c r="C313" s="892">
        <v>2.3012000000000001</v>
      </c>
      <c r="D313" s="892">
        <v>2.403</v>
      </c>
      <c r="E313" s="892">
        <v>2.403</v>
      </c>
      <c r="F313" s="892">
        <v>2.403</v>
      </c>
      <c r="G313" s="892">
        <v>2.2235999999999998</v>
      </c>
      <c r="H313" s="892">
        <v>2.2235999999999998</v>
      </c>
      <c r="I313" s="892">
        <v>2</v>
      </c>
      <c r="J313" s="892">
        <v>2</v>
      </c>
      <c r="K313" s="892">
        <v>2</v>
      </c>
      <c r="L313" s="892">
        <v>2</v>
      </c>
      <c r="M313" s="892">
        <v>2</v>
      </c>
    </row>
    <row r="314" spans="1:13">
      <c r="A314" s="885">
        <v>0.6</v>
      </c>
      <c r="B314" s="892">
        <v>1.9177</v>
      </c>
      <c r="C314" s="892">
        <v>1.9177</v>
      </c>
      <c r="D314" s="892">
        <v>2.0024999999999999</v>
      </c>
      <c r="E314" s="892">
        <v>2.0024999999999999</v>
      </c>
      <c r="F314" s="892">
        <v>2.0024999999999999</v>
      </c>
      <c r="G314" s="892">
        <v>1.853</v>
      </c>
      <c r="H314" s="892">
        <v>1.853</v>
      </c>
      <c r="I314" s="892">
        <v>1.6667000000000001</v>
      </c>
      <c r="J314" s="892">
        <v>1.6667000000000001</v>
      </c>
      <c r="K314" s="892">
        <v>1.6667000000000001</v>
      </c>
      <c r="L314" s="892">
        <v>1.6667000000000001</v>
      </c>
      <c r="M314" s="892">
        <v>1.6667000000000001</v>
      </c>
    </row>
    <row r="315" spans="1:13">
      <c r="A315" s="885">
        <v>0.7</v>
      </c>
      <c r="B315" s="892">
        <v>1.6436999999999999</v>
      </c>
      <c r="C315" s="892">
        <v>1.6436999999999999</v>
      </c>
      <c r="D315" s="892">
        <v>1.7163999999999999</v>
      </c>
      <c r="E315" s="892">
        <v>1.7163999999999999</v>
      </c>
      <c r="F315" s="892">
        <v>1.7163999999999999</v>
      </c>
      <c r="G315" s="892">
        <v>1.5883</v>
      </c>
      <c r="H315" s="892">
        <v>1.5883</v>
      </c>
      <c r="I315" s="892">
        <v>1.4286000000000001</v>
      </c>
      <c r="J315" s="892">
        <v>1.4286000000000001</v>
      </c>
      <c r="K315" s="892">
        <v>1.4286000000000001</v>
      </c>
      <c r="L315" s="892">
        <v>1.4286000000000001</v>
      </c>
      <c r="M315" s="892">
        <v>1.4286000000000001</v>
      </c>
    </row>
    <row r="316" spans="1:13">
      <c r="A316" s="885">
        <v>0.8</v>
      </c>
      <c r="B316" s="892">
        <v>1.4382999999999999</v>
      </c>
      <c r="C316" s="892">
        <v>1.4382999999999999</v>
      </c>
      <c r="D316" s="892">
        <v>1.5019</v>
      </c>
      <c r="E316" s="892">
        <v>1.5019</v>
      </c>
      <c r="F316" s="892">
        <v>1.5019</v>
      </c>
      <c r="G316" s="892">
        <v>1.3897999999999999</v>
      </c>
      <c r="H316" s="892">
        <v>1.3897999999999999</v>
      </c>
      <c r="I316" s="892">
        <v>1.25</v>
      </c>
      <c r="J316" s="892">
        <v>1.25</v>
      </c>
      <c r="K316" s="892">
        <v>1.25</v>
      </c>
      <c r="L316" s="892">
        <v>1.25</v>
      </c>
      <c r="M316" s="892">
        <v>1.25</v>
      </c>
    </row>
    <row r="317" spans="1:13">
      <c r="A317" s="885">
        <v>0.9</v>
      </c>
      <c r="B317" s="892">
        <v>1.2784</v>
      </c>
      <c r="C317" s="892">
        <v>1.2784</v>
      </c>
      <c r="D317" s="892">
        <v>1.335</v>
      </c>
      <c r="E317" s="892">
        <v>1.335</v>
      </c>
      <c r="F317" s="892">
        <v>1.335</v>
      </c>
      <c r="G317" s="892">
        <v>1.2353000000000001</v>
      </c>
      <c r="H317" s="892">
        <v>1.2353000000000001</v>
      </c>
      <c r="I317" s="892">
        <v>1.1111</v>
      </c>
      <c r="J317" s="892">
        <v>1.1111</v>
      </c>
      <c r="K317" s="892">
        <v>1.1111</v>
      </c>
      <c r="L317" s="892">
        <v>1.1111</v>
      </c>
      <c r="M317" s="892">
        <v>1.1111</v>
      </c>
    </row>
    <row r="318" spans="1:13">
      <c r="A318" s="885">
        <v>1</v>
      </c>
      <c r="B318" s="892">
        <v>1.1506000000000001</v>
      </c>
      <c r="C318" s="892">
        <v>1.1506000000000001</v>
      </c>
      <c r="D318" s="892">
        <v>1.2015</v>
      </c>
      <c r="E318" s="892">
        <v>1.2015</v>
      </c>
      <c r="F318" s="892">
        <v>1.2015</v>
      </c>
      <c r="G318" s="892">
        <v>1.1117999999999999</v>
      </c>
      <c r="H318" s="892">
        <v>1.1117999999999999</v>
      </c>
      <c r="I318" s="892">
        <v>1</v>
      </c>
      <c r="J318" s="892">
        <v>1</v>
      </c>
      <c r="K318" s="892">
        <v>1</v>
      </c>
      <c r="L318" s="892">
        <v>1</v>
      </c>
      <c r="M318" s="892">
        <v>1</v>
      </c>
    </row>
    <row r="319" spans="1:13">
      <c r="A319" s="885">
        <v>1.1000000000000001</v>
      </c>
      <c r="B319" s="892">
        <v>1.1158999999999999</v>
      </c>
      <c r="C319" s="892">
        <v>1.1158999999999999</v>
      </c>
      <c r="D319" s="892">
        <v>1.1440999999999999</v>
      </c>
      <c r="E319" s="892">
        <v>1.1440999999999999</v>
      </c>
      <c r="F319" s="892">
        <v>1.1440999999999999</v>
      </c>
      <c r="G319" s="892">
        <v>1.0492999999999999</v>
      </c>
      <c r="H319" s="892">
        <v>1.0492999999999999</v>
      </c>
      <c r="I319" s="892">
        <v>0.93730000000000002</v>
      </c>
      <c r="J319" s="892">
        <v>0.93730000000000002</v>
      </c>
      <c r="K319" s="892">
        <v>0.93730000000000002</v>
      </c>
      <c r="L319" s="892">
        <v>0.93730000000000002</v>
      </c>
      <c r="M319" s="892">
        <v>0.93730000000000002</v>
      </c>
    </row>
    <row r="320" spans="1:13">
      <c r="A320" s="885">
        <v>1.2</v>
      </c>
      <c r="B320" s="892">
        <v>1.0837000000000001</v>
      </c>
      <c r="C320" s="892">
        <v>1.0837000000000001</v>
      </c>
      <c r="D320" s="892">
        <v>1.0972999999999999</v>
      </c>
      <c r="E320" s="892">
        <v>1.0972999999999999</v>
      </c>
      <c r="F320" s="892">
        <v>1.0972999999999999</v>
      </c>
      <c r="G320" s="892">
        <v>1</v>
      </c>
      <c r="H320" s="892">
        <v>1</v>
      </c>
      <c r="I320" s="892">
        <v>0.88890000000000002</v>
      </c>
      <c r="J320" s="892">
        <v>0.88890000000000002</v>
      </c>
      <c r="K320" s="892">
        <v>0.88890000000000002</v>
      </c>
      <c r="L320" s="892">
        <v>0.88890000000000002</v>
      </c>
      <c r="M320" s="892">
        <v>0.88890000000000002</v>
      </c>
    </row>
    <row r="321" spans="1:13">
      <c r="A321" s="885">
        <v>1.3</v>
      </c>
      <c r="B321" s="892">
        <v>1.0538000000000001</v>
      </c>
      <c r="C321" s="892">
        <v>1.0538000000000001</v>
      </c>
      <c r="D321" s="892">
        <v>1.0589999999999999</v>
      </c>
      <c r="E321" s="892">
        <v>1.0589999999999999</v>
      </c>
      <c r="F321" s="892">
        <v>1.0589999999999999</v>
      </c>
      <c r="G321" s="892">
        <v>0.96140000000000003</v>
      </c>
      <c r="H321" s="892">
        <v>0.96140000000000003</v>
      </c>
      <c r="I321" s="892">
        <v>0.85209999999999997</v>
      </c>
      <c r="J321" s="892">
        <v>0.85209999999999997</v>
      </c>
      <c r="K321" s="892">
        <v>0.85209999999999997</v>
      </c>
      <c r="L321" s="892">
        <v>0.85209999999999997</v>
      </c>
      <c r="M321" s="892">
        <v>0.85209999999999997</v>
      </c>
    </row>
    <row r="322" spans="1:13">
      <c r="A322" s="885">
        <v>1.4</v>
      </c>
      <c r="B322" s="892">
        <v>1.026</v>
      </c>
      <c r="C322" s="892">
        <v>1.026</v>
      </c>
      <c r="D322" s="892">
        <v>1.0271999999999999</v>
      </c>
      <c r="E322" s="892">
        <v>1.0271999999999999</v>
      </c>
      <c r="F322" s="892">
        <v>1.0271999999999999</v>
      </c>
      <c r="G322" s="892">
        <v>0.93079999999999996</v>
      </c>
      <c r="H322" s="892">
        <v>0.93079999999999996</v>
      </c>
      <c r="I322" s="892">
        <v>0.82379999999999998</v>
      </c>
      <c r="J322" s="892">
        <v>0.82379999999999998</v>
      </c>
      <c r="K322" s="892">
        <v>0.82379999999999998</v>
      </c>
      <c r="L322" s="892">
        <v>0.82379999999999998</v>
      </c>
      <c r="M322" s="892">
        <v>0.82379999999999998</v>
      </c>
    </row>
    <row r="323" spans="1:13">
      <c r="A323" s="885">
        <v>1.5</v>
      </c>
      <c r="B323" s="892">
        <v>1</v>
      </c>
      <c r="C323" s="892">
        <v>1</v>
      </c>
      <c r="D323" s="892">
        <v>1</v>
      </c>
      <c r="E323" s="892">
        <v>1</v>
      </c>
      <c r="F323" s="892">
        <v>1</v>
      </c>
      <c r="G323" s="892">
        <v>0.90559999999999996</v>
      </c>
      <c r="H323" s="892">
        <v>0.90559999999999996</v>
      </c>
      <c r="I323" s="892">
        <v>0.80110000000000003</v>
      </c>
      <c r="J323" s="892">
        <v>0.80110000000000003</v>
      </c>
      <c r="K323" s="892">
        <v>0.80110000000000003</v>
      </c>
      <c r="L323" s="892">
        <v>0.80110000000000003</v>
      </c>
      <c r="M323" s="892">
        <v>0.80110000000000003</v>
      </c>
    </row>
    <row r="324" spans="1:13">
      <c r="A324" s="885">
        <v>1.6</v>
      </c>
      <c r="B324" s="892">
        <v>0.97570000000000001</v>
      </c>
      <c r="C324" s="892">
        <v>0.97570000000000001</v>
      </c>
      <c r="D324" s="892">
        <v>0.97519999999999996</v>
      </c>
      <c r="E324" s="892">
        <v>0.97519999999999996</v>
      </c>
      <c r="F324" s="892">
        <v>0.97519999999999996</v>
      </c>
      <c r="G324" s="892">
        <v>0.8831</v>
      </c>
      <c r="H324" s="892">
        <v>0.8831</v>
      </c>
      <c r="I324" s="892">
        <v>0.78100000000000003</v>
      </c>
      <c r="J324" s="892">
        <v>0.78100000000000003</v>
      </c>
      <c r="K324" s="892">
        <v>0.78100000000000003</v>
      </c>
      <c r="L324" s="892">
        <v>0.78100000000000003</v>
      </c>
      <c r="M324" s="892">
        <v>0.78100000000000003</v>
      </c>
    </row>
    <row r="325" spans="1:13">
      <c r="A325" s="885">
        <v>1.7</v>
      </c>
      <c r="B325" s="892">
        <v>0.95289999999999997</v>
      </c>
      <c r="C325" s="892">
        <v>0.95289999999999997</v>
      </c>
      <c r="D325" s="892">
        <v>0.95189999999999997</v>
      </c>
      <c r="E325" s="892">
        <v>0.95189999999999997</v>
      </c>
      <c r="F325" s="892">
        <v>0.95189999999999997</v>
      </c>
      <c r="G325" s="892">
        <v>0.86180000000000001</v>
      </c>
      <c r="H325" s="892">
        <v>0.86180000000000001</v>
      </c>
      <c r="I325" s="892">
        <v>0.7621</v>
      </c>
      <c r="J325" s="892">
        <v>0.7621</v>
      </c>
      <c r="K325" s="892">
        <v>0.7621</v>
      </c>
      <c r="L325" s="892">
        <v>0.7621</v>
      </c>
      <c r="M325" s="892">
        <v>0.7621</v>
      </c>
    </row>
    <row r="326" spans="1:13">
      <c r="A326" s="885">
        <v>1.8</v>
      </c>
      <c r="B326" s="892">
        <v>0.93149999999999999</v>
      </c>
      <c r="C326" s="892">
        <v>0.93149999999999999</v>
      </c>
      <c r="D326" s="892">
        <v>0.93</v>
      </c>
      <c r="E326" s="892">
        <v>0.93</v>
      </c>
      <c r="F326" s="892">
        <v>0.93</v>
      </c>
      <c r="G326" s="892">
        <v>0.84179999999999999</v>
      </c>
      <c r="H326" s="892">
        <v>0.84179999999999999</v>
      </c>
      <c r="I326" s="892">
        <v>0.74419999999999997</v>
      </c>
      <c r="J326" s="892">
        <v>0.74419999999999997</v>
      </c>
      <c r="K326" s="892">
        <v>0.74419999999999997</v>
      </c>
      <c r="L326" s="892">
        <v>0.74419999999999997</v>
      </c>
      <c r="M326" s="892">
        <v>0.74419999999999997</v>
      </c>
    </row>
    <row r="327" spans="1:13">
      <c r="A327" s="885">
        <v>1.9</v>
      </c>
      <c r="B327" s="892">
        <v>0.91139999999999999</v>
      </c>
      <c r="C327" s="892">
        <v>0.91139999999999999</v>
      </c>
      <c r="D327" s="892">
        <v>0.90939999999999999</v>
      </c>
      <c r="E327" s="892">
        <v>0.90939999999999999</v>
      </c>
      <c r="F327" s="892">
        <v>0.90939999999999999</v>
      </c>
      <c r="G327" s="892">
        <v>0.82289999999999996</v>
      </c>
      <c r="H327" s="892">
        <v>0.82289999999999996</v>
      </c>
      <c r="I327" s="892">
        <v>0.72740000000000005</v>
      </c>
      <c r="J327" s="892">
        <v>0.72740000000000005</v>
      </c>
      <c r="K327" s="892">
        <v>0.72740000000000005</v>
      </c>
      <c r="L327" s="892">
        <v>0.72740000000000005</v>
      </c>
      <c r="M327" s="892">
        <v>0.72740000000000005</v>
      </c>
    </row>
    <row r="328" spans="1:13">
      <c r="A328" s="885">
        <v>2</v>
      </c>
      <c r="B328" s="892">
        <v>0.89270000000000005</v>
      </c>
      <c r="C328" s="892">
        <v>0.89270000000000005</v>
      </c>
      <c r="D328" s="892">
        <v>0.8901</v>
      </c>
      <c r="E328" s="892">
        <v>0.8901</v>
      </c>
      <c r="F328" s="892">
        <v>0.8901</v>
      </c>
      <c r="G328" s="892">
        <v>0.80530000000000002</v>
      </c>
      <c r="H328" s="892">
        <v>0.80530000000000002</v>
      </c>
      <c r="I328" s="892">
        <v>0.71160000000000001</v>
      </c>
      <c r="J328" s="892">
        <v>0.71160000000000001</v>
      </c>
      <c r="K328" s="892">
        <v>0.71160000000000001</v>
      </c>
      <c r="L328" s="892">
        <v>0.71160000000000001</v>
      </c>
      <c r="M328" s="892">
        <v>0.71160000000000001</v>
      </c>
    </row>
    <row r="329" spans="1:13">
      <c r="A329" s="900">
        <v>2.1</v>
      </c>
      <c r="B329" s="892">
        <v>0.87519999999999998</v>
      </c>
      <c r="C329" s="892">
        <v>0.87519999999999998</v>
      </c>
      <c r="D329" s="892">
        <v>0.872</v>
      </c>
      <c r="E329" s="892">
        <v>0.872</v>
      </c>
      <c r="F329" s="892">
        <v>0.872</v>
      </c>
      <c r="G329" s="892">
        <v>0.78869999999999996</v>
      </c>
      <c r="H329" s="892">
        <v>0.78869999999999996</v>
      </c>
      <c r="I329" s="892">
        <v>0.69669999999999999</v>
      </c>
      <c r="J329" s="892">
        <v>0.69669999999999999</v>
      </c>
      <c r="K329" s="892">
        <v>0.69669999999999999</v>
      </c>
      <c r="L329" s="892">
        <v>0.69669999999999999</v>
      </c>
      <c r="M329" s="892">
        <v>0.69669999999999999</v>
      </c>
    </row>
    <row r="330" spans="1:13">
      <c r="A330" s="900">
        <v>2.2000000000000002</v>
      </c>
      <c r="B330" s="892">
        <v>0.85880000000000001</v>
      </c>
      <c r="C330" s="892">
        <v>0.85880000000000001</v>
      </c>
      <c r="D330" s="892">
        <v>0.85499999999999998</v>
      </c>
      <c r="E330" s="892">
        <v>0.85499999999999998</v>
      </c>
      <c r="F330" s="892">
        <v>0.85499999999999998</v>
      </c>
      <c r="G330" s="892">
        <v>0.77300000000000002</v>
      </c>
      <c r="H330" s="892">
        <v>0.77300000000000002</v>
      </c>
      <c r="I330" s="892">
        <v>0.68269999999999997</v>
      </c>
      <c r="J330" s="892">
        <v>0.68269999999999997</v>
      </c>
      <c r="K330" s="892">
        <v>0.68269999999999997</v>
      </c>
      <c r="L330" s="892">
        <v>0.68269999999999997</v>
      </c>
      <c r="M330" s="892">
        <v>0.68269999999999997</v>
      </c>
    </row>
    <row r="331" spans="1:13">
      <c r="A331" s="900">
        <v>2.2999999999999998</v>
      </c>
      <c r="B331" s="892">
        <v>0.84360000000000002</v>
      </c>
      <c r="C331" s="892">
        <v>0.84360000000000002</v>
      </c>
      <c r="D331" s="892">
        <v>0.83899999999999997</v>
      </c>
      <c r="E331" s="892">
        <v>0.83899999999999997</v>
      </c>
      <c r="F331" s="892">
        <v>0.83899999999999997</v>
      </c>
      <c r="G331" s="892">
        <v>0.75839999999999996</v>
      </c>
      <c r="H331" s="892">
        <v>0.75839999999999996</v>
      </c>
      <c r="I331" s="892">
        <v>0.66949999999999998</v>
      </c>
      <c r="J331" s="892">
        <v>0.66949999999999998</v>
      </c>
      <c r="K331" s="892">
        <v>0.66949999999999998</v>
      </c>
      <c r="L331" s="892">
        <v>0.66949999999999998</v>
      </c>
      <c r="M331" s="892">
        <v>0.66949999999999998</v>
      </c>
    </row>
    <row r="332" spans="1:13">
      <c r="A332" s="900">
        <v>2.4</v>
      </c>
      <c r="B332" s="892">
        <v>0.82940000000000003</v>
      </c>
      <c r="C332" s="892">
        <v>0.82940000000000003</v>
      </c>
      <c r="D332" s="892">
        <v>0.82410000000000005</v>
      </c>
      <c r="E332" s="892">
        <v>0.82410000000000005</v>
      </c>
      <c r="F332" s="892">
        <v>0.82410000000000005</v>
      </c>
      <c r="G332" s="892">
        <v>0.74460000000000004</v>
      </c>
      <c r="H332" s="892">
        <v>0.74460000000000004</v>
      </c>
      <c r="I332" s="892">
        <v>0.65710000000000002</v>
      </c>
      <c r="J332" s="892">
        <v>0.65710000000000002</v>
      </c>
      <c r="K332" s="892">
        <v>0.65710000000000002</v>
      </c>
      <c r="L332" s="892">
        <v>0.65710000000000002</v>
      </c>
      <c r="M332" s="892">
        <v>0.65710000000000002</v>
      </c>
    </row>
    <row r="333" spans="1:13">
      <c r="A333" s="900">
        <v>2.5</v>
      </c>
      <c r="B333" s="892">
        <v>0.81620000000000004</v>
      </c>
      <c r="C333" s="892">
        <v>0.81620000000000004</v>
      </c>
      <c r="D333" s="892">
        <v>0.81020000000000003</v>
      </c>
      <c r="E333" s="892">
        <v>0.81020000000000003</v>
      </c>
      <c r="F333" s="892">
        <v>0.81020000000000003</v>
      </c>
      <c r="G333" s="892">
        <v>0.73180000000000001</v>
      </c>
      <c r="H333" s="892">
        <v>0.73180000000000001</v>
      </c>
      <c r="I333" s="892">
        <v>0.64549999999999996</v>
      </c>
      <c r="J333" s="892">
        <v>0.64549999999999996</v>
      </c>
      <c r="K333" s="892">
        <v>0.64549999999999996</v>
      </c>
      <c r="L333" s="892">
        <v>0.64549999999999996</v>
      </c>
      <c r="M333" s="892">
        <v>0.64549999999999996</v>
      </c>
    </row>
    <row r="334" spans="1:13">
      <c r="A334" s="900">
        <v>2.6</v>
      </c>
      <c r="B334" s="892">
        <v>0.80389999999999995</v>
      </c>
      <c r="C334" s="892">
        <v>0.80389999999999995</v>
      </c>
      <c r="D334" s="892">
        <v>0.79710000000000003</v>
      </c>
      <c r="E334" s="892">
        <v>0.79710000000000003</v>
      </c>
      <c r="F334" s="892">
        <v>0.79710000000000003</v>
      </c>
      <c r="G334" s="892">
        <v>0.71970000000000001</v>
      </c>
      <c r="H334" s="892">
        <v>0.71970000000000001</v>
      </c>
      <c r="I334" s="892">
        <v>0.63460000000000005</v>
      </c>
      <c r="J334" s="892">
        <v>0.63460000000000005</v>
      </c>
      <c r="K334" s="892">
        <v>0.63460000000000005</v>
      </c>
      <c r="L334" s="892">
        <v>0.63460000000000005</v>
      </c>
      <c r="M334" s="892">
        <v>0.63460000000000005</v>
      </c>
    </row>
    <row r="335" spans="1:13">
      <c r="A335" s="900">
        <v>2.7</v>
      </c>
      <c r="B335" s="892">
        <v>0.79249999999999998</v>
      </c>
      <c r="C335" s="892">
        <v>0.79249999999999998</v>
      </c>
      <c r="D335" s="892">
        <v>0.78490000000000004</v>
      </c>
      <c r="E335" s="892">
        <v>0.78490000000000004</v>
      </c>
      <c r="F335" s="892">
        <v>0.78490000000000004</v>
      </c>
      <c r="G335" s="892">
        <v>0.70840000000000003</v>
      </c>
      <c r="H335" s="892">
        <v>0.70840000000000003</v>
      </c>
      <c r="I335" s="892">
        <v>0.62439999999999996</v>
      </c>
      <c r="J335" s="892">
        <v>0.62439999999999996</v>
      </c>
      <c r="K335" s="892">
        <v>0.62439999999999996</v>
      </c>
      <c r="L335" s="892">
        <v>0.62439999999999996</v>
      </c>
      <c r="M335" s="892">
        <v>0.62439999999999996</v>
      </c>
    </row>
    <row r="336" spans="1:13">
      <c r="A336" s="900">
        <v>2.8</v>
      </c>
      <c r="B336" s="892">
        <v>0.78190000000000004</v>
      </c>
      <c r="C336" s="892">
        <v>0.78190000000000004</v>
      </c>
      <c r="D336" s="892">
        <v>0.77359999999999995</v>
      </c>
      <c r="E336" s="892">
        <v>0.77359999999999995</v>
      </c>
      <c r="F336" s="892">
        <v>0.77359999999999995</v>
      </c>
      <c r="G336" s="892">
        <v>0.69789999999999996</v>
      </c>
      <c r="H336" s="892">
        <v>0.69789999999999996</v>
      </c>
      <c r="I336" s="892">
        <v>0.61480000000000001</v>
      </c>
      <c r="J336" s="892">
        <v>0.61480000000000001</v>
      </c>
      <c r="K336" s="892">
        <v>0.61480000000000001</v>
      </c>
      <c r="L336" s="892">
        <v>0.61480000000000001</v>
      </c>
      <c r="M336" s="892">
        <v>0.61480000000000001</v>
      </c>
    </row>
    <row r="337" spans="1:13">
      <c r="A337" s="900">
        <v>2.9</v>
      </c>
      <c r="B337" s="892">
        <v>0.77210000000000001</v>
      </c>
      <c r="C337" s="892">
        <v>0.77210000000000001</v>
      </c>
      <c r="D337" s="892">
        <v>0.76300000000000001</v>
      </c>
      <c r="E337" s="892">
        <v>0.76300000000000001</v>
      </c>
      <c r="F337" s="892">
        <v>0.76300000000000001</v>
      </c>
      <c r="G337" s="892">
        <v>0.68799999999999994</v>
      </c>
      <c r="H337" s="892">
        <v>0.68799999999999994</v>
      </c>
      <c r="I337" s="892">
        <v>0.60589999999999999</v>
      </c>
      <c r="J337" s="892">
        <v>0.60589999999999999</v>
      </c>
      <c r="K337" s="892">
        <v>0.60589999999999999</v>
      </c>
      <c r="L337" s="892">
        <v>0.60589999999999999</v>
      </c>
      <c r="M337" s="892">
        <v>0.60589999999999999</v>
      </c>
    </row>
    <row r="338" spans="1:13">
      <c r="A338" s="900">
        <v>3</v>
      </c>
      <c r="B338" s="892">
        <v>0.7631</v>
      </c>
      <c r="C338" s="892">
        <v>0.7631</v>
      </c>
      <c r="D338" s="892">
        <v>0.75309999999999999</v>
      </c>
      <c r="E338" s="892">
        <v>0.75309999999999999</v>
      </c>
      <c r="F338" s="892">
        <v>0.75309999999999999</v>
      </c>
      <c r="G338" s="892">
        <v>0.67879999999999996</v>
      </c>
      <c r="H338" s="892">
        <v>0.67879999999999996</v>
      </c>
      <c r="I338" s="892">
        <v>0.59750000000000003</v>
      </c>
      <c r="J338" s="892">
        <v>0.59750000000000003</v>
      </c>
      <c r="K338" s="892">
        <v>0.59750000000000003</v>
      </c>
      <c r="L338" s="892">
        <v>0.59750000000000003</v>
      </c>
      <c r="M338" s="892">
        <v>0.59750000000000003</v>
      </c>
    </row>
    <row r="339" spans="1:13">
      <c r="A339" s="900">
        <v>3.1</v>
      </c>
      <c r="B339" s="892">
        <v>0.75470000000000004</v>
      </c>
      <c r="C339" s="892">
        <v>0.75470000000000004</v>
      </c>
      <c r="D339" s="892">
        <v>0.74399999999999999</v>
      </c>
      <c r="E339" s="892">
        <v>0.74399999999999999</v>
      </c>
      <c r="F339" s="892">
        <v>0.74399999999999999</v>
      </c>
      <c r="G339" s="892">
        <v>0.67020000000000002</v>
      </c>
      <c r="H339" s="892">
        <v>0.67020000000000002</v>
      </c>
      <c r="I339" s="892">
        <v>0.5897</v>
      </c>
      <c r="J339" s="892">
        <v>0.5897</v>
      </c>
      <c r="K339" s="892">
        <v>0.5897</v>
      </c>
      <c r="L339" s="892">
        <v>0.5897</v>
      </c>
      <c r="M339" s="892">
        <v>0.5897</v>
      </c>
    </row>
    <row r="340" spans="1:13">
      <c r="A340" s="900">
        <v>3.2</v>
      </c>
      <c r="B340" s="892">
        <v>0.747</v>
      </c>
      <c r="C340" s="892">
        <v>0.747</v>
      </c>
      <c r="D340" s="892">
        <v>0.73540000000000005</v>
      </c>
      <c r="E340" s="892">
        <v>0.73540000000000005</v>
      </c>
      <c r="F340" s="892">
        <v>0.73540000000000005</v>
      </c>
      <c r="G340" s="892">
        <v>0.66220000000000001</v>
      </c>
      <c r="H340" s="892">
        <v>0.66220000000000001</v>
      </c>
      <c r="I340" s="892">
        <v>0.58230000000000004</v>
      </c>
      <c r="J340" s="892">
        <v>0.58230000000000004</v>
      </c>
      <c r="K340" s="892">
        <v>0.58230000000000004</v>
      </c>
      <c r="L340" s="892">
        <v>0.58230000000000004</v>
      </c>
      <c r="M340" s="892">
        <v>0.58230000000000004</v>
      </c>
    </row>
    <row r="341" spans="1:13">
      <c r="A341" s="900">
        <v>3.3</v>
      </c>
      <c r="B341" s="892">
        <v>0.7399</v>
      </c>
      <c r="C341" s="892">
        <v>0.7399</v>
      </c>
      <c r="D341" s="892">
        <v>0.72750000000000004</v>
      </c>
      <c r="E341" s="892">
        <v>0.72750000000000004</v>
      </c>
      <c r="F341" s="892">
        <v>0.72750000000000004</v>
      </c>
      <c r="G341" s="892">
        <v>0.65480000000000005</v>
      </c>
      <c r="H341" s="892">
        <v>0.65480000000000005</v>
      </c>
      <c r="I341" s="892">
        <v>0.57540000000000002</v>
      </c>
      <c r="J341" s="892">
        <v>0.57540000000000002</v>
      </c>
      <c r="K341" s="892">
        <v>0.57540000000000002</v>
      </c>
      <c r="L341" s="892">
        <v>0.57540000000000002</v>
      </c>
      <c r="M341" s="892">
        <v>0.57540000000000002</v>
      </c>
    </row>
    <row r="342" spans="1:13">
      <c r="A342" s="900">
        <v>3.4</v>
      </c>
      <c r="B342" s="892">
        <v>0.73340000000000005</v>
      </c>
      <c r="C342" s="892">
        <v>0.73340000000000005</v>
      </c>
      <c r="D342" s="892">
        <v>0.72009999999999996</v>
      </c>
      <c r="E342" s="892">
        <v>0.72009999999999996</v>
      </c>
      <c r="F342" s="892">
        <v>0.72009999999999996</v>
      </c>
      <c r="G342" s="892">
        <v>0.64780000000000004</v>
      </c>
      <c r="H342" s="892">
        <v>0.64780000000000004</v>
      </c>
      <c r="I342" s="892">
        <v>0.56899999999999995</v>
      </c>
      <c r="J342" s="892">
        <v>0.56899999999999995</v>
      </c>
      <c r="K342" s="892">
        <v>0.56899999999999995</v>
      </c>
      <c r="L342" s="892">
        <v>0.56899999999999995</v>
      </c>
      <c r="M342" s="892">
        <v>0.56899999999999995</v>
      </c>
    </row>
    <row r="343" spans="1:13">
      <c r="A343" s="900">
        <v>3.5</v>
      </c>
      <c r="B343" s="892">
        <v>0.72740000000000005</v>
      </c>
      <c r="C343" s="892">
        <v>0.72740000000000005</v>
      </c>
      <c r="D343" s="892">
        <v>0.71330000000000005</v>
      </c>
      <c r="E343" s="892">
        <v>0.71330000000000005</v>
      </c>
      <c r="F343" s="892">
        <v>0.71330000000000005</v>
      </c>
      <c r="G343" s="892">
        <v>0.64129999999999998</v>
      </c>
      <c r="H343" s="892">
        <v>0.64129999999999998</v>
      </c>
      <c r="I343" s="892">
        <v>0.56310000000000004</v>
      </c>
      <c r="J343" s="892">
        <v>0.56310000000000004</v>
      </c>
      <c r="K343" s="892">
        <v>0.56310000000000004</v>
      </c>
      <c r="L343" s="892">
        <v>0.56310000000000004</v>
      </c>
      <c r="M343" s="892">
        <v>0.56310000000000004</v>
      </c>
    </row>
    <row r="344" spans="1:13">
      <c r="A344" s="900">
        <v>3.6</v>
      </c>
      <c r="B344" s="892">
        <v>0.72189999999999999</v>
      </c>
      <c r="C344" s="892">
        <v>0.72189999999999999</v>
      </c>
      <c r="D344" s="892">
        <v>0.70699999999999996</v>
      </c>
      <c r="E344" s="892">
        <v>0.70699999999999996</v>
      </c>
      <c r="F344" s="892">
        <v>0.70699999999999996</v>
      </c>
      <c r="G344" s="892">
        <v>0.63529999999999998</v>
      </c>
      <c r="H344" s="892">
        <v>0.63529999999999998</v>
      </c>
      <c r="I344" s="892">
        <v>0.5575</v>
      </c>
      <c r="J344" s="892">
        <v>0.5575</v>
      </c>
      <c r="K344" s="892">
        <v>0.5575</v>
      </c>
      <c r="L344" s="892">
        <v>0.5575</v>
      </c>
      <c r="M344" s="892">
        <v>0.5575</v>
      </c>
    </row>
    <row r="345" spans="1:13">
      <c r="A345" s="900">
        <v>3.7</v>
      </c>
      <c r="B345" s="892">
        <v>0.71679999999999999</v>
      </c>
      <c r="C345" s="892">
        <v>0.71679999999999999</v>
      </c>
      <c r="D345" s="892">
        <v>0.70109999999999995</v>
      </c>
      <c r="E345" s="892">
        <v>0.70109999999999995</v>
      </c>
      <c r="F345" s="892">
        <v>0.70109999999999995</v>
      </c>
      <c r="G345" s="892">
        <v>0.62970000000000004</v>
      </c>
      <c r="H345" s="892">
        <v>0.62970000000000004</v>
      </c>
      <c r="I345" s="892">
        <v>0.55230000000000001</v>
      </c>
      <c r="J345" s="892">
        <v>0.55230000000000001</v>
      </c>
      <c r="K345" s="892">
        <v>0.55230000000000001</v>
      </c>
      <c r="L345" s="892">
        <v>0.55230000000000001</v>
      </c>
      <c r="M345" s="892">
        <v>0.55230000000000001</v>
      </c>
    </row>
    <row r="346" spans="1:13">
      <c r="A346" s="900">
        <v>3.8</v>
      </c>
      <c r="B346" s="892">
        <v>0.71220000000000006</v>
      </c>
      <c r="C346" s="892">
        <v>0.71220000000000006</v>
      </c>
      <c r="D346" s="892">
        <v>0.6956</v>
      </c>
      <c r="E346" s="892">
        <v>0.6956</v>
      </c>
      <c r="F346" s="892">
        <v>0.6956</v>
      </c>
      <c r="G346" s="892">
        <v>0.62439999999999996</v>
      </c>
      <c r="H346" s="892">
        <v>0.62439999999999996</v>
      </c>
      <c r="I346" s="892">
        <v>0.5474</v>
      </c>
      <c r="J346" s="892">
        <v>0.5474</v>
      </c>
      <c r="K346" s="892">
        <v>0.5474</v>
      </c>
      <c r="L346" s="892">
        <v>0.5474</v>
      </c>
      <c r="M346" s="892">
        <v>0.5474</v>
      </c>
    </row>
    <row r="347" spans="1:13">
      <c r="A347" s="900">
        <v>3.9</v>
      </c>
      <c r="B347" s="892">
        <v>0.70799999999999996</v>
      </c>
      <c r="C347" s="892">
        <v>0.70799999999999996</v>
      </c>
      <c r="D347" s="892">
        <v>0.69059999999999999</v>
      </c>
      <c r="E347" s="892">
        <v>0.69059999999999999</v>
      </c>
      <c r="F347" s="892">
        <v>0.69059999999999999</v>
      </c>
      <c r="G347" s="892">
        <v>0.61950000000000005</v>
      </c>
      <c r="H347" s="892">
        <v>0.61950000000000005</v>
      </c>
      <c r="I347" s="892">
        <v>0.54279999999999995</v>
      </c>
      <c r="J347" s="892">
        <v>0.54279999999999995</v>
      </c>
      <c r="K347" s="892">
        <v>0.54279999999999995</v>
      </c>
      <c r="L347" s="892">
        <v>0.54279999999999995</v>
      </c>
      <c r="M347" s="892">
        <v>0.54279999999999995</v>
      </c>
    </row>
    <row r="348" spans="1:13">
      <c r="A348" s="900">
        <v>4</v>
      </c>
      <c r="B348" s="892">
        <v>0.70409999999999995</v>
      </c>
      <c r="C348" s="892">
        <v>0.70409999999999995</v>
      </c>
      <c r="D348" s="892">
        <v>0.68589999999999995</v>
      </c>
      <c r="E348" s="892">
        <v>0.68589999999999995</v>
      </c>
      <c r="F348" s="892">
        <v>0.68589999999999995</v>
      </c>
      <c r="G348" s="892">
        <v>0.61499999999999999</v>
      </c>
      <c r="H348" s="892">
        <v>0.61499999999999999</v>
      </c>
      <c r="I348" s="892">
        <v>0.53859999999999997</v>
      </c>
      <c r="J348" s="892">
        <v>0.53859999999999997</v>
      </c>
      <c r="K348" s="892">
        <v>0.53859999999999997</v>
      </c>
      <c r="L348" s="892">
        <v>0.53859999999999997</v>
      </c>
      <c r="M348" s="892">
        <v>0.53859999999999997</v>
      </c>
    </row>
    <row r="349" spans="1:13">
      <c r="A349" s="900">
        <v>4.0999999999999996</v>
      </c>
      <c r="B349" s="892">
        <v>0.7006</v>
      </c>
      <c r="C349" s="892">
        <v>0.7006</v>
      </c>
      <c r="D349" s="892">
        <v>0.68159999999999998</v>
      </c>
      <c r="E349" s="892">
        <v>0.68159999999999998</v>
      </c>
      <c r="F349" s="892">
        <v>0.68159999999999998</v>
      </c>
      <c r="G349" s="892">
        <v>0.61080000000000001</v>
      </c>
      <c r="H349" s="892">
        <v>0.61080000000000001</v>
      </c>
      <c r="I349" s="892">
        <v>0.53459999999999996</v>
      </c>
      <c r="J349" s="892">
        <v>0.53459999999999996</v>
      </c>
      <c r="K349" s="892">
        <v>0.53459999999999996</v>
      </c>
      <c r="L349" s="892">
        <v>0.53459999999999996</v>
      </c>
      <c r="M349" s="892">
        <v>0.53459999999999996</v>
      </c>
    </row>
    <row r="350" spans="1:13">
      <c r="A350" s="900">
        <v>4.2</v>
      </c>
      <c r="B350" s="892">
        <v>0.69740000000000002</v>
      </c>
      <c r="C350" s="892">
        <v>0.69740000000000002</v>
      </c>
      <c r="D350" s="892">
        <v>0.67759999999999998</v>
      </c>
      <c r="E350" s="892">
        <v>0.67759999999999998</v>
      </c>
      <c r="F350" s="892">
        <v>0.67759999999999998</v>
      </c>
      <c r="G350" s="892">
        <v>0.60699999999999998</v>
      </c>
      <c r="H350" s="892">
        <v>0.60699999999999998</v>
      </c>
      <c r="I350" s="892">
        <v>0.53090000000000004</v>
      </c>
      <c r="J350" s="892">
        <v>0.53090000000000004</v>
      </c>
      <c r="K350" s="892">
        <v>0.53090000000000004</v>
      </c>
      <c r="L350" s="892">
        <v>0.53090000000000004</v>
      </c>
      <c r="M350" s="892">
        <v>0.53090000000000004</v>
      </c>
    </row>
    <row r="351" spans="1:13">
      <c r="A351" s="900">
        <v>4.3</v>
      </c>
      <c r="B351" s="892">
        <v>0.69450000000000001</v>
      </c>
      <c r="C351" s="892">
        <v>0.69450000000000001</v>
      </c>
      <c r="D351" s="892">
        <v>0.67390000000000005</v>
      </c>
      <c r="E351" s="892">
        <v>0.67390000000000005</v>
      </c>
      <c r="F351" s="892">
        <v>0.67390000000000005</v>
      </c>
      <c r="G351" s="892">
        <v>0.60329999999999995</v>
      </c>
      <c r="H351" s="892">
        <v>0.60329999999999995</v>
      </c>
      <c r="I351" s="892">
        <v>0.52739999999999998</v>
      </c>
      <c r="J351" s="892">
        <v>0.52739999999999998</v>
      </c>
      <c r="K351" s="892">
        <v>0.52739999999999998</v>
      </c>
      <c r="L351" s="892">
        <v>0.52739999999999998</v>
      </c>
      <c r="M351" s="892">
        <v>0.52739999999999998</v>
      </c>
    </row>
    <row r="352" spans="1:13">
      <c r="A352" s="900">
        <v>4.4000000000000004</v>
      </c>
      <c r="B352" s="892">
        <v>0.69179999999999997</v>
      </c>
      <c r="C352" s="892">
        <v>0.69179999999999997</v>
      </c>
      <c r="D352" s="892">
        <v>0.67049999999999998</v>
      </c>
      <c r="E352" s="892">
        <v>0.67049999999999998</v>
      </c>
      <c r="F352" s="892">
        <v>0.67049999999999998</v>
      </c>
      <c r="G352" s="892">
        <v>0.59989999999999999</v>
      </c>
      <c r="H352" s="892">
        <v>0.59989999999999999</v>
      </c>
      <c r="I352" s="892">
        <v>0.5242</v>
      </c>
      <c r="J352" s="892">
        <v>0.5242</v>
      </c>
      <c r="K352" s="892">
        <v>0.5242</v>
      </c>
      <c r="L352" s="892">
        <v>0.5242</v>
      </c>
      <c r="M352" s="892">
        <v>0.5242</v>
      </c>
    </row>
    <row r="353" spans="1:13">
      <c r="A353" s="900">
        <v>4.5</v>
      </c>
      <c r="B353" s="892">
        <v>0.68940000000000001</v>
      </c>
      <c r="C353" s="892">
        <v>0.68940000000000001</v>
      </c>
      <c r="D353" s="892">
        <v>0.6673</v>
      </c>
      <c r="E353" s="892">
        <v>0.6673</v>
      </c>
      <c r="F353" s="892">
        <v>0.6673</v>
      </c>
      <c r="G353" s="892">
        <v>0.59670000000000001</v>
      </c>
      <c r="H353" s="892">
        <v>0.59670000000000001</v>
      </c>
      <c r="I353" s="892">
        <v>0.52110000000000001</v>
      </c>
      <c r="J353" s="892">
        <v>0.52110000000000001</v>
      </c>
      <c r="K353" s="892">
        <v>0.52110000000000001</v>
      </c>
      <c r="L353" s="892">
        <v>0.52110000000000001</v>
      </c>
      <c r="M353" s="892">
        <v>0.52110000000000001</v>
      </c>
    </row>
    <row r="354" spans="1:13">
      <c r="A354" s="900">
        <v>4.5999999999999996</v>
      </c>
      <c r="B354" s="892">
        <v>0.68720000000000003</v>
      </c>
      <c r="C354" s="892">
        <v>0.68720000000000003</v>
      </c>
      <c r="D354" s="892">
        <v>0.6643</v>
      </c>
      <c r="E354" s="892">
        <v>0.6643</v>
      </c>
      <c r="F354" s="892">
        <v>0.6643</v>
      </c>
      <c r="G354" s="892">
        <v>0.59379999999999999</v>
      </c>
      <c r="H354" s="892">
        <v>0.59379999999999999</v>
      </c>
      <c r="I354" s="892">
        <v>0.51819999999999999</v>
      </c>
      <c r="J354" s="892">
        <v>0.51819999999999999</v>
      </c>
      <c r="K354" s="892">
        <v>0.51819999999999999</v>
      </c>
      <c r="L354" s="892">
        <v>0.51819999999999999</v>
      </c>
      <c r="M354" s="892">
        <v>0.51819999999999999</v>
      </c>
    </row>
    <row r="355" spans="1:13">
      <c r="A355" s="900">
        <v>4.7</v>
      </c>
      <c r="B355" s="892">
        <v>0.68520000000000003</v>
      </c>
      <c r="C355" s="892">
        <v>0.68520000000000003</v>
      </c>
      <c r="D355" s="892">
        <v>0.66149999999999998</v>
      </c>
      <c r="E355" s="892">
        <v>0.66149999999999998</v>
      </c>
      <c r="F355" s="892">
        <v>0.66149999999999998</v>
      </c>
      <c r="G355" s="892">
        <v>0.59109999999999996</v>
      </c>
      <c r="H355" s="892">
        <v>0.59109999999999996</v>
      </c>
      <c r="I355" s="892">
        <v>0.51559999999999995</v>
      </c>
      <c r="J355" s="892">
        <v>0.51559999999999995</v>
      </c>
      <c r="K355" s="892">
        <v>0.51559999999999995</v>
      </c>
      <c r="L355" s="892">
        <v>0.51559999999999995</v>
      </c>
      <c r="M355" s="892">
        <v>0.51559999999999995</v>
      </c>
    </row>
    <row r="356" spans="1:13">
      <c r="A356" s="900">
        <v>4.8</v>
      </c>
      <c r="B356" s="892">
        <v>0.68340000000000001</v>
      </c>
      <c r="C356" s="892">
        <v>0.68340000000000001</v>
      </c>
      <c r="D356" s="892">
        <v>0.65900000000000003</v>
      </c>
      <c r="E356" s="892">
        <v>0.65900000000000003</v>
      </c>
      <c r="F356" s="892">
        <v>0.65900000000000003</v>
      </c>
      <c r="G356" s="892">
        <v>0.58850000000000002</v>
      </c>
      <c r="H356" s="892">
        <v>0.58850000000000002</v>
      </c>
      <c r="I356" s="892">
        <v>0.51300000000000001</v>
      </c>
      <c r="J356" s="892">
        <v>0.51300000000000001</v>
      </c>
      <c r="K356" s="892">
        <v>0.51300000000000001</v>
      </c>
      <c r="L356" s="892">
        <v>0.51300000000000001</v>
      </c>
      <c r="M356" s="892">
        <v>0.51300000000000001</v>
      </c>
    </row>
    <row r="357" spans="1:13">
      <c r="A357" s="900">
        <v>4.9000000000000004</v>
      </c>
      <c r="B357" s="892">
        <v>0.68179999999999996</v>
      </c>
      <c r="C357" s="892">
        <v>0.68179999999999996</v>
      </c>
      <c r="D357" s="892">
        <v>0.65659999999999996</v>
      </c>
      <c r="E357" s="892">
        <v>0.65659999999999996</v>
      </c>
      <c r="F357" s="892">
        <v>0.65659999999999996</v>
      </c>
      <c r="G357" s="892">
        <v>0.58599999999999997</v>
      </c>
      <c r="H357" s="892">
        <v>0.58599999999999997</v>
      </c>
      <c r="I357" s="892">
        <v>0.51060000000000005</v>
      </c>
      <c r="J357" s="892">
        <v>0.51060000000000005</v>
      </c>
      <c r="K357" s="892">
        <v>0.51060000000000005</v>
      </c>
      <c r="L357" s="892">
        <v>0.51060000000000005</v>
      </c>
      <c r="M357" s="892">
        <v>0.51060000000000005</v>
      </c>
    </row>
    <row r="358" spans="1:13">
      <c r="A358" s="900">
        <v>5</v>
      </c>
      <c r="B358" s="892">
        <v>0.68030000000000002</v>
      </c>
      <c r="C358" s="892">
        <v>0.68030000000000002</v>
      </c>
      <c r="D358" s="892">
        <v>0.65439999999999998</v>
      </c>
      <c r="E358" s="892">
        <v>0.65439999999999998</v>
      </c>
      <c r="F358" s="892">
        <v>0.65439999999999998</v>
      </c>
      <c r="G358" s="892">
        <v>0.58379999999999999</v>
      </c>
      <c r="H358" s="892">
        <v>0.58379999999999999</v>
      </c>
      <c r="I358" s="892">
        <v>0.50839999999999996</v>
      </c>
      <c r="J358" s="892">
        <v>0.50839999999999996</v>
      </c>
      <c r="K358" s="892">
        <v>0.50839999999999996</v>
      </c>
      <c r="L358" s="892">
        <v>0.50839999999999996</v>
      </c>
      <c r="M358" s="892">
        <v>0.50839999999999996</v>
      </c>
    </row>
    <row r="359" spans="1:13">
      <c r="A359" s="885">
        <v>5.0999999999999996</v>
      </c>
      <c r="B359" s="892">
        <v>0.67889999999999995</v>
      </c>
      <c r="C359" s="892">
        <v>0.67889999999999995</v>
      </c>
      <c r="D359" s="892">
        <v>0.65229999999999999</v>
      </c>
      <c r="E359" s="892">
        <v>0.65229999999999999</v>
      </c>
      <c r="F359" s="892">
        <v>0.65229999999999999</v>
      </c>
      <c r="G359" s="892">
        <v>0.58160000000000001</v>
      </c>
      <c r="H359" s="892">
        <v>0.58160000000000001</v>
      </c>
      <c r="I359" s="892">
        <v>0.50629999999999997</v>
      </c>
      <c r="J359" s="892">
        <v>0.50629999999999997</v>
      </c>
      <c r="K359" s="892">
        <v>0.50629999999999997</v>
      </c>
      <c r="L359" s="892">
        <v>0.50629999999999997</v>
      </c>
      <c r="M359" s="892">
        <v>0.50629999999999997</v>
      </c>
    </row>
    <row r="360" spans="1:13">
      <c r="A360" s="885">
        <v>5.2</v>
      </c>
      <c r="B360" s="892">
        <v>0.67749999999999999</v>
      </c>
      <c r="C360" s="892">
        <v>0.67749999999999999</v>
      </c>
      <c r="D360" s="892">
        <v>0.65029999999999999</v>
      </c>
      <c r="E360" s="892">
        <v>0.65029999999999999</v>
      </c>
      <c r="F360" s="892">
        <v>0.65029999999999999</v>
      </c>
      <c r="G360" s="892">
        <v>0.57950000000000002</v>
      </c>
      <c r="H360" s="892">
        <v>0.57950000000000002</v>
      </c>
      <c r="I360" s="892">
        <v>0.50419999999999998</v>
      </c>
      <c r="J360" s="892">
        <v>0.50419999999999998</v>
      </c>
      <c r="K360" s="892">
        <v>0.50419999999999998</v>
      </c>
      <c r="L360" s="892">
        <v>0.50419999999999998</v>
      </c>
      <c r="M360" s="892">
        <v>0.50419999999999998</v>
      </c>
    </row>
    <row r="361" spans="1:13">
      <c r="A361" s="885">
        <v>5.3</v>
      </c>
      <c r="B361" s="892">
        <v>0.67620000000000002</v>
      </c>
      <c r="C361" s="892">
        <v>0.67620000000000002</v>
      </c>
      <c r="D361" s="892">
        <v>0.64839999999999998</v>
      </c>
      <c r="E361" s="892">
        <v>0.64839999999999998</v>
      </c>
      <c r="F361" s="892">
        <v>0.64839999999999998</v>
      </c>
      <c r="G361" s="892">
        <v>0.5776</v>
      </c>
      <c r="H361" s="892">
        <v>0.5776</v>
      </c>
      <c r="I361" s="892">
        <v>0.50229999999999997</v>
      </c>
      <c r="J361" s="892">
        <v>0.50229999999999997</v>
      </c>
      <c r="K361" s="892">
        <v>0.50229999999999997</v>
      </c>
      <c r="L361" s="892">
        <v>0.50229999999999997</v>
      </c>
      <c r="M361" s="892">
        <v>0.50229999999999997</v>
      </c>
    </row>
    <row r="362" spans="1:13">
      <c r="A362" s="885">
        <v>5.4</v>
      </c>
      <c r="B362" s="892">
        <v>0.67500000000000004</v>
      </c>
      <c r="C362" s="892">
        <v>0.67500000000000004</v>
      </c>
      <c r="D362" s="892">
        <v>0.64670000000000005</v>
      </c>
      <c r="E362" s="892">
        <v>0.64670000000000005</v>
      </c>
      <c r="F362" s="892">
        <v>0.64670000000000005</v>
      </c>
      <c r="G362" s="892">
        <v>0.57579999999999998</v>
      </c>
      <c r="H362" s="892">
        <v>0.57579999999999998</v>
      </c>
      <c r="I362" s="892">
        <v>0.50039999999999996</v>
      </c>
      <c r="J362" s="892">
        <v>0.50039999999999996</v>
      </c>
      <c r="K362" s="892">
        <v>0.50039999999999996</v>
      </c>
      <c r="L362" s="892">
        <v>0.50039999999999996</v>
      </c>
      <c r="M362" s="892">
        <v>0.50039999999999996</v>
      </c>
    </row>
    <row r="363" spans="1:13">
      <c r="A363" s="885">
        <v>5.5</v>
      </c>
      <c r="B363" s="892">
        <v>0.67379999999999995</v>
      </c>
      <c r="C363" s="892">
        <v>0.67379999999999995</v>
      </c>
      <c r="D363" s="892">
        <v>0.64500000000000002</v>
      </c>
      <c r="E363" s="892">
        <v>0.64500000000000002</v>
      </c>
      <c r="F363" s="892">
        <v>0.64500000000000002</v>
      </c>
      <c r="G363" s="892">
        <v>0.57399999999999995</v>
      </c>
      <c r="H363" s="892">
        <v>0.57399999999999995</v>
      </c>
      <c r="I363" s="892">
        <v>0.49869999999999998</v>
      </c>
      <c r="J363" s="892">
        <v>0.49869999999999998</v>
      </c>
      <c r="K363" s="892">
        <v>0.49869999999999998</v>
      </c>
      <c r="L363" s="892">
        <v>0.49869999999999998</v>
      </c>
      <c r="M363" s="892">
        <v>0.49869999999999998</v>
      </c>
    </row>
    <row r="364" spans="1:13">
      <c r="A364" s="885">
        <v>5.6</v>
      </c>
      <c r="B364" s="892">
        <v>0.67259999999999998</v>
      </c>
      <c r="C364" s="892">
        <v>0.67259999999999998</v>
      </c>
      <c r="D364" s="892">
        <v>0.64339999999999997</v>
      </c>
      <c r="E364" s="892">
        <v>0.64339999999999997</v>
      </c>
      <c r="F364" s="892">
        <v>0.64339999999999997</v>
      </c>
      <c r="G364" s="892">
        <v>0.57240000000000002</v>
      </c>
      <c r="H364" s="892">
        <v>0.57240000000000002</v>
      </c>
      <c r="I364" s="892">
        <v>0.49690000000000001</v>
      </c>
      <c r="J364" s="892">
        <v>0.49690000000000001</v>
      </c>
      <c r="K364" s="892">
        <v>0.49690000000000001</v>
      </c>
      <c r="L364" s="892">
        <v>0.49690000000000001</v>
      </c>
      <c r="M364" s="892">
        <v>0.49690000000000001</v>
      </c>
    </row>
    <row r="365" spans="1:13">
      <c r="A365" s="900">
        <v>5.7</v>
      </c>
      <c r="B365" s="892">
        <v>0.6714</v>
      </c>
      <c r="C365" s="892">
        <v>0.6714</v>
      </c>
      <c r="D365" s="892">
        <v>0.64190000000000003</v>
      </c>
      <c r="E365" s="892">
        <v>0.64190000000000003</v>
      </c>
      <c r="F365" s="892">
        <v>0.64190000000000003</v>
      </c>
      <c r="G365" s="892">
        <v>0.57069999999999999</v>
      </c>
      <c r="H365" s="892">
        <v>0.57069999999999999</v>
      </c>
      <c r="I365" s="892">
        <v>0.49519999999999997</v>
      </c>
      <c r="J365" s="892">
        <v>0.49519999999999997</v>
      </c>
      <c r="K365" s="892">
        <v>0.49519999999999997</v>
      </c>
      <c r="L365" s="892">
        <v>0.49519999999999997</v>
      </c>
      <c r="M365" s="892">
        <v>0.49519999999999997</v>
      </c>
    </row>
    <row r="366" spans="1:13">
      <c r="A366" s="885">
        <v>5.8</v>
      </c>
      <c r="B366" s="892">
        <v>0.67020000000000002</v>
      </c>
      <c r="C366" s="892">
        <v>0.67020000000000002</v>
      </c>
      <c r="D366" s="892">
        <v>0.64039999999999997</v>
      </c>
      <c r="E366" s="892">
        <v>0.64039999999999997</v>
      </c>
      <c r="F366" s="892">
        <v>0.64039999999999997</v>
      </c>
      <c r="G366" s="892">
        <v>0.56910000000000005</v>
      </c>
      <c r="H366" s="892">
        <v>0.56910000000000005</v>
      </c>
      <c r="I366" s="892">
        <v>0.49359999999999998</v>
      </c>
      <c r="J366" s="892">
        <v>0.49359999999999998</v>
      </c>
      <c r="K366" s="892">
        <v>0.49359999999999998</v>
      </c>
      <c r="L366" s="892">
        <v>0.49359999999999998</v>
      </c>
      <c r="M366" s="892">
        <v>0.49359999999999998</v>
      </c>
    </row>
    <row r="367" spans="1:13">
      <c r="A367" s="885">
        <v>5.9</v>
      </c>
      <c r="B367" s="892">
        <v>0.66910000000000003</v>
      </c>
      <c r="C367" s="892">
        <v>0.66910000000000003</v>
      </c>
      <c r="D367" s="892">
        <v>0.63890000000000002</v>
      </c>
      <c r="E367" s="892">
        <v>0.63890000000000002</v>
      </c>
      <c r="F367" s="892">
        <v>0.63890000000000002</v>
      </c>
      <c r="G367" s="892">
        <v>0.5675</v>
      </c>
      <c r="H367" s="892">
        <v>0.5675</v>
      </c>
      <c r="I367" s="892">
        <v>0.4919</v>
      </c>
      <c r="J367" s="892">
        <v>0.4919</v>
      </c>
      <c r="K367" s="892">
        <v>0.4919</v>
      </c>
      <c r="L367" s="892">
        <v>0.4919</v>
      </c>
      <c r="M367" s="892">
        <v>0.4919</v>
      </c>
    </row>
    <row r="368" spans="1:13">
      <c r="A368" s="885">
        <v>6</v>
      </c>
      <c r="B368" s="892">
        <v>0.66800000000000004</v>
      </c>
      <c r="C368" s="892">
        <v>0.66800000000000004</v>
      </c>
      <c r="D368" s="892">
        <v>0.63739999999999997</v>
      </c>
      <c r="E368" s="892">
        <v>0.63739999999999997</v>
      </c>
      <c r="F368" s="892">
        <v>0.63739999999999997</v>
      </c>
      <c r="G368" s="892">
        <v>0.56589999999999996</v>
      </c>
      <c r="H368" s="892">
        <v>0.56589999999999996</v>
      </c>
      <c r="I368" s="892">
        <v>0.49020000000000002</v>
      </c>
      <c r="J368" s="892">
        <v>0.49020000000000002</v>
      </c>
      <c r="K368" s="892">
        <v>0.49020000000000002</v>
      </c>
      <c r="L368" s="892">
        <v>0.49020000000000002</v>
      </c>
      <c r="M368" s="892">
        <v>0.49020000000000002</v>
      </c>
    </row>
    <row r="369" spans="1:13">
      <c r="A369" s="885">
        <v>6.1</v>
      </c>
      <c r="B369" s="892">
        <v>0.66690000000000005</v>
      </c>
      <c r="C369" s="892">
        <v>0.66690000000000005</v>
      </c>
      <c r="D369" s="892">
        <v>0.63590000000000002</v>
      </c>
      <c r="E369" s="892">
        <v>0.63590000000000002</v>
      </c>
      <c r="F369" s="892">
        <v>0.63590000000000002</v>
      </c>
      <c r="G369" s="892">
        <v>0.56440000000000001</v>
      </c>
      <c r="H369" s="892">
        <v>0.56440000000000001</v>
      </c>
      <c r="I369" s="892">
        <v>0.48849999999999999</v>
      </c>
      <c r="J369" s="892">
        <v>0.48849999999999999</v>
      </c>
      <c r="K369" s="892">
        <v>0.48849999999999999</v>
      </c>
      <c r="L369" s="892">
        <v>0.48849999999999999</v>
      </c>
      <c r="M369" s="892">
        <v>0.48849999999999999</v>
      </c>
    </row>
    <row r="370" spans="1:13">
      <c r="A370" s="885">
        <v>6.2</v>
      </c>
      <c r="B370" s="892">
        <v>0.66579999999999995</v>
      </c>
      <c r="C370" s="892">
        <v>0.66579999999999995</v>
      </c>
      <c r="D370" s="892">
        <v>0.63439999999999996</v>
      </c>
      <c r="E370" s="892">
        <v>0.63439999999999996</v>
      </c>
      <c r="F370" s="892">
        <v>0.63439999999999996</v>
      </c>
      <c r="G370" s="892">
        <v>0.56289999999999996</v>
      </c>
      <c r="H370" s="892">
        <v>0.56289999999999996</v>
      </c>
      <c r="I370" s="892">
        <v>0.48680000000000001</v>
      </c>
      <c r="J370" s="892">
        <v>0.48680000000000001</v>
      </c>
      <c r="K370" s="892">
        <v>0.48680000000000001</v>
      </c>
      <c r="L370" s="892">
        <v>0.48680000000000001</v>
      </c>
      <c r="M370" s="892">
        <v>0.48680000000000001</v>
      </c>
    </row>
    <row r="371" spans="1:13">
      <c r="A371" s="885">
        <v>6.3</v>
      </c>
      <c r="B371" s="892">
        <v>0.66469999999999996</v>
      </c>
      <c r="C371" s="892">
        <v>0.66469999999999996</v>
      </c>
      <c r="D371" s="892">
        <v>0.63290000000000002</v>
      </c>
      <c r="E371" s="892">
        <v>0.63290000000000002</v>
      </c>
      <c r="F371" s="892">
        <v>0.63290000000000002</v>
      </c>
      <c r="G371" s="892">
        <v>0.56130000000000002</v>
      </c>
      <c r="H371" s="892">
        <v>0.56130000000000002</v>
      </c>
      <c r="I371" s="892">
        <v>0.48509999999999998</v>
      </c>
      <c r="J371" s="892">
        <v>0.48509999999999998</v>
      </c>
      <c r="K371" s="892">
        <v>0.48509999999999998</v>
      </c>
      <c r="L371" s="892">
        <v>0.48509999999999998</v>
      </c>
      <c r="M371" s="892">
        <v>0.48509999999999998</v>
      </c>
    </row>
    <row r="372" spans="1:13">
      <c r="A372" s="885">
        <v>6.4</v>
      </c>
      <c r="B372" s="892">
        <v>0.66359999999999997</v>
      </c>
      <c r="C372" s="892">
        <v>0.66359999999999997</v>
      </c>
      <c r="D372" s="892">
        <v>0.63139999999999996</v>
      </c>
      <c r="E372" s="892">
        <v>0.63139999999999996</v>
      </c>
      <c r="F372" s="892">
        <v>0.63139999999999996</v>
      </c>
      <c r="G372" s="892">
        <v>0.55979999999999996</v>
      </c>
      <c r="H372" s="892">
        <v>0.55979999999999996</v>
      </c>
      <c r="I372" s="892">
        <v>0.48349999999999999</v>
      </c>
      <c r="J372" s="892">
        <v>0.48349999999999999</v>
      </c>
      <c r="K372" s="892">
        <v>0.48349999999999999</v>
      </c>
      <c r="L372" s="892">
        <v>0.48349999999999999</v>
      </c>
      <c r="M372" s="892">
        <v>0.48349999999999999</v>
      </c>
    </row>
    <row r="373" spans="1:13">
      <c r="A373" s="885">
        <v>6.5</v>
      </c>
      <c r="B373" s="892">
        <v>0.66249999999999998</v>
      </c>
      <c r="C373" s="892">
        <v>0.66249999999999998</v>
      </c>
      <c r="D373" s="892">
        <v>0.63</v>
      </c>
      <c r="E373" s="892">
        <v>0.63</v>
      </c>
      <c r="F373" s="892">
        <v>0.63</v>
      </c>
      <c r="G373" s="892">
        <v>0.55820000000000003</v>
      </c>
      <c r="H373" s="892">
        <v>0.55820000000000003</v>
      </c>
      <c r="I373" s="892">
        <v>0.4819</v>
      </c>
      <c r="J373" s="892">
        <v>0.4819</v>
      </c>
      <c r="K373" s="892">
        <v>0.4819</v>
      </c>
      <c r="L373" s="892">
        <v>0.4819</v>
      </c>
      <c r="M373" s="892">
        <v>0.4819</v>
      </c>
    </row>
    <row r="374" spans="1:13">
      <c r="A374" s="885">
        <v>6.6</v>
      </c>
      <c r="B374" s="892">
        <v>0.66149999999999998</v>
      </c>
      <c r="C374" s="892">
        <v>0.66149999999999998</v>
      </c>
      <c r="D374" s="892">
        <v>0.62860000000000005</v>
      </c>
      <c r="E374" s="892">
        <v>0.62860000000000005</v>
      </c>
      <c r="F374" s="892">
        <v>0.62860000000000005</v>
      </c>
      <c r="G374" s="892">
        <v>0.55669999999999997</v>
      </c>
      <c r="H374" s="892">
        <v>0.55669999999999997</v>
      </c>
      <c r="I374" s="892">
        <v>0.4803</v>
      </c>
      <c r="J374" s="892">
        <v>0.4803</v>
      </c>
      <c r="K374" s="892">
        <v>0.4803</v>
      </c>
      <c r="L374" s="892">
        <v>0.4803</v>
      </c>
      <c r="M374" s="892">
        <v>0.4803</v>
      </c>
    </row>
    <row r="375" spans="1:13">
      <c r="A375" s="885">
        <v>6.7</v>
      </c>
      <c r="B375" s="892">
        <v>0.66049999999999998</v>
      </c>
      <c r="C375" s="892">
        <v>0.66049999999999998</v>
      </c>
      <c r="D375" s="892">
        <v>0.62719999999999998</v>
      </c>
      <c r="E375" s="892">
        <v>0.62719999999999998</v>
      </c>
      <c r="F375" s="892">
        <v>0.62719999999999998</v>
      </c>
      <c r="G375" s="892">
        <v>0.55520000000000003</v>
      </c>
      <c r="H375" s="892">
        <v>0.55520000000000003</v>
      </c>
      <c r="I375" s="892">
        <v>0.47870000000000001</v>
      </c>
      <c r="J375" s="892">
        <v>0.47870000000000001</v>
      </c>
      <c r="K375" s="892">
        <v>0.47870000000000001</v>
      </c>
      <c r="L375" s="892">
        <v>0.47870000000000001</v>
      </c>
      <c r="M375" s="892">
        <v>0.47870000000000001</v>
      </c>
    </row>
    <row r="376" spans="1:13">
      <c r="A376" s="885">
        <v>6.8</v>
      </c>
      <c r="B376" s="892">
        <v>0.65949999999999998</v>
      </c>
      <c r="C376" s="892">
        <v>0.65949999999999998</v>
      </c>
      <c r="D376" s="892">
        <v>0.62580000000000002</v>
      </c>
      <c r="E376" s="892">
        <v>0.62580000000000002</v>
      </c>
      <c r="F376" s="892">
        <v>0.62580000000000002</v>
      </c>
      <c r="G376" s="892">
        <v>0.55359999999999998</v>
      </c>
      <c r="H376" s="892">
        <v>0.55359999999999998</v>
      </c>
      <c r="I376" s="892">
        <v>0.47710000000000002</v>
      </c>
      <c r="J376" s="892">
        <v>0.47710000000000002</v>
      </c>
      <c r="K376" s="892">
        <v>0.47710000000000002</v>
      </c>
      <c r="L376" s="892">
        <v>0.47710000000000002</v>
      </c>
      <c r="M376" s="892">
        <v>0.47710000000000002</v>
      </c>
    </row>
    <row r="377" spans="1:13">
      <c r="A377" s="885">
        <v>6.9</v>
      </c>
      <c r="B377" s="892">
        <v>0.65849999999999997</v>
      </c>
      <c r="C377" s="892">
        <v>0.65849999999999997</v>
      </c>
      <c r="D377" s="892">
        <v>0.62439999999999996</v>
      </c>
      <c r="E377" s="892">
        <v>0.62439999999999996</v>
      </c>
      <c r="F377" s="892">
        <v>0.62439999999999996</v>
      </c>
      <c r="G377" s="892">
        <v>0.55220000000000002</v>
      </c>
      <c r="H377" s="892">
        <v>0.55220000000000002</v>
      </c>
      <c r="I377" s="892">
        <v>0.47549999999999998</v>
      </c>
      <c r="J377" s="892">
        <v>0.47549999999999998</v>
      </c>
      <c r="K377" s="892">
        <v>0.47549999999999998</v>
      </c>
      <c r="L377" s="892">
        <v>0.47549999999999998</v>
      </c>
      <c r="M377" s="892">
        <v>0.47549999999999998</v>
      </c>
    </row>
    <row r="378" spans="1:13">
      <c r="A378" s="885">
        <v>7</v>
      </c>
      <c r="B378" s="892">
        <v>0.65749999999999997</v>
      </c>
      <c r="C378" s="892">
        <v>0.65749999999999997</v>
      </c>
      <c r="D378" s="892">
        <v>0.623</v>
      </c>
      <c r="E378" s="892">
        <v>0.623</v>
      </c>
      <c r="F378" s="892">
        <v>0.623</v>
      </c>
      <c r="G378" s="892">
        <v>0.55069999999999997</v>
      </c>
      <c r="H378" s="892">
        <v>0.55069999999999997</v>
      </c>
      <c r="I378" s="892">
        <v>0.47389999999999999</v>
      </c>
      <c r="J378" s="892">
        <v>0.47389999999999999</v>
      </c>
      <c r="K378" s="892">
        <v>0.47389999999999999</v>
      </c>
      <c r="L378" s="892">
        <v>0.47389999999999999</v>
      </c>
      <c r="M378" s="892">
        <v>0.47389999999999999</v>
      </c>
    </row>
    <row r="379" spans="1:13">
      <c r="A379" s="885">
        <v>7.1</v>
      </c>
      <c r="B379" s="892">
        <v>0.65649999999999997</v>
      </c>
      <c r="C379" s="892">
        <v>0.65649999999999997</v>
      </c>
      <c r="D379" s="892">
        <v>0.62160000000000004</v>
      </c>
      <c r="E379" s="892">
        <v>0.62160000000000004</v>
      </c>
      <c r="F379" s="892">
        <v>0.62160000000000004</v>
      </c>
      <c r="G379" s="892">
        <v>0.54930000000000001</v>
      </c>
      <c r="H379" s="892">
        <v>0.54930000000000001</v>
      </c>
      <c r="I379" s="892">
        <v>0.47239999999999999</v>
      </c>
      <c r="J379" s="892">
        <v>0.47239999999999999</v>
      </c>
      <c r="K379" s="892">
        <v>0.47239999999999999</v>
      </c>
      <c r="L379" s="892">
        <v>0.47239999999999999</v>
      </c>
      <c r="M379" s="892">
        <v>0.47239999999999999</v>
      </c>
    </row>
    <row r="380" spans="1:13">
      <c r="A380" s="885">
        <v>7.2</v>
      </c>
      <c r="B380" s="892">
        <v>0.65549999999999997</v>
      </c>
      <c r="C380" s="892">
        <v>0.65549999999999997</v>
      </c>
      <c r="D380" s="892">
        <v>0.62019999999999997</v>
      </c>
      <c r="E380" s="892">
        <v>0.62019999999999997</v>
      </c>
      <c r="F380" s="892">
        <v>0.62019999999999997</v>
      </c>
      <c r="G380" s="892">
        <v>0.54779999999999995</v>
      </c>
      <c r="H380" s="892">
        <v>0.54779999999999995</v>
      </c>
      <c r="I380" s="892">
        <v>0.47089999999999999</v>
      </c>
      <c r="J380" s="892">
        <v>0.47089999999999999</v>
      </c>
      <c r="K380" s="892">
        <v>0.47089999999999999</v>
      </c>
      <c r="L380" s="892">
        <v>0.47089999999999999</v>
      </c>
      <c r="M380" s="892">
        <v>0.47089999999999999</v>
      </c>
    </row>
    <row r="381" spans="1:13">
      <c r="A381" s="885">
        <v>7.3</v>
      </c>
      <c r="B381" s="892">
        <v>0.65449999999999997</v>
      </c>
      <c r="C381" s="892">
        <v>0.65449999999999997</v>
      </c>
      <c r="D381" s="892">
        <v>0.61880000000000002</v>
      </c>
      <c r="E381" s="892">
        <v>0.61880000000000002</v>
      </c>
      <c r="F381" s="892">
        <v>0.61880000000000002</v>
      </c>
      <c r="G381" s="892">
        <v>0.5464</v>
      </c>
      <c r="H381" s="892">
        <v>0.5464</v>
      </c>
      <c r="I381" s="892">
        <v>0.46939999999999998</v>
      </c>
      <c r="J381" s="892">
        <v>0.46939999999999998</v>
      </c>
      <c r="K381" s="892">
        <v>0.46939999999999998</v>
      </c>
      <c r="L381" s="892">
        <v>0.46939999999999998</v>
      </c>
      <c r="M381" s="892">
        <v>0.46939999999999998</v>
      </c>
    </row>
    <row r="382" spans="1:13">
      <c r="A382" s="885">
        <v>7.4</v>
      </c>
      <c r="B382" s="892">
        <v>0.65349999999999997</v>
      </c>
      <c r="C382" s="892">
        <v>0.65349999999999997</v>
      </c>
      <c r="D382" s="892">
        <v>0.61750000000000005</v>
      </c>
      <c r="E382" s="892">
        <v>0.61750000000000005</v>
      </c>
      <c r="F382" s="892">
        <v>0.61750000000000005</v>
      </c>
      <c r="G382" s="892">
        <v>0.54490000000000005</v>
      </c>
      <c r="H382" s="892">
        <v>0.54490000000000005</v>
      </c>
      <c r="I382" s="892">
        <v>0.46779999999999999</v>
      </c>
      <c r="J382" s="892">
        <v>0.46779999999999999</v>
      </c>
      <c r="K382" s="892">
        <v>0.46779999999999999</v>
      </c>
      <c r="L382" s="892">
        <v>0.46779999999999999</v>
      </c>
      <c r="M382" s="892">
        <v>0.46779999999999999</v>
      </c>
    </row>
    <row r="383" spans="1:13">
      <c r="A383" s="885">
        <v>7.5</v>
      </c>
      <c r="B383" s="892">
        <v>0.65249999999999997</v>
      </c>
      <c r="C383" s="892">
        <v>0.65249999999999997</v>
      </c>
      <c r="D383" s="892">
        <v>0.61619999999999997</v>
      </c>
      <c r="E383" s="892">
        <v>0.61619999999999997</v>
      </c>
      <c r="F383" s="892">
        <v>0.61619999999999997</v>
      </c>
      <c r="G383" s="892">
        <v>0.54349999999999998</v>
      </c>
      <c r="H383" s="892">
        <v>0.54349999999999998</v>
      </c>
      <c r="I383" s="892">
        <v>0.46629999999999999</v>
      </c>
      <c r="J383" s="892">
        <v>0.46629999999999999</v>
      </c>
      <c r="K383" s="892">
        <v>0.46629999999999999</v>
      </c>
      <c r="L383" s="892">
        <v>0.46629999999999999</v>
      </c>
      <c r="M383" s="892">
        <v>0.46629999999999999</v>
      </c>
    </row>
    <row r="384" spans="1:13">
      <c r="A384" s="885">
        <v>7.6</v>
      </c>
      <c r="B384" s="892">
        <v>0.65149999999999997</v>
      </c>
      <c r="C384" s="892">
        <v>0.65149999999999997</v>
      </c>
      <c r="D384" s="892">
        <v>0.6149</v>
      </c>
      <c r="E384" s="892">
        <v>0.6149</v>
      </c>
      <c r="F384" s="892">
        <v>0.6149</v>
      </c>
      <c r="G384" s="892">
        <v>0.54200000000000004</v>
      </c>
      <c r="H384" s="892">
        <v>0.54200000000000004</v>
      </c>
      <c r="I384" s="892">
        <v>0.46479999999999999</v>
      </c>
      <c r="J384" s="892">
        <v>0.46479999999999999</v>
      </c>
      <c r="K384" s="892">
        <v>0.46479999999999999</v>
      </c>
      <c r="L384" s="892">
        <v>0.46479999999999999</v>
      </c>
      <c r="M384" s="892">
        <v>0.46479999999999999</v>
      </c>
    </row>
    <row r="385" spans="1:13">
      <c r="A385" s="885">
        <v>7.7</v>
      </c>
      <c r="B385" s="892">
        <v>0.65049999999999997</v>
      </c>
      <c r="C385" s="892">
        <v>0.65049999999999997</v>
      </c>
      <c r="D385" s="892">
        <v>0.61360000000000003</v>
      </c>
      <c r="E385" s="892">
        <v>0.61360000000000003</v>
      </c>
      <c r="F385" s="892">
        <v>0.61360000000000003</v>
      </c>
      <c r="G385" s="892">
        <v>0.54059999999999997</v>
      </c>
      <c r="H385" s="892">
        <v>0.54059999999999997</v>
      </c>
      <c r="I385" s="892">
        <v>0.46329999999999999</v>
      </c>
      <c r="J385" s="892">
        <v>0.46329999999999999</v>
      </c>
      <c r="K385" s="892">
        <v>0.46329999999999999</v>
      </c>
      <c r="L385" s="892">
        <v>0.46329999999999999</v>
      </c>
      <c r="M385" s="892">
        <v>0.46329999999999999</v>
      </c>
    </row>
    <row r="386" spans="1:13">
      <c r="A386" s="885">
        <v>7.8</v>
      </c>
      <c r="B386" s="892">
        <v>0.64949999999999997</v>
      </c>
      <c r="C386" s="892">
        <v>0.64949999999999997</v>
      </c>
      <c r="D386" s="892">
        <v>0.61229999999999996</v>
      </c>
      <c r="E386" s="892">
        <v>0.61229999999999996</v>
      </c>
      <c r="F386" s="892">
        <v>0.61229999999999996</v>
      </c>
      <c r="G386" s="892">
        <v>0.53910000000000002</v>
      </c>
      <c r="H386" s="892">
        <v>0.53910000000000002</v>
      </c>
      <c r="I386" s="892">
        <v>0.4617</v>
      </c>
      <c r="J386" s="892">
        <v>0.4617</v>
      </c>
      <c r="K386" s="892">
        <v>0.4617</v>
      </c>
      <c r="L386" s="892">
        <v>0.4617</v>
      </c>
      <c r="M386" s="892">
        <v>0.4617</v>
      </c>
    </row>
    <row r="387" spans="1:13">
      <c r="A387" s="885">
        <v>7.9</v>
      </c>
      <c r="B387" s="892">
        <v>0.64849999999999997</v>
      </c>
      <c r="C387" s="892">
        <v>0.64849999999999997</v>
      </c>
      <c r="D387" s="892">
        <v>0.61099999999999999</v>
      </c>
      <c r="E387" s="892">
        <v>0.61099999999999999</v>
      </c>
      <c r="F387" s="892">
        <v>0.61099999999999999</v>
      </c>
      <c r="G387" s="892">
        <v>0.53769999999999996</v>
      </c>
      <c r="H387" s="892">
        <v>0.53769999999999996</v>
      </c>
      <c r="I387" s="892">
        <v>0.4602</v>
      </c>
      <c r="J387" s="892">
        <v>0.4602</v>
      </c>
      <c r="K387" s="892">
        <v>0.4602</v>
      </c>
      <c r="L387" s="892">
        <v>0.4602</v>
      </c>
      <c r="M387" s="892">
        <v>0.4602</v>
      </c>
    </row>
    <row r="388" spans="1:13">
      <c r="A388" s="885">
        <v>8</v>
      </c>
      <c r="B388" s="892">
        <v>0.64749999999999996</v>
      </c>
      <c r="C388" s="892">
        <v>0.64749999999999996</v>
      </c>
      <c r="D388" s="892">
        <v>0.60970000000000002</v>
      </c>
      <c r="E388" s="892">
        <v>0.60970000000000002</v>
      </c>
      <c r="F388" s="892">
        <v>0.60970000000000002</v>
      </c>
      <c r="G388" s="892">
        <v>0.53620000000000001</v>
      </c>
      <c r="H388" s="892">
        <v>0.53620000000000001</v>
      </c>
      <c r="I388" s="892">
        <v>0.4587</v>
      </c>
      <c r="J388" s="892">
        <v>0.4587</v>
      </c>
      <c r="K388" s="892">
        <v>0.4587</v>
      </c>
      <c r="L388" s="892">
        <v>0.4587</v>
      </c>
      <c r="M388" s="892">
        <v>0.4587</v>
      </c>
    </row>
    <row r="389" spans="1:13">
      <c r="A389" s="885">
        <v>8.1</v>
      </c>
      <c r="B389" s="892">
        <v>0.64649999999999996</v>
      </c>
      <c r="C389" s="892">
        <v>0.64649999999999996</v>
      </c>
      <c r="D389" s="892">
        <v>0.60840000000000005</v>
      </c>
      <c r="E389" s="892">
        <v>0.60840000000000005</v>
      </c>
      <c r="F389" s="892">
        <v>0.60840000000000005</v>
      </c>
      <c r="G389" s="892">
        <v>0.53480000000000005</v>
      </c>
      <c r="H389" s="892">
        <v>0.53480000000000005</v>
      </c>
      <c r="I389" s="892">
        <v>0.4572</v>
      </c>
      <c r="J389" s="892">
        <v>0.4572</v>
      </c>
      <c r="K389" s="892">
        <v>0.4572</v>
      </c>
      <c r="L389" s="892">
        <v>0.4572</v>
      </c>
      <c r="M389" s="892">
        <v>0.4572</v>
      </c>
    </row>
    <row r="390" spans="1:13">
      <c r="A390" s="885">
        <v>8.1999999999999993</v>
      </c>
      <c r="B390" s="892">
        <v>0.64549999999999996</v>
      </c>
      <c r="C390" s="892">
        <v>0.64549999999999996</v>
      </c>
      <c r="D390" s="892">
        <v>0.60709999999999997</v>
      </c>
      <c r="E390" s="892">
        <v>0.60709999999999997</v>
      </c>
      <c r="F390" s="892">
        <v>0.60709999999999997</v>
      </c>
      <c r="G390" s="892">
        <v>0.5333</v>
      </c>
      <c r="H390" s="892">
        <v>0.5333</v>
      </c>
      <c r="I390" s="892">
        <v>0.45569999999999999</v>
      </c>
      <c r="J390" s="892">
        <v>0.45569999999999999</v>
      </c>
      <c r="K390" s="892">
        <v>0.45569999999999999</v>
      </c>
      <c r="L390" s="892">
        <v>0.45569999999999999</v>
      </c>
      <c r="M390" s="892">
        <v>0.45569999999999999</v>
      </c>
    </row>
    <row r="391" spans="1:13">
      <c r="A391" s="885">
        <v>8.3000000000000007</v>
      </c>
      <c r="B391" s="892">
        <v>0.64449999999999996</v>
      </c>
      <c r="C391" s="892">
        <v>0.64449999999999996</v>
      </c>
      <c r="D391" s="892">
        <v>0.60580000000000001</v>
      </c>
      <c r="E391" s="892">
        <v>0.60580000000000001</v>
      </c>
      <c r="F391" s="892">
        <v>0.60580000000000001</v>
      </c>
      <c r="G391" s="892">
        <v>0.53190000000000004</v>
      </c>
      <c r="H391" s="892">
        <v>0.53190000000000004</v>
      </c>
      <c r="I391" s="892">
        <v>0.45429999999999998</v>
      </c>
      <c r="J391" s="892">
        <v>0.45429999999999998</v>
      </c>
      <c r="K391" s="892">
        <v>0.45429999999999998</v>
      </c>
      <c r="L391" s="892">
        <v>0.45429999999999998</v>
      </c>
      <c r="M391" s="892">
        <v>0.45429999999999998</v>
      </c>
    </row>
    <row r="392" spans="1:13">
      <c r="A392" s="885">
        <v>8.4</v>
      </c>
      <c r="B392" s="892">
        <v>0.64349999999999996</v>
      </c>
      <c r="C392" s="892">
        <v>0.64349999999999996</v>
      </c>
      <c r="D392" s="892">
        <v>0.60450000000000004</v>
      </c>
      <c r="E392" s="892">
        <v>0.60450000000000004</v>
      </c>
      <c r="F392" s="892">
        <v>0.60450000000000004</v>
      </c>
      <c r="G392" s="892">
        <v>0.53039999999999998</v>
      </c>
      <c r="H392" s="892">
        <v>0.53039999999999998</v>
      </c>
      <c r="I392" s="892">
        <v>0.45290000000000002</v>
      </c>
      <c r="J392" s="892">
        <v>0.45290000000000002</v>
      </c>
      <c r="K392" s="892">
        <v>0.45290000000000002</v>
      </c>
      <c r="L392" s="892">
        <v>0.45290000000000002</v>
      </c>
      <c r="M392" s="892">
        <v>0.45290000000000002</v>
      </c>
    </row>
    <row r="393" spans="1:13">
      <c r="A393" s="885">
        <v>8.5</v>
      </c>
      <c r="B393" s="892">
        <v>0.64249999999999996</v>
      </c>
      <c r="C393" s="892">
        <v>0.64249999999999996</v>
      </c>
      <c r="D393" s="892">
        <v>0.60319999999999996</v>
      </c>
      <c r="E393" s="892">
        <v>0.60319999999999996</v>
      </c>
      <c r="F393" s="892">
        <v>0.60319999999999996</v>
      </c>
      <c r="G393" s="892">
        <v>0.52900000000000003</v>
      </c>
      <c r="H393" s="892">
        <v>0.52900000000000003</v>
      </c>
      <c r="I393" s="892">
        <v>0.45140000000000002</v>
      </c>
      <c r="J393" s="892">
        <v>0.45140000000000002</v>
      </c>
      <c r="K393" s="892">
        <v>0.45140000000000002</v>
      </c>
      <c r="L393" s="892">
        <v>0.45140000000000002</v>
      </c>
      <c r="M393" s="892">
        <v>0.45140000000000002</v>
      </c>
    </row>
    <row r="394" spans="1:13">
      <c r="A394" s="885">
        <v>8.6</v>
      </c>
      <c r="B394" s="892">
        <v>0.64149999999999996</v>
      </c>
      <c r="C394" s="892">
        <v>0.64149999999999996</v>
      </c>
      <c r="D394" s="892">
        <v>0.60189999999999999</v>
      </c>
      <c r="E394" s="892">
        <v>0.60189999999999999</v>
      </c>
      <c r="F394" s="892">
        <v>0.60189999999999999</v>
      </c>
      <c r="G394" s="892">
        <v>0.52749999999999997</v>
      </c>
      <c r="H394" s="892">
        <v>0.52749999999999997</v>
      </c>
      <c r="I394" s="892">
        <v>0.45</v>
      </c>
      <c r="J394" s="892">
        <v>0.45</v>
      </c>
      <c r="K394" s="892">
        <v>0.45</v>
      </c>
      <c r="L394" s="892">
        <v>0.45</v>
      </c>
      <c r="M394" s="892">
        <v>0.45</v>
      </c>
    </row>
    <row r="395" spans="1:13">
      <c r="A395" s="885">
        <v>8.6999999999999993</v>
      </c>
      <c r="B395" s="892">
        <v>0.64049999999999996</v>
      </c>
      <c r="C395" s="892">
        <v>0.64049999999999996</v>
      </c>
      <c r="D395" s="892">
        <v>0.60060000000000002</v>
      </c>
      <c r="E395" s="892">
        <v>0.60060000000000002</v>
      </c>
      <c r="F395" s="892">
        <v>0.60060000000000002</v>
      </c>
      <c r="G395" s="892">
        <v>0.52610000000000001</v>
      </c>
      <c r="H395" s="892">
        <v>0.52610000000000001</v>
      </c>
      <c r="I395" s="892">
        <v>0.44850000000000001</v>
      </c>
      <c r="J395" s="892">
        <v>0.44850000000000001</v>
      </c>
      <c r="K395" s="892">
        <v>0.44850000000000001</v>
      </c>
      <c r="L395" s="892">
        <v>0.44850000000000001</v>
      </c>
      <c r="M395" s="892">
        <v>0.44850000000000001</v>
      </c>
    </row>
    <row r="396" spans="1:13">
      <c r="A396" s="885">
        <v>8.8000000000000007</v>
      </c>
      <c r="B396" s="892">
        <v>0.63949999999999996</v>
      </c>
      <c r="C396" s="892">
        <v>0.63949999999999996</v>
      </c>
      <c r="D396" s="892">
        <v>0.59930000000000005</v>
      </c>
      <c r="E396" s="892">
        <v>0.59930000000000005</v>
      </c>
      <c r="F396" s="892">
        <v>0.59930000000000005</v>
      </c>
      <c r="G396" s="892">
        <v>0.52459999999999996</v>
      </c>
      <c r="H396" s="892">
        <v>0.52459999999999996</v>
      </c>
      <c r="I396" s="892">
        <v>0.4471</v>
      </c>
      <c r="J396" s="892">
        <v>0.4471</v>
      </c>
      <c r="K396" s="892">
        <v>0.4471</v>
      </c>
      <c r="L396" s="892">
        <v>0.4471</v>
      </c>
      <c r="M396" s="892">
        <v>0.4471</v>
      </c>
    </row>
    <row r="397" spans="1:13">
      <c r="A397" s="885">
        <v>8.9</v>
      </c>
      <c r="B397" s="892">
        <v>0.63849999999999996</v>
      </c>
      <c r="C397" s="892">
        <v>0.63849999999999996</v>
      </c>
      <c r="D397" s="892">
        <v>0.59799999999999998</v>
      </c>
      <c r="E397" s="892">
        <v>0.59799999999999998</v>
      </c>
      <c r="F397" s="892">
        <v>0.59799999999999998</v>
      </c>
      <c r="G397" s="892">
        <v>0.5232</v>
      </c>
      <c r="H397" s="892">
        <v>0.5232</v>
      </c>
      <c r="I397" s="892">
        <v>0.4456</v>
      </c>
      <c r="J397" s="892">
        <v>0.4456</v>
      </c>
      <c r="K397" s="892">
        <v>0.4456</v>
      </c>
      <c r="L397" s="892">
        <v>0.4456</v>
      </c>
      <c r="M397" s="892">
        <v>0.4456</v>
      </c>
    </row>
    <row r="398" spans="1:13">
      <c r="A398" s="900">
        <v>9</v>
      </c>
      <c r="B398" s="892">
        <v>0.63749999999999996</v>
      </c>
      <c r="C398" s="892">
        <v>0.63749999999999996</v>
      </c>
      <c r="D398" s="892">
        <v>0.59670000000000001</v>
      </c>
      <c r="E398" s="892">
        <v>0.59670000000000001</v>
      </c>
      <c r="F398" s="892">
        <v>0.59670000000000001</v>
      </c>
      <c r="G398" s="892">
        <v>0.52170000000000005</v>
      </c>
      <c r="H398" s="892">
        <v>0.52170000000000005</v>
      </c>
      <c r="I398" s="892">
        <v>0.44429999999999997</v>
      </c>
      <c r="J398" s="892">
        <v>0.44429999999999997</v>
      </c>
      <c r="K398" s="892">
        <v>0.44429999999999997</v>
      </c>
      <c r="L398" s="892">
        <v>0.44429999999999997</v>
      </c>
      <c r="M398" s="892">
        <v>0.44429999999999997</v>
      </c>
    </row>
    <row r="399" spans="1:13">
      <c r="A399" s="900">
        <v>9.1</v>
      </c>
      <c r="B399" s="892">
        <v>0.63649999999999995</v>
      </c>
      <c r="C399" s="892">
        <v>0.63649999999999995</v>
      </c>
      <c r="D399" s="892">
        <v>0.59540000000000004</v>
      </c>
      <c r="E399" s="892">
        <v>0.59540000000000004</v>
      </c>
      <c r="F399" s="892">
        <v>0.59540000000000004</v>
      </c>
      <c r="G399" s="892">
        <v>0.52029999999999998</v>
      </c>
      <c r="H399" s="892">
        <v>0.52029999999999998</v>
      </c>
      <c r="I399" s="892">
        <v>0.44290000000000002</v>
      </c>
      <c r="J399" s="892">
        <v>0.44290000000000002</v>
      </c>
      <c r="K399" s="892">
        <v>0.44290000000000002</v>
      </c>
      <c r="L399" s="892">
        <v>0.44290000000000002</v>
      </c>
      <c r="M399" s="892">
        <v>0.44290000000000002</v>
      </c>
    </row>
    <row r="400" spans="1:13">
      <c r="A400" s="900">
        <v>9.1999999999999993</v>
      </c>
      <c r="B400" s="892">
        <v>0.63549999999999995</v>
      </c>
      <c r="C400" s="892">
        <v>0.63549999999999995</v>
      </c>
      <c r="D400" s="892">
        <v>0.59409999999999996</v>
      </c>
      <c r="E400" s="892">
        <v>0.59409999999999996</v>
      </c>
      <c r="F400" s="892">
        <v>0.59409999999999996</v>
      </c>
      <c r="G400" s="892">
        <v>0.51880000000000004</v>
      </c>
      <c r="H400" s="892">
        <v>0.51880000000000004</v>
      </c>
      <c r="I400" s="892">
        <v>0.44159999999999999</v>
      </c>
      <c r="J400" s="892">
        <v>0.44159999999999999</v>
      </c>
      <c r="K400" s="892">
        <v>0.44159999999999999</v>
      </c>
      <c r="L400" s="892">
        <v>0.44159999999999999</v>
      </c>
      <c r="M400" s="892">
        <v>0.44159999999999999</v>
      </c>
    </row>
    <row r="401" spans="1:13">
      <c r="A401" s="900">
        <v>9.3000000000000007</v>
      </c>
      <c r="B401" s="892">
        <v>0.63449999999999995</v>
      </c>
      <c r="C401" s="892">
        <v>0.63449999999999995</v>
      </c>
      <c r="D401" s="892">
        <v>0.59279999999999999</v>
      </c>
      <c r="E401" s="892">
        <v>0.59279999999999999</v>
      </c>
      <c r="F401" s="892">
        <v>0.59279999999999999</v>
      </c>
      <c r="G401" s="892">
        <v>0.51739999999999997</v>
      </c>
      <c r="H401" s="892">
        <v>0.51739999999999997</v>
      </c>
      <c r="I401" s="892">
        <v>0.44019999999999998</v>
      </c>
      <c r="J401" s="892">
        <v>0.44019999999999998</v>
      </c>
      <c r="K401" s="892">
        <v>0.44019999999999998</v>
      </c>
      <c r="L401" s="892">
        <v>0.44019999999999998</v>
      </c>
      <c r="M401" s="892">
        <v>0.44019999999999998</v>
      </c>
    </row>
    <row r="402" spans="1:13">
      <c r="A402" s="900">
        <v>9.4</v>
      </c>
      <c r="B402" s="892">
        <v>0.63349999999999995</v>
      </c>
      <c r="C402" s="892">
        <v>0.63349999999999995</v>
      </c>
      <c r="D402" s="892">
        <v>0.59150000000000003</v>
      </c>
      <c r="E402" s="892">
        <v>0.59150000000000003</v>
      </c>
      <c r="F402" s="892">
        <v>0.59150000000000003</v>
      </c>
      <c r="G402" s="892">
        <v>0.51600000000000001</v>
      </c>
      <c r="H402" s="892">
        <v>0.51600000000000001</v>
      </c>
      <c r="I402" s="892">
        <v>0.43880000000000002</v>
      </c>
      <c r="J402" s="892">
        <v>0.43880000000000002</v>
      </c>
      <c r="K402" s="892">
        <v>0.43880000000000002</v>
      </c>
      <c r="L402" s="892">
        <v>0.43880000000000002</v>
      </c>
      <c r="M402" s="892">
        <v>0.43880000000000002</v>
      </c>
    </row>
    <row r="403" spans="1:13">
      <c r="A403" s="900">
        <v>9.5</v>
      </c>
      <c r="B403" s="892">
        <v>0.63249999999999995</v>
      </c>
      <c r="C403" s="892">
        <v>0.63249999999999995</v>
      </c>
      <c r="D403" s="892">
        <v>0.59030000000000005</v>
      </c>
      <c r="E403" s="892">
        <v>0.59030000000000005</v>
      </c>
      <c r="F403" s="892">
        <v>0.59030000000000005</v>
      </c>
      <c r="G403" s="892">
        <v>0.51470000000000005</v>
      </c>
      <c r="H403" s="892">
        <v>0.51470000000000005</v>
      </c>
      <c r="I403" s="892">
        <v>0.4375</v>
      </c>
      <c r="J403" s="892">
        <v>0.4375</v>
      </c>
      <c r="K403" s="892">
        <v>0.4375</v>
      </c>
      <c r="L403" s="892">
        <v>0.4375</v>
      </c>
      <c r="M403" s="892">
        <v>0.4375</v>
      </c>
    </row>
    <row r="404" spans="1:13">
      <c r="A404" s="900">
        <v>9.6</v>
      </c>
      <c r="B404" s="892">
        <v>0.63149999999999995</v>
      </c>
      <c r="C404" s="892">
        <v>0.63149999999999995</v>
      </c>
      <c r="D404" s="892">
        <v>0.58909999999999996</v>
      </c>
      <c r="E404" s="892">
        <v>0.58909999999999996</v>
      </c>
      <c r="F404" s="892">
        <v>0.58909999999999996</v>
      </c>
      <c r="G404" s="892">
        <v>0.51329999999999998</v>
      </c>
      <c r="H404" s="892">
        <v>0.51329999999999998</v>
      </c>
      <c r="I404" s="892">
        <v>0.43609999999999999</v>
      </c>
      <c r="J404" s="892">
        <v>0.43609999999999999</v>
      </c>
      <c r="K404" s="892">
        <v>0.43609999999999999</v>
      </c>
      <c r="L404" s="892">
        <v>0.43609999999999999</v>
      </c>
      <c r="M404" s="892">
        <v>0.43609999999999999</v>
      </c>
    </row>
    <row r="405" spans="1:13">
      <c r="A405" s="900">
        <v>9.6999999999999993</v>
      </c>
      <c r="B405" s="892">
        <v>0.63049999999999995</v>
      </c>
      <c r="C405" s="892">
        <v>0.63049999999999995</v>
      </c>
      <c r="D405" s="892">
        <v>0.58789999999999998</v>
      </c>
      <c r="E405" s="892">
        <v>0.58789999999999998</v>
      </c>
      <c r="F405" s="892">
        <v>0.58789999999999998</v>
      </c>
      <c r="G405" s="892">
        <v>0.51200000000000001</v>
      </c>
      <c r="H405" s="892">
        <v>0.51200000000000001</v>
      </c>
      <c r="I405" s="892">
        <v>0.43480000000000002</v>
      </c>
      <c r="J405" s="892">
        <v>0.43480000000000002</v>
      </c>
      <c r="K405" s="892">
        <v>0.43480000000000002</v>
      </c>
      <c r="L405" s="892">
        <v>0.43480000000000002</v>
      </c>
      <c r="M405" s="892">
        <v>0.43480000000000002</v>
      </c>
    </row>
    <row r="406" spans="1:13">
      <c r="A406" s="900">
        <v>9.8000000000000007</v>
      </c>
      <c r="B406" s="892">
        <v>0.62949999999999995</v>
      </c>
      <c r="C406" s="892">
        <v>0.62949999999999995</v>
      </c>
      <c r="D406" s="892">
        <v>0.5867</v>
      </c>
      <c r="E406" s="892">
        <v>0.5867</v>
      </c>
      <c r="F406" s="892">
        <v>0.5867</v>
      </c>
      <c r="G406" s="892">
        <v>0.51060000000000005</v>
      </c>
      <c r="H406" s="892">
        <v>0.51060000000000005</v>
      </c>
      <c r="I406" s="892">
        <v>0.43340000000000001</v>
      </c>
      <c r="J406" s="892">
        <v>0.43340000000000001</v>
      </c>
      <c r="K406" s="892">
        <v>0.43340000000000001</v>
      </c>
      <c r="L406" s="892">
        <v>0.43340000000000001</v>
      </c>
      <c r="M406" s="892">
        <v>0.43340000000000001</v>
      </c>
    </row>
    <row r="407" spans="1:13">
      <c r="A407" s="900">
        <v>9.9</v>
      </c>
      <c r="B407" s="892">
        <v>0.62849999999999995</v>
      </c>
      <c r="C407" s="892">
        <v>0.62849999999999995</v>
      </c>
      <c r="D407" s="892">
        <v>0.58550000000000002</v>
      </c>
      <c r="E407" s="892">
        <v>0.58550000000000002</v>
      </c>
      <c r="F407" s="892">
        <v>0.58550000000000002</v>
      </c>
      <c r="G407" s="892">
        <v>0.50919999999999999</v>
      </c>
      <c r="H407" s="892">
        <v>0.50919999999999999</v>
      </c>
      <c r="I407" s="892">
        <v>0.432</v>
      </c>
      <c r="J407" s="892">
        <v>0.432</v>
      </c>
      <c r="K407" s="892">
        <v>0.432</v>
      </c>
      <c r="L407" s="892">
        <v>0.432</v>
      </c>
      <c r="M407" s="892">
        <v>0.432</v>
      </c>
    </row>
    <row r="408" spans="1:13">
      <c r="A408" s="900">
        <v>10</v>
      </c>
      <c r="B408" s="892">
        <v>0.62749999999999995</v>
      </c>
      <c r="C408" s="892">
        <v>0.62749999999999995</v>
      </c>
      <c r="D408" s="892">
        <v>0.58430000000000004</v>
      </c>
      <c r="E408" s="892">
        <v>0.58430000000000004</v>
      </c>
      <c r="F408" s="892">
        <v>0.58430000000000004</v>
      </c>
      <c r="G408" s="892">
        <v>0.50790000000000002</v>
      </c>
      <c r="H408" s="892">
        <v>0.50790000000000002</v>
      </c>
      <c r="I408" s="892">
        <v>0.43070000000000003</v>
      </c>
      <c r="J408" s="892">
        <v>0.43070000000000003</v>
      </c>
      <c r="K408" s="892">
        <v>0.43070000000000003</v>
      </c>
      <c r="L408" s="892">
        <v>0.43070000000000003</v>
      </c>
      <c r="M408" s="892">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32" customWidth="1"/>
    <col min="2" max="2" width="12.5" style="1932" customWidth="1"/>
    <col min="3" max="3" width="12.125" style="1932" customWidth="1"/>
    <col min="4" max="4" width="14.125" style="1932" customWidth="1"/>
    <col min="5" max="5" width="12.5" style="1932" customWidth="1"/>
    <col min="6" max="16384" width="9" style="1932"/>
  </cols>
  <sheetData>
    <row r="1" spans="1:5" ht="21">
      <c r="A1" s="2551" t="s">
        <v>2993</v>
      </c>
    </row>
    <row r="2" spans="1:5" ht="15.75">
      <c r="A2" s="2898" t="s">
        <v>2985</v>
      </c>
      <c r="B2" s="2899" t="e">
        <f ca="1">SUMIF(B6:B13,"&lt;&gt;#ref!",B6:B13)</f>
        <v>#DIV/0!</v>
      </c>
      <c r="C2" s="2898" t="s">
        <v>2986</v>
      </c>
      <c r="D2" s="2898" t="s">
        <v>2987</v>
      </c>
      <c r="E2" s="2899">
        <f ca="1">SUMIF(E6:E13,"&lt;&gt;#ref!",E6:E13)</f>
        <v>0</v>
      </c>
    </row>
    <row r="3" spans="1:5" ht="15.75">
      <c r="A3" s="2898" t="s">
        <v>2988</v>
      </c>
      <c r="B3" s="2899" t="e">
        <f ca="1">ROUND(B2*10000/E2,0)</f>
        <v>#DIV/0!</v>
      </c>
      <c r="C3" s="2898" t="s">
        <v>2994</v>
      </c>
      <c r="D3" s="2900"/>
      <c r="E3" s="2900"/>
    </row>
    <row r="4" spans="1:5" ht="15.75">
      <c r="A4" s="2901"/>
      <c r="B4" s="2900"/>
      <c r="C4" s="2900"/>
      <c r="D4" s="2900"/>
      <c r="E4" s="2900"/>
    </row>
    <row r="5" spans="1:5" ht="28.5">
      <c r="A5" s="2902" t="s">
        <v>2989</v>
      </c>
      <c r="B5" s="2898" t="s">
        <v>2990</v>
      </c>
      <c r="C5" s="2899"/>
      <c r="D5" s="2900"/>
      <c r="E5" s="2898" t="s">
        <v>2991</v>
      </c>
    </row>
    <row r="6" spans="1:5" ht="15.75">
      <c r="A6" s="2903" t="s">
        <v>2992</v>
      </c>
      <c r="B6" s="2899" t="e">
        <f ca="1">SUMIF(INDIRECT("'"&amp;A6&amp;"'"&amp;"!A:A"),"总价",INDIRECT("'"&amp;A6&amp;"'"&amp;"!B:B"))</f>
        <v>#DIV/0!</v>
      </c>
      <c r="C6" s="2898" t="s">
        <v>2986</v>
      </c>
      <c r="D6" s="2900"/>
      <c r="E6" s="2565">
        <f ca="1">SUMIF(INDIRECT("'"&amp;A6&amp;"'"&amp;"!C:C"),"建筑面积",INDIRECT("'"&amp;A6&amp;"'"&amp;"!D:D"))</f>
        <v>0</v>
      </c>
    </row>
    <row r="7" spans="1:5" ht="15.75">
      <c r="A7" s="2903"/>
      <c r="B7" s="2899" t="e">
        <f ca="1">SUMIF(INDIRECT("'"&amp;A7&amp;"'"&amp;"!A:A"),"总价",INDIRECT("'"&amp;A7&amp;"'"&amp;"!B:B"))</f>
        <v>#REF!</v>
      </c>
      <c r="C7" s="2898" t="s">
        <v>2986</v>
      </c>
      <c r="D7" s="2900"/>
      <c r="E7" s="2565" t="e">
        <f t="shared" ref="E7:E13" ca="1" si="0">SUMIF(INDIRECT("'"&amp;A7&amp;"'"&amp;"!C:C"),"建筑面积",INDIRECT("'"&amp;A7&amp;"'"&amp;"!D:D"))</f>
        <v>#REF!</v>
      </c>
    </row>
    <row r="8" spans="1:5" ht="15.75">
      <c r="A8" s="2903"/>
      <c r="B8" s="2899" t="e">
        <f t="shared" ref="B8:B13" ca="1" si="1">SUMIF(INDIRECT("'"&amp;A8&amp;"'"&amp;"!A:A"),"总价",INDIRECT("'"&amp;A8&amp;"'"&amp;"!B:B"))</f>
        <v>#REF!</v>
      </c>
      <c r="C8" s="2898" t="s">
        <v>2986</v>
      </c>
      <c r="D8" s="2900"/>
      <c r="E8" s="2565" t="e">
        <f t="shared" ca="1" si="0"/>
        <v>#REF!</v>
      </c>
    </row>
    <row r="9" spans="1:5" ht="15.75">
      <c r="A9" s="2903"/>
      <c r="B9" s="2899" t="e">
        <f t="shared" ca="1" si="1"/>
        <v>#REF!</v>
      </c>
      <c r="C9" s="2898" t="s">
        <v>2986</v>
      </c>
      <c r="D9" s="2900"/>
      <c r="E9" s="2565" t="e">
        <f t="shared" ca="1" si="0"/>
        <v>#REF!</v>
      </c>
    </row>
    <row r="10" spans="1:5" ht="15.75">
      <c r="A10" s="2903"/>
      <c r="B10" s="2899" t="e">
        <f t="shared" ca="1" si="1"/>
        <v>#REF!</v>
      </c>
      <c r="C10" s="2898" t="s">
        <v>2986</v>
      </c>
      <c r="D10" s="2900"/>
      <c r="E10" s="2565" t="e">
        <f t="shared" ca="1" si="0"/>
        <v>#REF!</v>
      </c>
    </row>
    <row r="11" spans="1:5" ht="15.75">
      <c r="A11" s="2903"/>
      <c r="B11" s="2899" t="e">
        <f t="shared" ca="1" si="1"/>
        <v>#REF!</v>
      </c>
      <c r="C11" s="2898" t="s">
        <v>2986</v>
      </c>
      <c r="D11" s="2900"/>
      <c r="E11" s="2565" t="e">
        <f t="shared" ca="1" si="0"/>
        <v>#REF!</v>
      </c>
    </row>
    <row r="12" spans="1:5" ht="15.75">
      <c r="A12" s="2903"/>
      <c r="B12" s="2899" t="e">
        <f t="shared" ca="1" si="1"/>
        <v>#REF!</v>
      </c>
      <c r="C12" s="2898" t="s">
        <v>2986</v>
      </c>
      <c r="D12" s="2900"/>
      <c r="E12" s="2565" t="e">
        <f t="shared" ca="1" si="0"/>
        <v>#REF!</v>
      </c>
    </row>
    <row r="13" spans="1:5" ht="15.75">
      <c r="A13" s="2903"/>
      <c r="B13" s="2899" t="e">
        <f t="shared" ca="1" si="1"/>
        <v>#REF!</v>
      </c>
      <c r="C13" s="2898" t="s">
        <v>2986</v>
      </c>
      <c r="D13" s="2900"/>
      <c r="E13" s="256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RowHeight="12.75"/>
  <cols>
    <col min="1" max="1" width="9" style="1459"/>
    <col min="2" max="6" width="9" style="1459" customWidth="1"/>
    <col min="7" max="7" width="9" style="1474"/>
    <col min="8" max="8" width="9" style="1459"/>
    <col min="9" max="12" width="9" style="1459" customWidth="1"/>
    <col min="13" max="13" width="2.25" style="1459" customWidth="1"/>
    <col min="14" max="14" width="9" style="1474" customWidth="1"/>
    <col min="15" max="17" width="9" style="1459" customWidth="1"/>
    <col min="18" max="18" width="2.375" style="1459" customWidth="1"/>
    <col min="19" max="19" width="7.125" style="1474" customWidth="1"/>
    <col min="20" max="22" width="7.125" style="1459" customWidth="1"/>
    <col min="23" max="23" width="24.25" style="1459" customWidth="1"/>
    <col min="24" max="25" width="9" style="1459"/>
    <col min="26" max="27" width="11.625" style="1459" customWidth="1"/>
    <col min="28" max="28" width="9" style="1459"/>
    <col min="29" max="29" width="2" style="1459" customWidth="1"/>
    <col min="30" max="16384" width="9" style="1459"/>
  </cols>
  <sheetData>
    <row r="1" spans="1:34" s="1433" customFormat="1">
      <c r="B1" s="3393" t="s">
        <v>1150</v>
      </c>
      <c r="C1" s="3393"/>
      <c r="D1" s="3393"/>
      <c r="E1" s="3393"/>
      <c r="F1" s="3393"/>
      <c r="G1" s="3389" t="s">
        <v>1151</v>
      </c>
      <c r="H1" s="3389"/>
      <c r="I1" s="3389"/>
      <c r="J1" s="3389"/>
      <c r="K1" s="3389"/>
      <c r="L1" s="3389"/>
      <c r="N1" s="3389" t="s">
        <v>1152</v>
      </c>
      <c r="O1" s="3389"/>
      <c r="P1" s="3389"/>
      <c r="Q1" s="3389"/>
      <c r="R1" s="1434"/>
      <c r="S1" s="3389" t="s">
        <v>1153</v>
      </c>
      <c r="T1" s="3389"/>
      <c r="U1" s="3389"/>
      <c r="V1" s="3389"/>
      <c r="X1" s="3388" t="s">
        <v>1154</v>
      </c>
      <c r="Y1" s="3389"/>
      <c r="Z1" s="3389"/>
      <c r="AA1" s="3389"/>
      <c r="AB1" s="3389"/>
      <c r="AD1" s="3388" t="s">
        <v>1155</v>
      </c>
      <c r="AE1" s="3389"/>
      <c r="AF1" s="3389"/>
      <c r="AG1" s="3389"/>
      <c r="AH1" s="3389"/>
    </row>
    <row r="2" spans="1:34" s="1435" customFormat="1" ht="14.25" thickBot="1">
      <c r="B2" s="1436" t="s">
        <v>1156</v>
      </c>
      <c r="C2" s="1436" t="s">
        <v>1157</v>
      </c>
      <c r="D2" s="1437" t="s">
        <v>1158</v>
      </c>
      <c r="E2" s="1437" t="s">
        <v>1159</v>
      </c>
      <c r="F2" s="1436" t="s">
        <v>1160</v>
      </c>
      <c r="G2" s="1438"/>
      <c r="H2" s="1439"/>
      <c r="I2" s="1436" t="s">
        <v>1156</v>
      </c>
      <c r="J2" s="1437" t="s">
        <v>1385</v>
      </c>
      <c r="K2" s="1437" t="s">
        <v>751</v>
      </c>
      <c r="L2" s="1436" t="s">
        <v>1160</v>
      </c>
      <c r="N2" s="1436" t="s">
        <v>1156</v>
      </c>
      <c r="O2" s="1437" t="s">
        <v>1385</v>
      </c>
      <c r="P2" s="1437" t="s">
        <v>751</v>
      </c>
      <c r="Q2" s="1436" t="s">
        <v>1160</v>
      </c>
      <c r="R2" s="1440"/>
      <c r="S2" s="1436" t="s">
        <v>1156</v>
      </c>
      <c r="T2" s="1437" t="s">
        <v>1385</v>
      </c>
      <c r="U2" s="1437" t="s">
        <v>751</v>
      </c>
      <c r="V2" s="1436" t="s">
        <v>1160</v>
      </c>
      <c r="X2" s="1436" t="s">
        <v>1156</v>
      </c>
      <c r="Y2" s="1436" t="s">
        <v>1157</v>
      </c>
      <c r="Z2" s="1437" t="s">
        <v>1158</v>
      </c>
      <c r="AA2" s="1437" t="s">
        <v>1159</v>
      </c>
      <c r="AB2" s="1436" t="s">
        <v>1160</v>
      </c>
      <c r="AD2" s="1436" t="s">
        <v>1156</v>
      </c>
      <c r="AE2" s="1436" t="s">
        <v>1157</v>
      </c>
      <c r="AF2" s="1437" t="s">
        <v>1158</v>
      </c>
      <c r="AG2" s="1437" t="s">
        <v>1159</v>
      </c>
      <c r="AH2" s="1436" t="s">
        <v>1160</v>
      </c>
    </row>
    <row r="3" spans="1:34" s="2917" customFormat="1" ht="14.25">
      <c r="A3" s="2926" t="s">
        <v>3027</v>
      </c>
      <c r="B3" s="2918"/>
      <c r="C3" s="2918"/>
      <c r="D3" s="2919"/>
      <c r="E3" s="2919"/>
      <c r="F3" s="2918"/>
      <c r="G3" s="2920"/>
      <c r="H3" s="2921"/>
      <c r="I3" s="2922">
        <f>ROUND(AVERAGE($I4:$I24),2)</f>
        <v>2.19</v>
      </c>
      <c r="J3" s="2922">
        <f>ROUND(AVERAGE($J4:$J24),2)</f>
        <v>1.53</v>
      </c>
      <c r="K3" s="2922">
        <f>ROUND(AVERAGE($K4:$K24),2)</f>
        <v>2.41</v>
      </c>
      <c r="L3" s="2922">
        <f>ROUND(AVERAGE($L4:$L24),2)</f>
        <v>1.42</v>
      </c>
      <c r="N3" s="2920"/>
      <c r="O3" s="2923"/>
      <c r="P3" s="2923"/>
      <c r="Q3" s="2923"/>
      <c r="R3" s="2923"/>
      <c r="S3" s="2920"/>
      <c r="T3" s="2923"/>
      <c r="U3" s="2923"/>
      <c r="V3" s="2923"/>
      <c r="W3" s="2915"/>
      <c r="X3" s="2924">
        <f>ROUND(SUMPRODUCT(PRODUCT(1+N3:N$23)),4)</f>
        <v>1.4956</v>
      </c>
      <c r="Y3" s="2924">
        <f>ROUND(SUMPRODUCT(PRODUCT(1+O3:O$23)),4)</f>
        <v>1.3237000000000001</v>
      </c>
      <c r="Z3" s="2924">
        <f t="shared" ref="Z3:Z21" si="0">Y3</f>
        <v>1.3237000000000001</v>
      </c>
      <c r="AA3" s="2924">
        <f>ROUND(SUMPRODUCT(PRODUCT(1+P3:P$23)),4)</f>
        <v>1.554</v>
      </c>
      <c r="AB3" s="2924">
        <f>ROUND(SUMPRODUCT(PRODUCT(1+Q3:Q$23)),4)</f>
        <v>1.3087</v>
      </c>
      <c r="AD3" s="2925">
        <f>ROUND(AVERAGE(I3:I$24)/100,4)</f>
        <v>2.1899999999999999E-2</v>
      </c>
      <c r="AE3" s="2925">
        <f>ROUND(AVERAGE(J3:J$24)/100,4)</f>
        <v>1.5299999999999999E-2</v>
      </c>
      <c r="AF3" s="2925">
        <f t="shared" ref="AF3:AF22" si="1">AE3</f>
        <v>1.5299999999999999E-2</v>
      </c>
      <c r="AG3" s="2925">
        <f>ROUND(AVERAGE(K3:K$24)/100,4)</f>
        <v>2.41E-2</v>
      </c>
      <c r="AH3" s="2925">
        <f>ROUND(AVERAGE(L3:L$24)/100,4)</f>
        <v>1.4200000000000001E-2</v>
      </c>
    </row>
    <row r="4" spans="1:34" s="1441" customFormat="1" ht="14.25">
      <c r="B4" s="1442"/>
      <c r="C4" s="1442"/>
      <c r="D4" s="1443"/>
      <c r="E4" s="1443"/>
      <c r="F4" s="1442"/>
      <c r="G4" s="1444"/>
      <c r="H4" s="1445"/>
      <c r="I4" s="2911"/>
      <c r="J4" s="2911"/>
      <c r="K4" s="2911"/>
      <c r="L4" s="2911"/>
      <c r="N4" s="1444"/>
      <c r="O4" s="1446"/>
      <c r="P4" s="1446"/>
      <c r="Q4" s="1446"/>
      <c r="R4" s="1446"/>
      <c r="S4" s="1444"/>
      <c r="T4" s="1446"/>
      <c r="U4" s="1446"/>
      <c r="V4" s="1446"/>
      <c r="X4" s="1447"/>
      <c r="Y4" s="1447"/>
      <c r="Z4" s="1447"/>
      <c r="AA4" s="1447"/>
      <c r="AB4" s="1447"/>
      <c r="AD4" s="1448"/>
      <c r="AE4" s="1448"/>
      <c r="AF4" s="1448"/>
      <c r="AG4" s="1448"/>
      <c r="AH4" s="1448"/>
    </row>
    <row r="5" spans="1:34" s="1718" customFormat="1">
      <c r="A5" s="1716" t="s">
        <v>3035</v>
      </c>
      <c r="B5" s="1778">
        <f t="shared" ref="B5" si="2">B6*(1+N5)</f>
        <v>459.95733971036987</v>
      </c>
      <c r="C5" s="1778">
        <f t="shared" ref="C5" si="3">C6*(1+O5)</f>
        <v>341.22221064422405</v>
      </c>
      <c r="D5" s="1778">
        <f t="shared" ref="D5" si="4">C5</f>
        <v>341.22221064422405</v>
      </c>
      <c r="E5" s="1778">
        <f t="shared" ref="E5" si="5">E6*(1+P5)</f>
        <v>657.19161663724799</v>
      </c>
      <c r="F5" s="1778">
        <f t="shared" ref="F5" si="6">F6*(1+Q5)</f>
        <v>300.87803644464805</v>
      </c>
      <c r="G5" s="2929">
        <v>2018</v>
      </c>
      <c r="H5" s="1717">
        <v>4</v>
      </c>
      <c r="I5" s="2912">
        <v>0</v>
      </c>
      <c r="J5" s="2912">
        <v>0</v>
      </c>
      <c r="K5" s="2912">
        <v>0</v>
      </c>
      <c r="L5" s="2912">
        <v>0</v>
      </c>
      <c r="N5" s="1455">
        <f>I5/100</f>
        <v>0</v>
      </c>
      <c r="O5" s="1455">
        <f t="shared" ref="O5" si="7">J5/100</f>
        <v>0</v>
      </c>
      <c r="P5" s="1455">
        <f t="shared" ref="P5" si="8">K5/100</f>
        <v>0</v>
      </c>
      <c r="Q5" s="1455">
        <f t="shared" ref="Q5" si="9">L5/100</f>
        <v>0</v>
      </c>
      <c r="R5" s="1719"/>
      <c r="S5" s="1720"/>
      <c r="T5" s="1719"/>
      <c r="U5" s="1719"/>
      <c r="V5" s="1719"/>
      <c r="W5" s="2916" t="s">
        <v>3028</v>
      </c>
      <c r="X5" s="1713">
        <f>ROUND(SUMPRODUCT(PRODUCT(1+N5:N$23)),4)</f>
        <v>1.4956</v>
      </c>
      <c r="Y5" s="1713">
        <f>ROUND(SUMPRODUCT(PRODUCT(1+O5:O$23)),4)</f>
        <v>1.3237000000000001</v>
      </c>
      <c r="Z5" s="1713">
        <f t="shared" ref="Z5" si="10">Y5</f>
        <v>1.3237000000000001</v>
      </c>
      <c r="AA5" s="1713">
        <f>ROUND(SUMPRODUCT(PRODUCT(1+P5:P$23)),4)</f>
        <v>1.554</v>
      </c>
      <c r="AB5" s="1713">
        <f>ROUND(SUMPRODUCT(PRODUCT(1+Q5:Q$23)),4)</f>
        <v>1.3087</v>
      </c>
      <c r="AD5" s="1456">
        <f>ROUND(AVERAGE(I5:I$24)/100,4)</f>
        <v>2.1899999999999999E-2</v>
      </c>
      <c r="AE5" s="1456">
        <f>ROUND(AVERAGE(J5:J$24)/100,4)</f>
        <v>1.5299999999999999E-2</v>
      </c>
      <c r="AF5" s="1456">
        <f t="shared" ref="AF5" si="11">AE5</f>
        <v>1.5299999999999999E-2</v>
      </c>
      <c r="AG5" s="1456">
        <f>ROUND(AVERAGE(K5:K$24)/100,4)</f>
        <v>2.41E-2</v>
      </c>
      <c r="AH5" s="1456">
        <f>ROUND(AVERAGE(L5:L$24)/100,4)</f>
        <v>1.4200000000000001E-2</v>
      </c>
    </row>
    <row r="6" spans="1:34" s="1454" customFormat="1" ht="13.5" thickBot="1">
      <c r="A6" s="1449" t="s">
        <v>3036</v>
      </c>
      <c r="B6" s="1465">
        <f t="shared" ref="B6" si="12">B7*(1+N6)</f>
        <v>459.95733971036987</v>
      </c>
      <c r="C6" s="1465">
        <f t="shared" ref="C6" si="13">C7*(1+O6)</f>
        <v>341.22221064422405</v>
      </c>
      <c r="D6" s="1465">
        <f t="shared" ref="D6" si="14">C6</f>
        <v>341.22221064422405</v>
      </c>
      <c r="E6" s="1465">
        <f t="shared" ref="E6" si="15">E7*(1+P6)</f>
        <v>657.19161663724799</v>
      </c>
      <c r="F6" s="1465">
        <f t="shared" ref="F6" si="16">F7*(1+Q6)</f>
        <v>300.87803644464805</v>
      </c>
      <c r="G6" s="2927"/>
      <c r="H6" s="1452">
        <v>3</v>
      </c>
      <c r="I6" s="1452">
        <v>1.51</v>
      </c>
      <c r="J6" s="1452">
        <v>1.41</v>
      </c>
      <c r="K6" s="1452">
        <v>1.52</v>
      </c>
      <c r="L6" s="1466">
        <v>1.74</v>
      </c>
      <c r="M6" s="1459"/>
      <c r="N6" s="1460">
        <f>I6/100</f>
        <v>1.5100000000000001E-2</v>
      </c>
      <c r="O6" s="1461">
        <f t="shared" ref="O6" si="17">J6/100</f>
        <v>1.41E-2</v>
      </c>
      <c r="P6" s="1461">
        <f t="shared" ref="P6" si="18">K6/100</f>
        <v>1.52E-2</v>
      </c>
      <c r="Q6" s="1461">
        <f t="shared" ref="Q6" si="19">L6/100</f>
        <v>1.7399999999999999E-2</v>
      </c>
      <c r="R6" s="1462"/>
      <c r="S6" s="1460"/>
      <c r="T6" s="1461"/>
      <c r="U6" s="1461"/>
      <c r="V6" s="1461"/>
      <c r="W6" s="1777"/>
      <c r="X6" s="1775">
        <f>ROUND(SUMPRODUCT(PRODUCT(1+N6:N$23)),4)</f>
        <v>1.4956</v>
      </c>
      <c r="Y6" s="1775">
        <f>ROUND(SUMPRODUCT(PRODUCT(1+O6:O$23)),4)</f>
        <v>1.3237000000000001</v>
      </c>
      <c r="Z6" s="1775">
        <f t="shared" ref="Z6" si="20">Y6</f>
        <v>1.3237000000000001</v>
      </c>
      <c r="AA6" s="1775">
        <f>ROUND(SUMPRODUCT(PRODUCT(1+P6:P$23)),4)</f>
        <v>1.554</v>
      </c>
      <c r="AB6" s="1775">
        <f>ROUND(SUMPRODUCT(PRODUCT(1+Q6:Q$23)),4)</f>
        <v>1.3087</v>
      </c>
      <c r="AC6" s="1777"/>
      <c r="AD6" s="1776">
        <f>ROUND(AVERAGE(I6:I$24)/100,4)</f>
        <v>2.3099999999999999E-2</v>
      </c>
      <c r="AE6" s="1776">
        <f>ROUND(AVERAGE(J6:J$24)/100,4)</f>
        <v>1.61E-2</v>
      </c>
      <c r="AF6" s="1776">
        <f t="shared" ref="AF6" si="21">AE6</f>
        <v>1.61E-2</v>
      </c>
      <c r="AG6" s="1776">
        <f>ROUND(AVERAGE(K6:K$24)/100,4)</f>
        <v>2.53E-2</v>
      </c>
      <c r="AH6" s="1776">
        <f>ROUND(AVERAGE(L6:L$24)/100,4)</f>
        <v>1.4999999999999999E-2</v>
      </c>
    </row>
    <row r="7" spans="1:34" s="1454" customFormat="1" ht="13.5" thickBot="1">
      <c r="A7" s="1449" t="s">
        <v>3034</v>
      </c>
      <c r="B7" s="1465">
        <f t="shared" ref="B7" si="22">B8*(1+N7)</f>
        <v>453.11529869999993</v>
      </c>
      <c r="C7" s="1465">
        <f t="shared" ref="C7" si="23">C8*(1+O7)</f>
        <v>336.47787264000004</v>
      </c>
      <c r="D7" s="1465">
        <f t="shared" ref="D7" si="24">C7</f>
        <v>336.47787264000004</v>
      </c>
      <c r="E7" s="1465">
        <f t="shared" ref="E7" si="25">E8*(1+P7)</f>
        <v>647.35186823999993</v>
      </c>
      <c r="F7" s="1465">
        <f t="shared" ref="F7" si="26">F8*(1+Q7)</f>
        <v>295.73229452000004</v>
      </c>
      <c r="G7" s="2927"/>
      <c r="H7" s="1452">
        <v>2</v>
      </c>
      <c r="I7" s="1452">
        <v>1.49</v>
      </c>
      <c r="J7" s="1452">
        <v>0.96</v>
      </c>
      <c r="K7" s="1452">
        <v>1.58</v>
      </c>
      <c r="L7" s="1466">
        <v>2.44</v>
      </c>
      <c r="M7" s="1459"/>
      <c r="N7" s="1460">
        <f t="shared" ref="N7" si="27">I7/100</f>
        <v>1.49E-2</v>
      </c>
      <c r="O7" s="1461">
        <f t="shared" ref="O7" si="28">J7/100</f>
        <v>9.5999999999999992E-3</v>
      </c>
      <c r="P7" s="1461">
        <f t="shared" ref="P7" si="29">K7/100</f>
        <v>1.5800000000000002E-2</v>
      </c>
      <c r="Q7" s="1461">
        <f t="shared" ref="Q7" si="30">L7/100</f>
        <v>2.4399999999999998E-2</v>
      </c>
      <c r="R7" s="1462"/>
      <c r="S7" s="1460"/>
      <c r="T7" s="1461"/>
      <c r="U7" s="1461"/>
      <c r="V7" s="1461"/>
      <c r="W7" s="1777"/>
      <c r="X7" s="1775">
        <f>ROUND(SUMPRODUCT(PRODUCT(1+N7:N$23)),4)</f>
        <v>1.4733000000000001</v>
      </c>
      <c r="Y7" s="1775">
        <f>ROUND(SUMPRODUCT(PRODUCT(1+O7:O$23)),4)</f>
        <v>1.3052999999999999</v>
      </c>
      <c r="Z7" s="1775">
        <f t="shared" ref="Z7" si="31">Y7</f>
        <v>1.3052999999999999</v>
      </c>
      <c r="AA7" s="1775">
        <f>ROUND(SUMPRODUCT(PRODUCT(1+P7:P$23)),4)</f>
        <v>1.5306999999999999</v>
      </c>
      <c r="AB7" s="1775">
        <f>ROUND(SUMPRODUCT(PRODUCT(1+Q7:Q$23)),4)</f>
        <v>1.2863</v>
      </c>
      <c r="AC7" s="1777"/>
      <c r="AD7" s="1776">
        <f>ROUND(AVERAGE(I7:I$24)/100,4)</f>
        <v>2.35E-2</v>
      </c>
      <c r="AE7" s="1776">
        <f>ROUND(AVERAGE(J7:J$24)/100,4)</f>
        <v>1.6199999999999999E-2</v>
      </c>
      <c r="AF7" s="1776">
        <f t="shared" ref="AF7" si="32">AE7</f>
        <v>1.6199999999999999E-2</v>
      </c>
      <c r="AG7" s="1776">
        <f>ROUND(AVERAGE(K7:K$24)/100,4)</f>
        <v>2.5899999999999999E-2</v>
      </c>
      <c r="AH7" s="1776">
        <f>ROUND(AVERAGE(L7:L$24)/100,4)</f>
        <v>1.49E-2</v>
      </c>
    </row>
    <row r="8" spans="1:34" s="1454" customFormat="1" ht="13.5" thickBot="1">
      <c r="A8" s="1449" t="s">
        <v>3026</v>
      </c>
      <c r="B8" s="1465">
        <f t="shared" ref="B8" si="33">B9*(1+N8)</f>
        <v>446.46299999999997</v>
      </c>
      <c r="C8" s="1465">
        <f t="shared" ref="C8" si="34">C9*(1+O8)</f>
        <v>333.27840000000003</v>
      </c>
      <c r="D8" s="1465">
        <f t="shared" ref="D8" si="35">C8</f>
        <v>333.27840000000003</v>
      </c>
      <c r="E8" s="1465">
        <f t="shared" ref="E8" si="36">E9*(1+P8)</f>
        <v>637.28279999999995</v>
      </c>
      <c r="F8" s="1465">
        <f t="shared" ref="F8" si="37">F9*(1+Q8)</f>
        <v>288.68830000000003</v>
      </c>
      <c r="G8" s="2927"/>
      <c r="H8" s="1452">
        <v>1</v>
      </c>
      <c r="I8" s="1452">
        <v>1.7</v>
      </c>
      <c r="J8" s="1452">
        <v>1.92</v>
      </c>
      <c r="K8" s="1452">
        <v>1.64</v>
      </c>
      <c r="L8" s="1466">
        <v>2.0099999999999998</v>
      </c>
      <c r="M8" s="1459"/>
      <c r="N8" s="1460">
        <f t="shared" ref="N8:N13" si="38">I8/100</f>
        <v>1.7000000000000001E-2</v>
      </c>
      <c r="O8" s="1461">
        <f t="shared" ref="O8" si="39">J8/100</f>
        <v>1.9199999999999998E-2</v>
      </c>
      <c r="P8" s="1461">
        <f t="shared" ref="P8" si="40">K8/100</f>
        <v>1.6399999999999998E-2</v>
      </c>
      <c r="Q8" s="1461">
        <f t="shared" ref="Q8" si="41">L8/100</f>
        <v>2.0099999999999996E-2</v>
      </c>
      <c r="R8" s="1462"/>
      <c r="S8" s="1460">
        <f>B8/B9-1</f>
        <v>1.6999999999999904E-2</v>
      </c>
      <c r="T8" s="1461">
        <f t="shared" ref="T8" si="42">C8/C9-1</f>
        <v>1.9200000000000106E-2</v>
      </c>
      <c r="U8" s="1461">
        <f t="shared" ref="U8" si="43">D8/D9-1</f>
        <v>1.9200000000000106E-2</v>
      </c>
      <c r="V8" s="1461">
        <f t="shared" ref="V8" si="44">E8/E9-1</f>
        <v>1.639999999999997E-2</v>
      </c>
      <c r="W8" s="1777"/>
      <c r="X8" s="1775">
        <f>ROUND(SUMPRODUCT(PRODUCT(1+N8:N$23)),4)</f>
        <v>1.4517</v>
      </c>
      <c r="Y8" s="1775">
        <f>ROUND(SUMPRODUCT(PRODUCT(1+O8:O$23)),4)</f>
        <v>1.2928999999999999</v>
      </c>
      <c r="Z8" s="1775">
        <f t="shared" ref="Z8" si="45">Y8</f>
        <v>1.2928999999999999</v>
      </c>
      <c r="AA8" s="1775">
        <f>ROUND(SUMPRODUCT(PRODUCT(1+P8:P$23)),4)</f>
        <v>1.5068999999999999</v>
      </c>
      <c r="AB8" s="1775">
        <f>ROUND(SUMPRODUCT(PRODUCT(1+Q8:Q$23)),4)</f>
        <v>1.2557</v>
      </c>
      <c r="AC8" s="1777"/>
      <c r="AD8" s="1776">
        <f>ROUND(AVERAGE(I8:I$24)/100,4)</f>
        <v>2.4E-2</v>
      </c>
      <c r="AE8" s="1776">
        <f>ROUND(AVERAGE(J8:J$24)/100,4)</f>
        <v>1.66E-2</v>
      </c>
      <c r="AF8" s="1776">
        <f t="shared" ref="AF8" si="46">AE8</f>
        <v>1.66E-2</v>
      </c>
      <c r="AG8" s="1776">
        <f>ROUND(AVERAGE(K8:K$24)/100,4)</f>
        <v>2.6499999999999999E-2</v>
      </c>
      <c r="AH8" s="1776">
        <f>ROUND(AVERAGE(L8:L$24)/100,4)</f>
        <v>1.43E-2</v>
      </c>
    </row>
    <row r="9" spans="1:34">
      <c r="A9" s="1449" t="s">
        <v>3023</v>
      </c>
      <c r="B9" s="1457">
        <v>439</v>
      </c>
      <c r="C9" s="1457">
        <v>327</v>
      </c>
      <c r="D9" s="1457">
        <f>C9</f>
        <v>327</v>
      </c>
      <c r="E9" s="1457">
        <v>627</v>
      </c>
      <c r="F9" s="1458">
        <v>283</v>
      </c>
      <c r="G9" s="2914">
        <v>2017</v>
      </c>
      <c r="H9" s="1450">
        <v>4</v>
      </c>
      <c r="I9" s="1450">
        <v>1.71</v>
      </c>
      <c r="J9" s="1450">
        <v>1.78</v>
      </c>
      <c r="K9" s="1450">
        <v>1.71</v>
      </c>
      <c r="L9" s="1451">
        <v>1.43</v>
      </c>
      <c r="N9" s="1460">
        <f t="shared" si="38"/>
        <v>1.7100000000000001E-2</v>
      </c>
      <c r="O9" s="1461">
        <f t="shared" ref="O9" si="47">J9/100</f>
        <v>1.78E-2</v>
      </c>
      <c r="P9" s="1461">
        <f t="shared" ref="P9" si="48">K9/100</f>
        <v>1.7100000000000001E-2</v>
      </c>
      <c r="Q9" s="1461">
        <f t="shared" ref="Q9" si="49">L9/100</f>
        <v>1.43E-2</v>
      </c>
      <c r="R9" s="1462"/>
      <c r="S9" s="1463"/>
      <c r="T9" s="1464"/>
      <c r="U9" s="1464"/>
      <c r="V9" s="1464"/>
      <c r="X9" s="1447">
        <f>ROUND(SUMPRODUCT(PRODUCT(1+N9:N$23)),4)</f>
        <v>1.4274</v>
      </c>
      <c r="Y9" s="1447">
        <f>ROUND(SUMPRODUCT(PRODUCT(1+O9:O$23)),4)</f>
        <v>1.2685</v>
      </c>
      <c r="Z9" s="1447">
        <f t="shared" si="0"/>
        <v>1.2685</v>
      </c>
      <c r="AA9" s="1447">
        <f>ROUND(SUMPRODUCT(PRODUCT(1+P9:P$23)),4)</f>
        <v>1.4825999999999999</v>
      </c>
      <c r="AB9" s="1447">
        <f>ROUND(SUMPRODUCT(PRODUCT(1+Q9:Q$23)),4)</f>
        <v>1.2309000000000001</v>
      </c>
      <c r="AD9" s="1448">
        <f>ROUND(AVERAGE(I9:I$24)/100,4)</f>
        <v>2.4500000000000001E-2</v>
      </c>
      <c r="AE9" s="1448">
        <f>ROUND(AVERAGE(J9:J$24)/100,4)</f>
        <v>1.6500000000000001E-2</v>
      </c>
      <c r="AF9" s="1448">
        <f t="shared" si="1"/>
        <v>1.6500000000000001E-2</v>
      </c>
      <c r="AG9" s="1448">
        <f>ROUND(AVERAGE(K9:K$24)/100,4)</f>
        <v>2.7099999999999999E-2</v>
      </c>
      <c r="AH9" s="1448">
        <f>ROUND(AVERAGE(L9:L$24)/100,4)</f>
        <v>1.3899999999999999E-2</v>
      </c>
    </row>
    <row r="10" spans="1:34" s="1454" customFormat="1" ht="13.5" thickBot="1">
      <c r="A10" s="1449" t="s">
        <v>3024</v>
      </c>
      <c r="B10" s="1465">
        <f t="shared" ref="B10:B11" si="50">B11*(1+N10)</f>
        <v>431.80730811680002</v>
      </c>
      <c r="C10" s="1465">
        <f t="shared" ref="C10:C11" si="51">C11*(1+O10)</f>
        <v>320.57880516480003</v>
      </c>
      <c r="D10" s="1465">
        <f t="shared" ref="D10:D11" si="52">C10</f>
        <v>320.57880516480003</v>
      </c>
      <c r="E10" s="1465">
        <f t="shared" ref="E10:E11" si="53">E11*(1+P10)</f>
        <v>615.96110553196797</v>
      </c>
      <c r="F10" s="1465">
        <f t="shared" ref="F10:F11" si="54">F11*(1+Q10)</f>
        <v>279.46777300108801</v>
      </c>
      <c r="G10" s="2910"/>
      <c r="H10" s="1452">
        <v>3</v>
      </c>
      <c r="I10" s="1452">
        <v>2.98</v>
      </c>
      <c r="J10" s="1452">
        <v>2.11</v>
      </c>
      <c r="K10" s="1452">
        <v>3.24</v>
      </c>
      <c r="L10" s="1466">
        <v>1.72</v>
      </c>
      <c r="M10" s="1459"/>
      <c r="N10" s="1460">
        <f t="shared" si="38"/>
        <v>2.98E-2</v>
      </c>
      <c r="O10" s="1461">
        <f t="shared" ref="O10" si="55">J10/100</f>
        <v>2.1099999999999997E-2</v>
      </c>
      <c r="P10" s="1461">
        <f t="shared" ref="P10" si="56">K10/100</f>
        <v>3.2400000000000005E-2</v>
      </c>
      <c r="Q10" s="1461">
        <f t="shared" ref="Q10" si="57">L10/100</f>
        <v>1.72E-2</v>
      </c>
      <c r="R10" s="1462"/>
      <c r="S10" s="1460"/>
      <c r="T10" s="1461"/>
      <c r="U10" s="1461"/>
      <c r="V10" s="1461"/>
      <c r="W10" s="1777"/>
      <c r="X10" s="1775">
        <f>ROUND(SUMPRODUCT(PRODUCT(1+N10:N$23)),4)</f>
        <v>1.4034</v>
      </c>
      <c r="Y10" s="1775">
        <f>ROUND(SUMPRODUCT(PRODUCT(1+O10:O$23)),4)</f>
        <v>1.2463</v>
      </c>
      <c r="Z10" s="1775">
        <f t="shared" si="0"/>
        <v>1.2463</v>
      </c>
      <c r="AA10" s="1775">
        <f>ROUND(SUMPRODUCT(PRODUCT(1+P10:P$23)),4)</f>
        <v>1.4577</v>
      </c>
      <c r="AB10" s="1775">
        <f>ROUND(SUMPRODUCT(PRODUCT(1+Q10:Q$23)),4)</f>
        <v>1.2136</v>
      </c>
      <c r="AC10" s="1777"/>
      <c r="AD10" s="1776">
        <f>ROUND(AVERAGE(I10:I$24)/100,4)</f>
        <v>2.4899999999999999E-2</v>
      </c>
      <c r="AE10" s="1776">
        <f>ROUND(AVERAGE(J10:J$24)/100,4)</f>
        <v>1.6400000000000001E-2</v>
      </c>
      <c r="AF10" s="1776">
        <f t="shared" si="1"/>
        <v>1.6400000000000001E-2</v>
      </c>
      <c r="AG10" s="1776">
        <f>ROUND(AVERAGE(K10:K$24)/100,4)</f>
        <v>2.7799999999999998E-2</v>
      </c>
      <c r="AH10" s="1776">
        <f>ROUND(AVERAGE(L10:L$24)/100,4)</f>
        <v>1.3899999999999999E-2</v>
      </c>
    </row>
    <row r="11" spans="1:34" s="1718" customFormat="1">
      <c r="A11" s="1449" t="s">
        <v>1386</v>
      </c>
      <c r="B11" s="1465">
        <f t="shared" si="50"/>
        <v>419.31181600000002</v>
      </c>
      <c r="C11" s="1465">
        <f t="shared" si="51"/>
        <v>313.95436800000004</v>
      </c>
      <c r="D11" s="1465">
        <f t="shared" si="52"/>
        <v>313.95436800000004</v>
      </c>
      <c r="E11" s="1465">
        <f t="shared" si="53"/>
        <v>596.63028431999999</v>
      </c>
      <c r="F11" s="1465">
        <f t="shared" si="54"/>
        <v>274.74220703999998</v>
      </c>
      <c r="G11" s="2909"/>
      <c r="H11" s="1453">
        <v>2</v>
      </c>
      <c r="I11" s="1453">
        <v>3.4</v>
      </c>
      <c r="J11" s="1453">
        <v>2</v>
      </c>
      <c r="K11" s="1453">
        <v>3.82</v>
      </c>
      <c r="L11" s="1467">
        <v>1.68</v>
      </c>
      <c r="M11" s="1459"/>
      <c r="N11" s="1460">
        <f t="shared" si="38"/>
        <v>3.4000000000000002E-2</v>
      </c>
      <c r="O11" s="1461">
        <f t="shared" ref="O11" si="58">J11/100</f>
        <v>0.02</v>
      </c>
      <c r="P11" s="1461">
        <f t="shared" ref="P11" si="59">K11/100</f>
        <v>3.8199999999999998E-2</v>
      </c>
      <c r="Q11" s="1461">
        <f t="shared" ref="Q11" si="60">L11/100</f>
        <v>1.6799999999999999E-2</v>
      </c>
      <c r="R11" s="1462"/>
      <c r="S11" s="1463"/>
      <c r="T11" s="1464"/>
      <c r="U11" s="1464"/>
      <c r="V11" s="1464"/>
      <c r="W11" s="1441"/>
      <c r="X11" s="1775">
        <f>ROUND(SUMPRODUCT(PRODUCT(1+N11:N$23)),4)</f>
        <v>1.3628</v>
      </c>
      <c r="Y11" s="1775">
        <f>ROUND(SUMPRODUCT(PRODUCT(1+O11:O$23)),4)</f>
        <v>1.2205999999999999</v>
      </c>
      <c r="Z11" s="1775">
        <f t="shared" si="0"/>
        <v>1.2205999999999999</v>
      </c>
      <c r="AA11" s="1775">
        <f>ROUND(SUMPRODUCT(PRODUCT(1+P11:P$23)),4)</f>
        <v>1.4118999999999999</v>
      </c>
      <c r="AB11" s="1775">
        <f>ROUND(SUMPRODUCT(PRODUCT(1+Q11:Q$23)),4)</f>
        <v>1.1930000000000001</v>
      </c>
      <c r="AC11" s="1441"/>
      <c r="AD11" s="1776">
        <f>ROUND(AVERAGE(I11:I$24)/100,4)</f>
        <v>2.46E-2</v>
      </c>
      <c r="AE11" s="1776">
        <f>ROUND(AVERAGE(J11:J$24)/100,4)</f>
        <v>1.6E-2</v>
      </c>
      <c r="AF11" s="1776">
        <f t="shared" si="1"/>
        <v>1.6E-2</v>
      </c>
      <c r="AG11" s="1776">
        <f>ROUND(AVERAGE(K11:K$24)/100,4)</f>
        <v>2.75E-2</v>
      </c>
      <c r="AH11" s="1776">
        <f>ROUND(AVERAGE(L11:L$24)/100,4)</f>
        <v>1.37E-2</v>
      </c>
    </row>
    <row r="12" spans="1:34" s="1454" customFormat="1" ht="13.5" thickBot="1">
      <c r="A12" s="1449" t="s">
        <v>1161</v>
      </c>
      <c r="B12" s="1465">
        <f>B13*(1+N12)</f>
        <v>405.524</v>
      </c>
      <c r="C12" s="1465">
        <f>C13*(1+O12)</f>
        <v>307.79840000000002</v>
      </c>
      <c r="D12" s="1465">
        <f>C12</f>
        <v>307.79840000000002</v>
      </c>
      <c r="E12" s="1465">
        <f>E13*(1+P12)</f>
        <v>574.67759999999998</v>
      </c>
      <c r="F12" s="1465">
        <f>F13*(1+Q12)</f>
        <v>270.20280000000002</v>
      </c>
      <c r="G12" s="2910"/>
      <c r="H12" s="1452">
        <v>1</v>
      </c>
      <c r="I12" s="1452">
        <v>3.45</v>
      </c>
      <c r="J12" s="1452">
        <v>1.92</v>
      </c>
      <c r="K12" s="1452">
        <v>3.92</v>
      </c>
      <c r="L12" s="1466">
        <v>1.58</v>
      </c>
      <c r="M12" s="1459"/>
      <c r="N12" s="1460">
        <f t="shared" si="38"/>
        <v>3.4500000000000003E-2</v>
      </c>
      <c r="O12" s="1461">
        <f t="shared" ref="O12:Q27" si="61">J12/100</f>
        <v>1.9199999999999998E-2</v>
      </c>
      <c r="P12" s="1461">
        <f t="shared" si="61"/>
        <v>3.9199999999999999E-2</v>
      </c>
      <c r="Q12" s="1461">
        <f t="shared" si="61"/>
        <v>1.5800000000000002E-2</v>
      </c>
      <c r="R12" s="1462"/>
      <c r="S12" s="1460">
        <f>B12/B13-1</f>
        <v>3.4499999999999975E-2</v>
      </c>
      <c r="T12" s="1461">
        <f t="shared" ref="T12:V12" si="62">C12/C13-1</f>
        <v>1.9200000000000106E-2</v>
      </c>
      <c r="U12" s="1461">
        <f t="shared" si="62"/>
        <v>1.9200000000000106E-2</v>
      </c>
      <c r="V12" s="1461">
        <f t="shared" si="62"/>
        <v>3.9199999999999902E-2</v>
      </c>
      <c r="W12" s="1777"/>
      <c r="X12" s="1775">
        <f>ROUND(SUMPRODUCT(PRODUCT(1+N12:N$23)),4)</f>
        <v>1.3180000000000001</v>
      </c>
      <c r="Y12" s="1775">
        <f>ROUND(SUMPRODUCT(PRODUCT(1+O12:O$23)),4)</f>
        <v>1.1966000000000001</v>
      </c>
      <c r="Z12" s="1775">
        <f t="shared" si="0"/>
        <v>1.1966000000000001</v>
      </c>
      <c r="AA12" s="1775">
        <f>ROUND(SUMPRODUCT(PRODUCT(1+P12:P$23)),4)</f>
        <v>1.36</v>
      </c>
      <c r="AB12" s="1775">
        <f>ROUND(SUMPRODUCT(PRODUCT(1+Q12:Q$23)),4)</f>
        <v>1.1733</v>
      </c>
      <c r="AC12" s="1777"/>
      <c r="AD12" s="1776">
        <f>ROUND(AVERAGE(I12:I$24)/100,4)</f>
        <v>2.3900000000000001E-2</v>
      </c>
      <c r="AE12" s="1776">
        <f>ROUND(AVERAGE(J12:J$24)/100,4)</f>
        <v>1.5699999999999999E-2</v>
      </c>
      <c r="AF12" s="1776">
        <f t="shared" si="1"/>
        <v>1.5699999999999999E-2</v>
      </c>
      <c r="AG12" s="1776">
        <f>ROUND(AVERAGE(K12:K$24)/100,4)</f>
        <v>2.6599999999999999E-2</v>
      </c>
      <c r="AH12" s="1776">
        <f>ROUND(AVERAGE(L12:L$24)/100,4)</f>
        <v>1.34E-2</v>
      </c>
    </row>
    <row r="13" spans="1:34">
      <c r="A13" s="1449" t="s">
        <v>154</v>
      </c>
      <c r="B13" s="1457">
        <v>392</v>
      </c>
      <c r="C13" s="1457">
        <v>302</v>
      </c>
      <c r="D13" s="1457">
        <f>C13</f>
        <v>302</v>
      </c>
      <c r="E13" s="1457">
        <v>553</v>
      </c>
      <c r="F13" s="1458">
        <v>266</v>
      </c>
      <c r="G13" s="3394">
        <v>2016</v>
      </c>
      <c r="H13" s="1450">
        <v>4</v>
      </c>
      <c r="I13" s="1450">
        <v>4.5599999999999996</v>
      </c>
      <c r="J13" s="1450">
        <v>2.15</v>
      </c>
      <c r="K13" s="1450">
        <v>5.32</v>
      </c>
      <c r="L13" s="1451">
        <v>1.57</v>
      </c>
      <c r="N13" s="1460">
        <f t="shared" si="38"/>
        <v>4.5599999999999995E-2</v>
      </c>
      <c r="O13" s="1461">
        <f t="shared" si="61"/>
        <v>2.1499999999999998E-2</v>
      </c>
      <c r="P13" s="1461">
        <f t="shared" si="61"/>
        <v>5.3200000000000004E-2</v>
      </c>
      <c r="Q13" s="1461">
        <f t="shared" si="61"/>
        <v>1.5700000000000002E-2</v>
      </c>
      <c r="R13" s="1462"/>
      <c r="S13" s="1463"/>
      <c r="T13" s="1464"/>
      <c r="U13" s="1464"/>
      <c r="V13" s="1464"/>
      <c r="X13" s="1447">
        <f>ROUND(SUMPRODUCT(PRODUCT(1+N13:N$23)),4)</f>
        <v>1.274</v>
      </c>
      <c r="Y13" s="1447">
        <f>ROUND(SUMPRODUCT(PRODUCT(1+O13:O$23)),4)</f>
        <v>1.1740999999999999</v>
      </c>
      <c r="Z13" s="1447">
        <f t="shared" si="0"/>
        <v>1.1740999999999999</v>
      </c>
      <c r="AA13" s="1447">
        <f>ROUND(SUMPRODUCT(PRODUCT(1+P13:P$23)),4)</f>
        <v>1.3087</v>
      </c>
      <c r="AB13" s="1447">
        <f>ROUND(SUMPRODUCT(PRODUCT(1+Q13:Q$23)),4)</f>
        <v>1.1551</v>
      </c>
      <c r="AD13" s="1448">
        <f>ROUND(AVERAGE(I13:I$24)/100,4)</f>
        <v>2.3E-2</v>
      </c>
      <c r="AE13" s="1448">
        <f>ROUND(AVERAGE(J13:J$24)/100,4)</f>
        <v>1.55E-2</v>
      </c>
      <c r="AF13" s="1448">
        <f t="shared" si="1"/>
        <v>1.55E-2</v>
      </c>
      <c r="AG13" s="1448">
        <f>ROUND(AVERAGE(K13:K$24)/100,4)</f>
        <v>2.5600000000000001E-2</v>
      </c>
      <c r="AH13" s="1448">
        <f>ROUND(AVERAGE(L13:L$24)/100,4)</f>
        <v>1.32E-2</v>
      </c>
    </row>
    <row r="14" spans="1:34">
      <c r="A14" s="1449" t="s">
        <v>153</v>
      </c>
      <c r="B14" s="1465">
        <f t="shared" ref="B14:C16" si="63">B13/(1+N13)</f>
        <v>374.90436113236416</v>
      </c>
      <c r="C14" s="1465">
        <f t="shared" si="63"/>
        <v>295.64366128242779</v>
      </c>
      <c r="D14" s="1465">
        <f t="shared" ref="D14:D73" si="64">C14</f>
        <v>295.64366128242779</v>
      </c>
      <c r="E14" s="1465">
        <f t="shared" ref="E14:F16" si="65">E13/(1+P13)</f>
        <v>525.06646410938095</v>
      </c>
      <c r="F14" s="1465">
        <f t="shared" si="65"/>
        <v>261.88835286009646</v>
      </c>
      <c r="G14" s="3391"/>
      <c r="H14" s="1452">
        <v>3</v>
      </c>
      <c r="I14" s="1452">
        <v>4.12</v>
      </c>
      <c r="J14" s="1452">
        <v>2</v>
      </c>
      <c r="K14" s="1452">
        <v>4.79</v>
      </c>
      <c r="L14" s="1466">
        <v>1.97</v>
      </c>
      <c r="N14" s="1460">
        <f t="shared" ref="N14:Q48" si="66">I14/100</f>
        <v>4.1200000000000001E-2</v>
      </c>
      <c r="O14" s="1461">
        <f t="shared" si="61"/>
        <v>0.02</v>
      </c>
      <c r="P14" s="1461">
        <f t="shared" si="61"/>
        <v>4.7899999999999998E-2</v>
      </c>
      <c r="Q14" s="1461">
        <f t="shared" si="61"/>
        <v>1.9699999999999999E-2</v>
      </c>
      <c r="R14" s="1462"/>
      <c r="S14" s="1460"/>
      <c r="T14" s="1461"/>
      <c r="U14" s="1461"/>
      <c r="V14" s="1461"/>
      <c r="X14" s="1447">
        <f>ROUND(SUMPRODUCT(PRODUCT(1+N14:N$23)),4)</f>
        <v>1.2184999999999999</v>
      </c>
      <c r="Y14" s="1447">
        <f>ROUND(SUMPRODUCT(PRODUCT(1+O14:O$23)),4)</f>
        <v>1.1494</v>
      </c>
      <c r="Z14" s="1447">
        <f t="shared" si="0"/>
        <v>1.1494</v>
      </c>
      <c r="AA14" s="1447">
        <f>ROUND(SUMPRODUCT(PRODUCT(1+P14:P$23)),4)</f>
        <v>1.2425999999999999</v>
      </c>
      <c r="AB14" s="1447">
        <f>ROUND(SUMPRODUCT(PRODUCT(1+Q14:Q$23)),4)</f>
        <v>1.1372</v>
      </c>
      <c r="AD14" s="1448">
        <f>ROUND(AVERAGE(I14:I$24)/100,4)</f>
        <v>2.0899999999999998E-2</v>
      </c>
      <c r="AE14" s="1448">
        <f>ROUND(AVERAGE(J14:J$24)/100,4)</f>
        <v>1.49E-2</v>
      </c>
      <c r="AF14" s="1448">
        <f t="shared" si="1"/>
        <v>1.49E-2</v>
      </c>
      <c r="AG14" s="1448">
        <f>ROUND(AVERAGE(K14:K$24)/100,4)</f>
        <v>2.3099999999999999E-2</v>
      </c>
      <c r="AH14" s="1448">
        <f>ROUND(AVERAGE(L14:L$24)/100,4)</f>
        <v>1.2999999999999999E-2</v>
      </c>
    </row>
    <row r="15" spans="1:34">
      <c r="A15" s="1449" t="s">
        <v>143</v>
      </c>
      <c r="B15" s="1465">
        <f t="shared" si="63"/>
        <v>360.06949782209392</v>
      </c>
      <c r="C15" s="1465">
        <f t="shared" si="63"/>
        <v>289.84672674747821</v>
      </c>
      <c r="D15" s="1465">
        <f t="shared" si="64"/>
        <v>289.84672674747821</v>
      </c>
      <c r="E15" s="1465">
        <f t="shared" si="65"/>
        <v>501.06543001181495</v>
      </c>
      <c r="F15" s="1465">
        <f t="shared" si="65"/>
        <v>256.82882500744967</v>
      </c>
      <c r="G15" s="3391"/>
      <c r="H15" s="1453">
        <v>2</v>
      </c>
      <c r="I15" s="1453">
        <v>3.85</v>
      </c>
      <c r="J15" s="1453">
        <v>1.95</v>
      </c>
      <c r="K15" s="1453">
        <v>4.4800000000000004</v>
      </c>
      <c r="L15" s="1467">
        <v>1.41</v>
      </c>
      <c r="N15" s="1460">
        <f t="shared" si="66"/>
        <v>3.85E-2</v>
      </c>
      <c r="O15" s="1461">
        <f t="shared" si="61"/>
        <v>1.95E-2</v>
      </c>
      <c r="P15" s="1461">
        <f t="shared" si="61"/>
        <v>4.4800000000000006E-2</v>
      </c>
      <c r="Q15" s="1461">
        <f t="shared" si="61"/>
        <v>1.41E-2</v>
      </c>
      <c r="R15" s="1462"/>
      <c r="S15" s="1460"/>
      <c r="T15" s="1461"/>
      <c r="U15" s="1461"/>
      <c r="V15" s="1461"/>
      <c r="X15" s="1447">
        <f>ROUND(SUMPRODUCT(PRODUCT(1+N15:N$23)),4)</f>
        <v>1.1702999999999999</v>
      </c>
      <c r="Y15" s="1447">
        <f>ROUND(SUMPRODUCT(PRODUCT(1+O15:O$23)),4)</f>
        <v>1.1269</v>
      </c>
      <c r="Z15" s="1447">
        <f t="shared" si="0"/>
        <v>1.1269</v>
      </c>
      <c r="AA15" s="1447">
        <f>ROUND(SUMPRODUCT(PRODUCT(1+P15:P$23)),4)</f>
        <v>1.1858</v>
      </c>
      <c r="AB15" s="1447">
        <f>ROUND(SUMPRODUCT(PRODUCT(1+Q15:Q$23)),4)</f>
        <v>1.1152</v>
      </c>
      <c r="AD15" s="1448">
        <f>ROUND(AVERAGE(I15:I$24)/100,4)</f>
        <v>1.89E-2</v>
      </c>
      <c r="AE15" s="1448">
        <f>ROUND(AVERAGE(J15:J$24)/100,4)</f>
        <v>1.44E-2</v>
      </c>
      <c r="AF15" s="1448">
        <f t="shared" si="1"/>
        <v>1.44E-2</v>
      </c>
      <c r="AG15" s="1448">
        <f>ROUND(AVERAGE(K15:K$24)/100,4)</f>
        <v>2.06E-2</v>
      </c>
      <c r="AH15" s="1448">
        <f>ROUND(AVERAGE(L15:L$24)/100,4)</f>
        <v>1.23E-2</v>
      </c>
    </row>
    <row r="16" spans="1:34" ht="13.5" thickBot="1">
      <c r="A16" s="1449" t="s">
        <v>152</v>
      </c>
      <c r="B16" s="1465">
        <f t="shared" si="63"/>
        <v>346.720748986128</v>
      </c>
      <c r="C16" s="1465">
        <f t="shared" si="63"/>
        <v>284.30282172386285</v>
      </c>
      <c r="D16" s="1465">
        <f t="shared" si="64"/>
        <v>284.30282172386285</v>
      </c>
      <c r="E16" s="1465">
        <f t="shared" si="65"/>
        <v>479.58023546306947</v>
      </c>
      <c r="F16" s="1465">
        <f t="shared" si="65"/>
        <v>253.25788877571213</v>
      </c>
      <c r="G16" s="3392"/>
      <c r="H16" s="1452">
        <v>1</v>
      </c>
      <c r="I16" s="1452">
        <v>4.09</v>
      </c>
      <c r="J16" s="1452">
        <v>2.93</v>
      </c>
      <c r="K16" s="1452">
        <v>4.54</v>
      </c>
      <c r="L16" s="1466">
        <v>1.48</v>
      </c>
      <c r="N16" s="1460">
        <f t="shared" si="66"/>
        <v>4.0899999999999999E-2</v>
      </c>
      <c r="O16" s="1461">
        <f t="shared" si="61"/>
        <v>2.9300000000000003E-2</v>
      </c>
      <c r="P16" s="1461">
        <f t="shared" si="61"/>
        <v>4.5400000000000003E-2</v>
      </c>
      <c r="Q16" s="1461">
        <f t="shared" si="61"/>
        <v>1.4800000000000001E-2</v>
      </c>
      <c r="R16" s="1462"/>
      <c r="S16" s="1468">
        <f>B16/B17-1</f>
        <v>4.1203450408792808E-2</v>
      </c>
      <c r="T16" s="1469">
        <f>C16/C17-1</f>
        <v>2.6363977342465095E-2</v>
      </c>
      <c r="U16" s="1469">
        <f>E16/E17-1</f>
        <v>4.4837114298626357E-2</v>
      </c>
      <c r="V16" s="1469">
        <f>F16/F17-1</f>
        <v>1.7099954922538574E-2</v>
      </c>
      <c r="X16" s="1447">
        <f>ROUND(SUMPRODUCT(PRODUCT(1+N16:N$23)),4)</f>
        <v>1.1269</v>
      </c>
      <c r="Y16" s="1447">
        <f>ROUND(SUMPRODUCT(PRODUCT(1+O16:O$23)),4)</f>
        <v>1.1052999999999999</v>
      </c>
      <c r="Z16" s="1447">
        <f t="shared" si="0"/>
        <v>1.1052999999999999</v>
      </c>
      <c r="AA16" s="1447">
        <f>ROUND(SUMPRODUCT(PRODUCT(1+P16:P$23)),4)</f>
        <v>1.1349</v>
      </c>
      <c r="AB16" s="1447">
        <f>ROUND(SUMPRODUCT(PRODUCT(1+Q16:Q$23)),4)</f>
        <v>1.0996999999999999</v>
      </c>
      <c r="AD16" s="1448">
        <f>ROUND(AVERAGE(I16:I$24)/100,4)</f>
        <v>1.67E-2</v>
      </c>
      <c r="AE16" s="1448">
        <f>ROUND(AVERAGE(J16:J$24)/100,4)</f>
        <v>1.38E-2</v>
      </c>
      <c r="AF16" s="1448">
        <f t="shared" si="1"/>
        <v>1.38E-2</v>
      </c>
      <c r="AG16" s="1448">
        <f>ROUND(AVERAGE(K16:K$24)/100,4)</f>
        <v>1.7899999999999999E-2</v>
      </c>
      <c r="AH16" s="1448">
        <f>ROUND(AVERAGE(L16:L$24)/100,4)</f>
        <v>1.21E-2</v>
      </c>
    </row>
    <row r="17" spans="1:34" ht="13.5" thickBot="1">
      <c r="A17" s="1449" t="s">
        <v>151</v>
      </c>
      <c r="B17" s="1457">
        <v>333</v>
      </c>
      <c r="C17" s="1457">
        <v>277</v>
      </c>
      <c r="D17" s="1457">
        <f t="shared" si="64"/>
        <v>277</v>
      </c>
      <c r="E17" s="1457">
        <v>459</v>
      </c>
      <c r="F17" s="1458">
        <v>249</v>
      </c>
      <c r="G17" s="3390">
        <v>2015</v>
      </c>
      <c r="H17" s="1470">
        <v>4</v>
      </c>
      <c r="I17" s="1470">
        <v>1.63</v>
      </c>
      <c r="J17" s="1470">
        <v>1.1100000000000001</v>
      </c>
      <c r="K17" s="1470">
        <v>1.77</v>
      </c>
      <c r="L17" s="1471">
        <v>1.89</v>
      </c>
      <c r="N17" s="1472">
        <f t="shared" si="66"/>
        <v>1.6299999999999999E-2</v>
      </c>
      <c r="O17" s="1473">
        <f t="shared" si="61"/>
        <v>1.11E-2</v>
      </c>
      <c r="P17" s="1473">
        <f t="shared" si="61"/>
        <v>1.77E-2</v>
      </c>
      <c r="Q17" s="1473">
        <f t="shared" si="61"/>
        <v>1.89E-2</v>
      </c>
      <c r="R17" s="1462"/>
      <c r="X17" s="1447">
        <f>ROUND(SUMPRODUCT(PRODUCT(1+N17:N$23)),4)</f>
        <v>1.0826</v>
      </c>
      <c r="Y17" s="1447">
        <f>ROUND(SUMPRODUCT(PRODUCT(1+O17:O$23)),4)</f>
        <v>1.0738000000000001</v>
      </c>
      <c r="Z17" s="1447">
        <f t="shared" si="0"/>
        <v>1.0738000000000001</v>
      </c>
      <c r="AA17" s="1447">
        <f>ROUND(SUMPRODUCT(PRODUCT(1+P17:P$23)),4)</f>
        <v>1.0855999999999999</v>
      </c>
      <c r="AB17" s="1447">
        <f>ROUND(SUMPRODUCT(PRODUCT(1+Q17:Q$23)),4)</f>
        <v>1.0837000000000001</v>
      </c>
      <c r="AD17" s="1448">
        <f>ROUND(AVERAGE(I17:I$24)/100,4)</f>
        <v>1.37E-2</v>
      </c>
      <c r="AE17" s="1448">
        <f>ROUND(AVERAGE(J17:J$24)/100,4)</f>
        <v>1.1900000000000001E-2</v>
      </c>
      <c r="AF17" s="1448">
        <f t="shared" si="1"/>
        <v>1.1900000000000001E-2</v>
      </c>
      <c r="AG17" s="1448">
        <f>ROUND(AVERAGE(K17:K$24)/100,4)</f>
        <v>1.4500000000000001E-2</v>
      </c>
      <c r="AH17" s="1448">
        <f>ROUND(AVERAGE(L17:L$24)/100,4)</f>
        <v>1.18E-2</v>
      </c>
    </row>
    <row r="18" spans="1:34">
      <c r="A18" s="1449" t="s">
        <v>150</v>
      </c>
      <c r="B18" s="1465">
        <f t="shared" ref="B18:C20" si="67">B17/(1+N17)</f>
        <v>327.65915576109415</v>
      </c>
      <c r="C18" s="1465">
        <f t="shared" si="67"/>
        <v>273.95905449510434</v>
      </c>
      <c r="D18" s="1465">
        <f t="shared" si="64"/>
        <v>273.95905449510434</v>
      </c>
      <c r="E18" s="1465">
        <f t="shared" ref="E18:F20" si="68">E17/(1+P17)</f>
        <v>451.01699911565294</v>
      </c>
      <c r="F18" s="1465">
        <f t="shared" si="68"/>
        <v>244.38119540681129</v>
      </c>
      <c r="G18" s="3391"/>
      <c r="H18" s="1475">
        <v>3</v>
      </c>
      <c r="I18" s="1475">
        <v>1.65</v>
      </c>
      <c r="J18" s="1475">
        <v>0.92</v>
      </c>
      <c r="K18" s="1475">
        <v>1.88</v>
      </c>
      <c r="L18" s="1476">
        <v>1.26</v>
      </c>
      <c r="N18" s="1460">
        <f t="shared" si="66"/>
        <v>1.6500000000000001E-2</v>
      </c>
      <c r="O18" s="1477">
        <f t="shared" si="61"/>
        <v>9.1999999999999998E-3</v>
      </c>
      <c r="P18" s="1477">
        <f t="shared" si="61"/>
        <v>1.8799999999999997E-2</v>
      </c>
      <c r="Q18" s="1477">
        <f t="shared" si="61"/>
        <v>1.26E-2</v>
      </c>
      <c r="R18" s="1462"/>
      <c r="S18" s="1460"/>
      <c r="T18" s="1461"/>
      <c r="U18" s="1461"/>
      <c r="V18" s="1461"/>
      <c r="X18" s="1447">
        <f>ROUND(SUMPRODUCT(PRODUCT(1+N18:N$23)),4)</f>
        <v>1.0651999999999999</v>
      </c>
      <c r="Y18" s="1447">
        <f>ROUND(SUMPRODUCT(PRODUCT(1+O18:O$23)),4)</f>
        <v>1.0621</v>
      </c>
      <c r="Z18" s="1447">
        <f t="shared" si="0"/>
        <v>1.0621</v>
      </c>
      <c r="AA18" s="1447">
        <f>ROUND(SUMPRODUCT(PRODUCT(1+P18:P$23)),4)</f>
        <v>1.0668</v>
      </c>
      <c r="AB18" s="1447">
        <f>ROUND(SUMPRODUCT(PRODUCT(1+Q18:Q$23)),4)</f>
        <v>1.0636000000000001</v>
      </c>
      <c r="AD18" s="1448">
        <f>ROUND(AVERAGE(I18:I$24)/100,4)</f>
        <v>1.3299999999999999E-2</v>
      </c>
      <c r="AE18" s="1448">
        <f>ROUND(AVERAGE(J18:J$24)/100,4)</f>
        <v>1.2E-2</v>
      </c>
      <c r="AF18" s="1448">
        <f t="shared" si="1"/>
        <v>1.2E-2</v>
      </c>
      <c r="AG18" s="1448">
        <f>ROUND(AVERAGE(K18:K$24)/100,4)</f>
        <v>1.4E-2</v>
      </c>
      <c r="AH18" s="1448">
        <f>ROUND(AVERAGE(L18:L$24)/100,4)</f>
        <v>1.0800000000000001E-2</v>
      </c>
    </row>
    <row r="19" spans="1:34">
      <c r="A19" s="1449" t="s">
        <v>149</v>
      </c>
      <c r="B19" s="1465">
        <f t="shared" si="67"/>
        <v>322.34053690220776</v>
      </c>
      <c r="C19" s="1465">
        <f t="shared" si="67"/>
        <v>271.46160770422546</v>
      </c>
      <c r="D19" s="1465">
        <f t="shared" si="64"/>
        <v>271.46160770422546</v>
      </c>
      <c r="E19" s="1465">
        <f t="shared" si="68"/>
        <v>442.69434542172456</v>
      </c>
      <c r="F19" s="1465">
        <f t="shared" si="68"/>
        <v>241.34030753190925</v>
      </c>
      <c r="G19" s="3391"/>
      <c r="H19" s="1453">
        <v>2</v>
      </c>
      <c r="I19" s="1453">
        <v>0.77</v>
      </c>
      <c r="J19" s="1453">
        <v>0.69</v>
      </c>
      <c r="K19" s="1453">
        <v>0.8</v>
      </c>
      <c r="L19" s="1467">
        <v>0.88</v>
      </c>
      <c r="N19" s="1460">
        <f t="shared" si="66"/>
        <v>7.7000000000000002E-3</v>
      </c>
      <c r="O19" s="1477">
        <f t="shared" si="61"/>
        <v>6.8999999999999999E-3</v>
      </c>
      <c r="P19" s="1477">
        <f t="shared" si="61"/>
        <v>8.0000000000000002E-3</v>
      </c>
      <c r="Q19" s="1477">
        <f t="shared" si="61"/>
        <v>8.8000000000000005E-3</v>
      </c>
      <c r="R19" s="1462"/>
      <c r="S19" s="1460"/>
      <c r="T19" s="1461"/>
      <c r="U19" s="1461"/>
      <c r="V19" s="1461"/>
      <c r="X19" s="1447">
        <f>ROUND(SUMPRODUCT(PRODUCT(1+N19:N$23)),4)</f>
        <v>1.048</v>
      </c>
      <c r="Y19" s="1447">
        <f>ROUND(SUMPRODUCT(PRODUCT(1+O19:O$23)),4)</f>
        <v>1.0524</v>
      </c>
      <c r="Z19" s="1447">
        <f t="shared" si="0"/>
        <v>1.0524</v>
      </c>
      <c r="AA19" s="1447">
        <f>ROUND(SUMPRODUCT(PRODUCT(1+P19:P$23)),4)</f>
        <v>1.0470999999999999</v>
      </c>
      <c r="AB19" s="1447">
        <f>ROUND(SUMPRODUCT(PRODUCT(1+Q19:Q$23)),4)</f>
        <v>1.0504</v>
      </c>
      <c r="AD19" s="1448">
        <f>ROUND(AVERAGE(I19:I$24)/100,4)</f>
        <v>1.2800000000000001E-2</v>
      </c>
      <c r="AE19" s="1448">
        <f>ROUND(AVERAGE(J19:J$24)/100,4)</f>
        <v>1.2500000000000001E-2</v>
      </c>
      <c r="AF19" s="1448">
        <f t="shared" si="1"/>
        <v>1.2500000000000001E-2</v>
      </c>
      <c r="AG19" s="1448">
        <f>ROUND(AVERAGE(K19:K$24)/100,4)</f>
        <v>1.32E-2</v>
      </c>
      <c r="AH19" s="1448">
        <f>ROUND(AVERAGE(L19:L$24)/100,4)</f>
        <v>1.0500000000000001E-2</v>
      </c>
    </row>
    <row r="20" spans="1:34">
      <c r="A20" s="1449" t="s">
        <v>148</v>
      </c>
      <c r="B20" s="1465">
        <f t="shared" si="67"/>
        <v>319.87748030386797</v>
      </c>
      <c r="C20" s="1465">
        <f t="shared" si="67"/>
        <v>269.60135833173649</v>
      </c>
      <c r="D20" s="1465">
        <f t="shared" si="64"/>
        <v>269.60135833173649</v>
      </c>
      <c r="E20" s="1465">
        <f t="shared" si="68"/>
        <v>439.18089823583784</v>
      </c>
      <c r="F20" s="1465">
        <f t="shared" si="68"/>
        <v>239.23503918706311</v>
      </c>
      <c r="G20" s="3392"/>
      <c r="H20" s="1452">
        <v>1</v>
      </c>
      <c r="I20" s="1452">
        <v>0.51</v>
      </c>
      <c r="J20" s="1452">
        <v>0.54</v>
      </c>
      <c r="K20" s="1452">
        <v>0.48</v>
      </c>
      <c r="L20" s="1466">
        <v>0.93</v>
      </c>
      <c r="N20" s="1468">
        <f t="shared" si="66"/>
        <v>5.1000000000000004E-3</v>
      </c>
      <c r="O20" s="1469">
        <f t="shared" si="61"/>
        <v>5.4000000000000003E-3</v>
      </c>
      <c r="P20" s="1469">
        <f t="shared" si="61"/>
        <v>4.7999999999999996E-3</v>
      </c>
      <c r="Q20" s="1469">
        <f t="shared" si="61"/>
        <v>9.300000000000001E-3</v>
      </c>
      <c r="R20" s="1462"/>
      <c r="S20" s="1468">
        <f>B20/B21-1</f>
        <v>5.9040261127922822E-3</v>
      </c>
      <c r="T20" s="1469">
        <f>C20/C21-1</f>
        <v>5.9752176557332781E-3</v>
      </c>
      <c r="U20" s="1469">
        <f>E20/E21-1</f>
        <v>4.9906138119859556E-3</v>
      </c>
      <c r="V20" s="1469">
        <f>F20/F21-1</f>
        <v>9.4305450930933787E-3</v>
      </c>
      <c r="X20" s="1447">
        <f>ROUND(SUMPRODUCT(PRODUCT(1+N20:N$23)),4)</f>
        <v>1.0399</v>
      </c>
      <c r="Y20" s="1447">
        <f>ROUND(SUMPRODUCT(PRODUCT(1+O20:O$23)),4)</f>
        <v>1.0451999999999999</v>
      </c>
      <c r="Z20" s="1447">
        <f t="shared" si="0"/>
        <v>1.0451999999999999</v>
      </c>
      <c r="AA20" s="1447">
        <f>ROUND(SUMPRODUCT(PRODUCT(1+P20:P$23)),4)</f>
        <v>1.0387999999999999</v>
      </c>
      <c r="AB20" s="1447">
        <f>ROUND(SUMPRODUCT(PRODUCT(1+Q20:Q$23)),4)</f>
        <v>1.0411999999999999</v>
      </c>
      <c r="AD20" s="1448">
        <f>ROUND(AVERAGE(I20:I$24)/100,4)</f>
        <v>1.38E-2</v>
      </c>
      <c r="AE20" s="1448">
        <f>ROUND(AVERAGE(J20:J$24)/100,4)</f>
        <v>1.3599999999999999E-2</v>
      </c>
      <c r="AF20" s="1448">
        <f t="shared" si="1"/>
        <v>1.3599999999999999E-2</v>
      </c>
      <c r="AG20" s="1448">
        <f>ROUND(AVERAGE(K20:K$24)/100,4)</f>
        <v>1.4200000000000001E-2</v>
      </c>
      <c r="AH20" s="1448">
        <f>ROUND(AVERAGE(L20:L$24)/100,4)</f>
        <v>1.0800000000000001E-2</v>
      </c>
    </row>
    <row r="21" spans="1:34" ht="13.5" thickBot="1">
      <c r="A21" s="1449" t="s">
        <v>147</v>
      </c>
      <c r="B21" s="1478">
        <v>318</v>
      </c>
      <c r="C21" s="1478">
        <v>268</v>
      </c>
      <c r="D21" s="1478">
        <f t="shared" si="64"/>
        <v>268</v>
      </c>
      <c r="E21" s="1478">
        <v>437</v>
      </c>
      <c r="F21" s="1479">
        <v>237</v>
      </c>
      <c r="G21" s="3390">
        <v>2014</v>
      </c>
      <c r="H21" s="1470">
        <v>4</v>
      </c>
      <c r="I21" s="1470">
        <v>0.21</v>
      </c>
      <c r="J21" s="1470">
        <v>0.41</v>
      </c>
      <c r="K21" s="1470">
        <v>0.12</v>
      </c>
      <c r="L21" s="1471">
        <v>0.89</v>
      </c>
      <c r="N21" s="1460">
        <f t="shared" si="66"/>
        <v>2.0999999999999999E-3</v>
      </c>
      <c r="O21" s="1461">
        <f t="shared" si="61"/>
        <v>4.0999999999999995E-3</v>
      </c>
      <c r="P21" s="1461">
        <f t="shared" si="61"/>
        <v>1.1999999999999999E-3</v>
      </c>
      <c r="Q21" s="1461">
        <f t="shared" si="61"/>
        <v>8.8999999999999999E-3</v>
      </c>
      <c r="R21" s="1462"/>
      <c r="S21" s="1463"/>
      <c r="T21" s="1464"/>
      <c r="U21" s="1464"/>
      <c r="V21" s="1464"/>
      <c r="X21" s="1447">
        <f>ROUND(SUMPRODUCT(PRODUCT(1+N21:N$23)),4)</f>
        <v>1.0347</v>
      </c>
      <c r="Y21" s="1447">
        <f>ROUND(SUMPRODUCT(PRODUCT(1+O21:O$23)),4)</f>
        <v>1.0395000000000001</v>
      </c>
      <c r="Z21" s="1447">
        <f t="shared" si="0"/>
        <v>1.0395000000000001</v>
      </c>
      <c r="AA21" s="1447">
        <f>ROUND(SUMPRODUCT(PRODUCT(1+P21:P$23)),4)</f>
        <v>1.0338000000000001</v>
      </c>
      <c r="AB21" s="1447">
        <f>ROUND(SUMPRODUCT(PRODUCT(1+Q21:Q$23)),4)</f>
        <v>1.0316000000000001</v>
      </c>
      <c r="AD21" s="1448">
        <f>ROUND(AVERAGE(I21:I$24)/100,4)</f>
        <v>1.6E-2</v>
      </c>
      <c r="AE21" s="1448">
        <f>ROUND(AVERAGE(J21:J$24)/100,4)</f>
        <v>1.5599999999999999E-2</v>
      </c>
      <c r="AF21" s="1448">
        <f t="shared" si="1"/>
        <v>1.5599999999999999E-2</v>
      </c>
      <c r="AG21" s="1448">
        <f>ROUND(AVERAGE(K21:K$24)/100,4)</f>
        <v>1.66E-2</v>
      </c>
      <c r="AH21" s="1448">
        <f>ROUND(AVERAGE(L21:L$24)/100,4)</f>
        <v>1.12E-2</v>
      </c>
    </row>
    <row r="22" spans="1:34">
      <c r="A22" s="1449" t="s">
        <v>146</v>
      </c>
      <c r="B22" s="1465">
        <f t="shared" ref="B22:C24" si="69">B21/(1+N21)</f>
        <v>317.33359944117353</v>
      </c>
      <c r="C22" s="1465">
        <f t="shared" si="69"/>
        <v>266.90568668459315</v>
      </c>
      <c r="D22" s="1465">
        <f t="shared" si="64"/>
        <v>266.90568668459315</v>
      </c>
      <c r="E22" s="1465">
        <f t="shared" ref="E22:F24" si="70">E21/(1+P21)</f>
        <v>436.47622852576905</v>
      </c>
      <c r="F22" s="1465">
        <f t="shared" si="70"/>
        <v>234.90930716622066</v>
      </c>
      <c r="G22" s="3391"/>
      <c r="H22" s="1480">
        <v>3</v>
      </c>
      <c r="I22" s="1480">
        <v>0.83</v>
      </c>
      <c r="J22" s="1480">
        <v>1.47</v>
      </c>
      <c r="K22" s="1480">
        <v>0.65</v>
      </c>
      <c r="L22" s="1481">
        <v>0.72</v>
      </c>
      <c r="N22" s="1460">
        <f t="shared" si="66"/>
        <v>8.3000000000000001E-3</v>
      </c>
      <c r="O22" s="1461">
        <f t="shared" si="61"/>
        <v>1.47E-2</v>
      </c>
      <c r="P22" s="1461">
        <f t="shared" si="61"/>
        <v>6.5000000000000006E-3</v>
      </c>
      <c r="Q22" s="1461">
        <f t="shared" si="61"/>
        <v>7.1999999999999998E-3</v>
      </c>
      <c r="R22" s="1462"/>
      <c r="S22" s="1460"/>
      <c r="T22" s="1461"/>
      <c r="U22" s="1461"/>
      <c r="V22" s="1461"/>
      <c r="X22" s="1447">
        <f>ROUND(SUMPRODUCT(PRODUCT(1+N22:N$23)),4)</f>
        <v>1.0325</v>
      </c>
      <c r="Y22" s="1447">
        <f>ROUND(SUMPRODUCT(PRODUCT(1+O22:O$23)),4)</f>
        <v>1.0353000000000001</v>
      </c>
      <c r="Z22" s="1447">
        <f t="shared" ref="Z22:Z23" si="71">Y22</f>
        <v>1.0353000000000001</v>
      </c>
      <c r="AA22" s="1447">
        <f>ROUND(SUMPRODUCT(PRODUCT(1+P22:P$23)),4)</f>
        <v>1.0326</v>
      </c>
      <c r="AB22" s="1447">
        <f>ROUND(SUMPRODUCT(PRODUCT(1+Q22:Q$23)),4)</f>
        <v>1.0225</v>
      </c>
      <c r="AD22" s="1448">
        <f>ROUND(AVERAGE(I22:I$24)/100,4)</f>
        <v>2.07E-2</v>
      </c>
      <c r="AE22" s="1448">
        <f>ROUND(AVERAGE(J22:J$24)/100,4)</f>
        <v>1.95E-2</v>
      </c>
      <c r="AF22" s="1448">
        <f t="shared" si="1"/>
        <v>1.95E-2</v>
      </c>
      <c r="AG22" s="1448">
        <f>ROUND(AVERAGE(K22:K$24)/100,4)</f>
        <v>2.1700000000000001E-2</v>
      </c>
      <c r="AH22" s="1448">
        <f>ROUND(AVERAGE(L22:L$24)/100,4)</f>
        <v>1.2E-2</v>
      </c>
    </row>
    <row r="23" spans="1:34" ht="13.5" thickBot="1">
      <c r="A23" s="1449" t="s">
        <v>145</v>
      </c>
      <c r="B23" s="1465">
        <f t="shared" si="69"/>
        <v>314.72141172386546</v>
      </c>
      <c r="C23" s="1465">
        <f t="shared" si="69"/>
        <v>263.03901319069001</v>
      </c>
      <c r="D23" s="1465">
        <f t="shared" si="64"/>
        <v>263.03901319069001</v>
      </c>
      <c r="E23" s="1465">
        <f t="shared" si="70"/>
        <v>433.65745506782821</v>
      </c>
      <c r="F23" s="1465">
        <f t="shared" si="70"/>
        <v>233.23005080045735</v>
      </c>
      <c r="G23" s="3391"/>
      <c r="H23" s="1470">
        <v>2</v>
      </c>
      <c r="I23" s="1470">
        <v>2.4</v>
      </c>
      <c r="J23" s="1470">
        <v>2.0299999999999998</v>
      </c>
      <c r="K23" s="1470">
        <v>2.59</v>
      </c>
      <c r="L23" s="1471">
        <v>1.52</v>
      </c>
      <c r="N23" s="1460">
        <f t="shared" si="66"/>
        <v>2.4E-2</v>
      </c>
      <c r="O23" s="1461">
        <f t="shared" si="61"/>
        <v>2.0299999999999999E-2</v>
      </c>
      <c r="P23" s="1461">
        <f t="shared" si="61"/>
        <v>2.5899999999999999E-2</v>
      </c>
      <c r="Q23" s="1461">
        <f t="shared" si="61"/>
        <v>1.52E-2</v>
      </c>
      <c r="R23" s="1462"/>
      <c r="S23" s="1460"/>
      <c r="T23" s="1461"/>
      <c r="U23" s="1461"/>
      <c r="V23" s="1461"/>
      <c r="X23" s="1447">
        <f>1+N23</f>
        <v>1.024</v>
      </c>
      <c r="Y23" s="1447">
        <f>1+O23</f>
        <v>1.0203</v>
      </c>
      <c r="Z23" s="1447">
        <f t="shared" si="71"/>
        <v>1.0203</v>
      </c>
      <c r="AA23" s="1447">
        <f>1+P23</f>
        <v>1.0259</v>
      </c>
      <c r="AB23" s="1447">
        <f>1+Q23</f>
        <v>1.0152000000000001</v>
      </c>
      <c r="AD23" s="1448">
        <f>ROUND(AVERAGE(I23:I$24)/100,4)</f>
        <v>2.69E-2</v>
      </c>
      <c r="AE23" s="1448">
        <f>ROUND(AVERAGE(J23:J$24)/100,4)</f>
        <v>2.1899999999999999E-2</v>
      </c>
      <c r="AF23" s="1448">
        <f t="shared" ref="AF23" si="72">AE23</f>
        <v>2.1899999999999999E-2</v>
      </c>
      <c r="AG23" s="1448">
        <f>ROUND(AVERAGE(K23:K$24)/100,4)</f>
        <v>2.9399999999999999E-2</v>
      </c>
      <c r="AH23" s="1448">
        <f>ROUND(AVERAGE(L23:L$24)/100,4)</f>
        <v>1.44E-2</v>
      </c>
    </row>
    <row r="24" spans="1:34" s="1486" customFormat="1" ht="13.5" thickBot="1">
      <c r="A24" s="1482" t="s">
        <v>144</v>
      </c>
      <c r="B24" s="1483">
        <f t="shared" si="69"/>
        <v>307.34512863658733</v>
      </c>
      <c r="C24" s="1483">
        <f t="shared" si="69"/>
        <v>257.80556031626975</v>
      </c>
      <c r="D24" s="1483">
        <f t="shared" si="64"/>
        <v>257.80556031626975</v>
      </c>
      <c r="E24" s="1483">
        <f t="shared" si="70"/>
        <v>422.70928459677179</v>
      </c>
      <c r="F24" s="1483">
        <f t="shared" si="70"/>
        <v>229.73803270336617</v>
      </c>
      <c r="G24" s="3392"/>
      <c r="H24" s="1484">
        <v>1</v>
      </c>
      <c r="I24" s="1484">
        <v>2.97</v>
      </c>
      <c r="J24" s="1484">
        <v>2.34</v>
      </c>
      <c r="K24" s="1484">
        <v>3.28</v>
      </c>
      <c r="L24" s="1485">
        <v>1.36</v>
      </c>
      <c r="N24" s="1487">
        <f t="shared" si="66"/>
        <v>2.9700000000000001E-2</v>
      </c>
      <c r="O24" s="1488">
        <f t="shared" si="61"/>
        <v>2.3399999999999997E-2</v>
      </c>
      <c r="P24" s="1488">
        <f t="shared" si="61"/>
        <v>3.2799999999999996E-2</v>
      </c>
      <c r="Q24" s="1488">
        <f t="shared" si="61"/>
        <v>1.3600000000000001E-2</v>
      </c>
      <c r="R24" s="1489"/>
      <c r="S24" s="1490">
        <f>B24/B25-1</f>
        <v>2.7910129219355539E-2</v>
      </c>
      <c r="T24" s="1491">
        <f>C24/C25-1</f>
        <v>2.3037937762975247E-2</v>
      </c>
      <c r="U24" s="1491">
        <f>E24/E25-1</f>
        <v>3.3519033243940788E-2</v>
      </c>
      <c r="V24" s="1491">
        <f>F24/F25-1</f>
        <v>1.2061818076502862E-2</v>
      </c>
      <c r="W24" s="1492" t="s">
        <v>1162</v>
      </c>
      <c r="X24" s="1493">
        <v>1</v>
      </c>
      <c r="Y24" s="1493">
        <v>1</v>
      </c>
      <c r="Z24" s="1493">
        <v>1</v>
      </c>
      <c r="AA24" s="1493">
        <v>1</v>
      </c>
      <c r="AB24" s="1493">
        <v>1</v>
      </c>
      <c r="AD24" s="1714">
        <f>I24/100</f>
        <v>2.9700000000000001E-2</v>
      </c>
      <c r="AE24" s="1714">
        <f>J24/100</f>
        <v>2.3399999999999997E-2</v>
      </c>
      <c r="AF24" s="1714">
        <f>AE24</f>
        <v>2.3399999999999997E-2</v>
      </c>
      <c r="AG24" s="1714">
        <f>K24/100</f>
        <v>3.2799999999999996E-2</v>
      </c>
      <c r="AH24" s="1714">
        <f>L24/100</f>
        <v>1.3600000000000001E-2</v>
      </c>
    </row>
    <row r="25" spans="1:34" ht="13.5" thickBot="1">
      <c r="A25" s="1449" t="s">
        <v>1163</v>
      </c>
      <c r="B25" s="1457">
        <v>299</v>
      </c>
      <c r="C25" s="1457">
        <v>252</v>
      </c>
      <c r="D25" s="1457">
        <f t="shared" si="64"/>
        <v>252</v>
      </c>
      <c r="E25" s="1457">
        <v>409</v>
      </c>
      <c r="F25" s="1458">
        <v>227</v>
      </c>
      <c r="G25" s="3395">
        <v>2013</v>
      </c>
      <c r="H25" s="1494">
        <v>4</v>
      </c>
      <c r="I25" s="1494">
        <v>1.83</v>
      </c>
      <c r="J25" s="1494">
        <v>1.68</v>
      </c>
      <c r="K25" s="1494">
        <v>1.97</v>
      </c>
      <c r="L25" s="1495">
        <v>0.87</v>
      </c>
      <c r="N25" s="1472">
        <f t="shared" si="66"/>
        <v>1.83E-2</v>
      </c>
      <c r="O25" s="1473">
        <f t="shared" si="61"/>
        <v>1.6799999999999999E-2</v>
      </c>
      <c r="P25" s="1473">
        <f t="shared" si="61"/>
        <v>1.9699999999999999E-2</v>
      </c>
      <c r="Q25" s="1473">
        <f t="shared" si="61"/>
        <v>8.6999999999999994E-3</v>
      </c>
      <c r="R25" s="1462"/>
      <c r="S25" s="1463"/>
      <c r="T25" s="1464"/>
      <c r="U25" s="1464"/>
      <c r="V25" s="1464"/>
      <c r="X25" s="1464"/>
      <c r="Y25" s="1464"/>
      <c r="Z25" s="1464"/>
    </row>
    <row r="26" spans="1:34">
      <c r="A26" s="1449" t="s">
        <v>1164</v>
      </c>
      <c r="B26" s="1465">
        <f t="shared" ref="B26:C28" si="73">B25/(1+N25)</f>
        <v>293.62663262299913</v>
      </c>
      <c r="C26" s="1465">
        <f t="shared" si="73"/>
        <v>247.83634933123525</v>
      </c>
      <c r="D26" s="1465">
        <f t="shared" si="64"/>
        <v>247.83634933123525</v>
      </c>
      <c r="E26" s="1465">
        <f t="shared" ref="E26:F28" si="74">E25/(1+P25)</f>
        <v>401.09836226341076</v>
      </c>
      <c r="F26" s="1465">
        <f t="shared" si="74"/>
        <v>225.04213343908003</v>
      </c>
      <c r="G26" s="3396"/>
      <c r="H26" s="1475">
        <v>3</v>
      </c>
      <c r="I26" s="1475">
        <v>1.86</v>
      </c>
      <c r="J26" s="1475">
        <v>1.72</v>
      </c>
      <c r="K26" s="1475">
        <v>1.98</v>
      </c>
      <c r="L26" s="1476">
        <v>0.88</v>
      </c>
      <c r="N26" s="1460">
        <f t="shared" si="66"/>
        <v>1.8600000000000002E-2</v>
      </c>
      <c r="O26" s="1477">
        <f t="shared" si="61"/>
        <v>1.72E-2</v>
      </c>
      <c r="P26" s="1477">
        <f t="shared" si="61"/>
        <v>1.9799999999999998E-2</v>
      </c>
      <c r="Q26" s="1477">
        <f t="shared" si="61"/>
        <v>8.8000000000000005E-3</v>
      </c>
      <c r="R26" s="1462"/>
      <c r="S26" s="1460"/>
      <c r="T26" s="1461"/>
      <c r="U26" s="1461"/>
      <c r="V26" s="1461"/>
    </row>
    <row r="27" spans="1:34">
      <c r="A27" s="1449" t="s">
        <v>1165</v>
      </c>
      <c r="B27" s="1465">
        <f t="shared" si="73"/>
        <v>288.2649053828776</v>
      </c>
      <c r="C27" s="1465">
        <f t="shared" si="73"/>
        <v>243.64564425013293</v>
      </c>
      <c r="D27" s="1465">
        <f t="shared" si="64"/>
        <v>243.64564425013293</v>
      </c>
      <c r="E27" s="1465">
        <f t="shared" si="74"/>
        <v>393.31080825986544</v>
      </c>
      <c r="F27" s="1465">
        <f t="shared" si="74"/>
        <v>223.07903790551154</v>
      </c>
      <c r="G27" s="3396"/>
      <c r="H27" s="1453">
        <v>2</v>
      </c>
      <c r="I27" s="1453">
        <v>2.04</v>
      </c>
      <c r="J27" s="1453">
        <v>2.33</v>
      </c>
      <c r="K27" s="1453">
        <v>2.0699999999999998</v>
      </c>
      <c r="L27" s="1467">
        <v>0.69</v>
      </c>
      <c r="N27" s="1460">
        <f t="shared" si="66"/>
        <v>2.0400000000000001E-2</v>
      </c>
      <c r="O27" s="1477">
        <f t="shared" si="61"/>
        <v>2.3300000000000001E-2</v>
      </c>
      <c r="P27" s="1477">
        <f t="shared" si="61"/>
        <v>2.07E-2</v>
      </c>
      <c r="Q27" s="1477">
        <f t="shared" si="61"/>
        <v>6.8999999999999999E-3</v>
      </c>
      <c r="R27" s="1462"/>
      <c r="S27" s="1460"/>
      <c r="T27" s="1461"/>
      <c r="U27" s="1461"/>
      <c r="V27" s="1461"/>
      <c r="X27" s="1496"/>
      <c r="Y27" s="1497"/>
    </row>
    <row r="28" spans="1:34">
      <c r="A28" s="1449" t="s">
        <v>1166</v>
      </c>
      <c r="B28" s="1465">
        <f t="shared" si="73"/>
        <v>282.50186729015837</v>
      </c>
      <c r="C28" s="1465">
        <f t="shared" si="73"/>
        <v>238.09796174155468</v>
      </c>
      <c r="D28" s="1465">
        <f t="shared" si="64"/>
        <v>238.09796174155468</v>
      </c>
      <c r="E28" s="1465">
        <f t="shared" si="74"/>
        <v>385.33438646014054</v>
      </c>
      <c r="F28" s="1465">
        <f t="shared" si="74"/>
        <v>221.55034055567739</v>
      </c>
      <c r="G28" s="3397"/>
      <c r="H28" s="1452">
        <v>1</v>
      </c>
      <c r="I28" s="1452">
        <v>1.67</v>
      </c>
      <c r="J28" s="1452">
        <v>1.31</v>
      </c>
      <c r="K28" s="1452">
        <v>1.85</v>
      </c>
      <c r="L28" s="1466">
        <v>0.96</v>
      </c>
      <c r="N28" s="1468">
        <f t="shared" si="66"/>
        <v>1.67E-2</v>
      </c>
      <c r="O28" s="1469">
        <f t="shared" si="66"/>
        <v>1.3100000000000001E-2</v>
      </c>
      <c r="P28" s="1469">
        <f t="shared" si="66"/>
        <v>1.8500000000000003E-2</v>
      </c>
      <c r="Q28" s="1469">
        <f t="shared" si="66"/>
        <v>9.5999999999999992E-3</v>
      </c>
      <c r="R28" s="1462"/>
      <c r="S28" s="1468">
        <f>B28/B29-1</f>
        <v>1.6193767230785472E-2</v>
      </c>
      <c r="T28" s="1469">
        <f>C28/C29-1</f>
        <v>1.7512657015190891E-2</v>
      </c>
      <c r="U28" s="1469">
        <f>E28/E29-1</f>
        <v>1.6713420739157048E-2</v>
      </c>
      <c r="V28" s="1469">
        <f>F28/F29-1</f>
        <v>7.0470025258062563E-3</v>
      </c>
      <c r="X28" s="1498"/>
      <c r="Y28" s="1448"/>
      <c r="Z28" s="1448"/>
    </row>
    <row r="29" spans="1:34" ht="13.5" thickBot="1">
      <c r="A29" s="1449" t="s">
        <v>1167</v>
      </c>
      <c r="B29" s="1499">
        <v>278</v>
      </c>
      <c r="C29" s="1499">
        <v>234</v>
      </c>
      <c r="D29" s="1499">
        <f t="shared" si="64"/>
        <v>234</v>
      </c>
      <c r="E29" s="1499">
        <v>379</v>
      </c>
      <c r="F29" s="1500">
        <v>220</v>
      </c>
      <c r="G29" s="3390">
        <v>2012</v>
      </c>
      <c r="H29" s="1470">
        <v>4</v>
      </c>
      <c r="I29" s="1470">
        <v>0.91</v>
      </c>
      <c r="J29" s="1470">
        <v>0.68</v>
      </c>
      <c r="K29" s="1470">
        <v>0.98</v>
      </c>
      <c r="L29" s="1471">
        <v>0.9</v>
      </c>
      <c r="N29" s="1460">
        <f t="shared" si="66"/>
        <v>9.1000000000000004E-3</v>
      </c>
      <c r="O29" s="1461">
        <f t="shared" si="66"/>
        <v>6.8000000000000005E-3</v>
      </c>
      <c r="P29" s="1461">
        <f t="shared" si="66"/>
        <v>9.7999999999999997E-3</v>
      </c>
      <c r="Q29" s="1461">
        <f t="shared" si="66"/>
        <v>9.0000000000000011E-3</v>
      </c>
      <c r="R29" s="1462"/>
      <c r="S29" s="1463"/>
      <c r="T29" s="1464"/>
      <c r="U29" s="1464"/>
      <c r="V29" s="1464"/>
      <c r="X29" s="1464"/>
      <c r="Y29" s="1464"/>
      <c r="Z29" s="1464"/>
    </row>
    <row r="30" spans="1:34">
      <c r="A30" s="1449" t="s">
        <v>1168</v>
      </c>
      <c r="B30" s="1465">
        <f>B29/(1+N29)</f>
        <v>275.49301357645425</v>
      </c>
      <c r="C30" s="1465">
        <f>C29/(1+O29)</f>
        <v>232.41954707985698</v>
      </c>
      <c r="D30" s="1465">
        <f t="shared" si="64"/>
        <v>232.41954707985698</v>
      </c>
      <c r="E30" s="1465">
        <f t="shared" ref="E30:F32" si="75">E29/(1+P29)</f>
        <v>375.32184591008121</v>
      </c>
      <c r="F30" s="1465">
        <f t="shared" si="75"/>
        <v>218.03766105054513</v>
      </c>
      <c r="G30" s="3391"/>
      <c r="H30" s="1475">
        <v>3</v>
      </c>
      <c r="I30" s="1475">
        <v>0.09</v>
      </c>
      <c r="J30" s="1475">
        <v>0.28999999999999998</v>
      </c>
      <c r="K30" s="1475">
        <v>-0.01</v>
      </c>
      <c r="L30" s="1476">
        <v>0.57999999999999996</v>
      </c>
      <c r="N30" s="1460">
        <f t="shared" si="66"/>
        <v>8.9999999999999998E-4</v>
      </c>
      <c r="O30" s="1461">
        <f t="shared" si="66"/>
        <v>2.8999999999999998E-3</v>
      </c>
      <c r="P30" s="1461">
        <f t="shared" si="66"/>
        <v>-1E-4</v>
      </c>
      <c r="Q30" s="1461">
        <f t="shared" si="66"/>
        <v>5.7999999999999996E-3</v>
      </c>
      <c r="R30" s="1462"/>
      <c r="S30" s="1460"/>
      <c r="T30" s="1461"/>
      <c r="U30" s="1461"/>
      <c r="V30" s="1461"/>
    </row>
    <row r="31" spans="1:34">
      <c r="A31" s="1449" t="s">
        <v>1169</v>
      </c>
      <c r="B31" s="1465">
        <f>B30/(1+N30)</f>
        <v>275.24529281292263</v>
      </c>
      <c r="C31" s="1465">
        <f>C30/(1+O30)</f>
        <v>231.74747938962707</v>
      </c>
      <c r="D31" s="1465">
        <f t="shared" si="64"/>
        <v>231.74747938962707</v>
      </c>
      <c r="E31" s="1465">
        <f t="shared" si="75"/>
        <v>375.35938184826603</v>
      </c>
      <c r="F31" s="1465">
        <f t="shared" si="75"/>
        <v>216.78033510692495</v>
      </c>
      <c r="G31" s="3391"/>
      <c r="H31" s="1453">
        <v>2</v>
      </c>
      <c r="I31" s="1453">
        <v>0.02</v>
      </c>
      <c r="J31" s="1453">
        <v>0.12</v>
      </c>
      <c r="K31" s="1453">
        <v>-0.08</v>
      </c>
      <c r="L31" s="1467">
        <v>1.24</v>
      </c>
      <c r="N31" s="1460">
        <f t="shared" si="66"/>
        <v>2.0000000000000001E-4</v>
      </c>
      <c r="O31" s="1461">
        <f t="shared" si="66"/>
        <v>1.1999999999999999E-3</v>
      </c>
      <c r="P31" s="1461">
        <f t="shared" si="66"/>
        <v>-8.0000000000000004E-4</v>
      </c>
      <c r="Q31" s="1461">
        <f t="shared" si="66"/>
        <v>1.24E-2</v>
      </c>
      <c r="R31" s="1462"/>
      <c r="S31" s="1460"/>
      <c r="T31" s="1461"/>
      <c r="U31" s="1461"/>
      <c r="V31" s="1461"/>
    </row>
    <row r="32" spans="1:34" ht="13.5" thickBot="1">
      <c r="A32" s="1449" t="s">
        <v>1170</v>
      </c>
      <c r="B32" s="1465">
        <f>B31/(1+N31)</f>
        <v>275.19025476197027</v>
      </c>
      <c r="C32" s="1501">
        <v>232</v>
      </c>
      <c r="D32" s="1501">
        <f t="shared" si="64"/>
        <v>232</v>
      </c>
      <c r="E32" s="1465">
        <f t="shared" si="75"/>
        <v>375.65990977608692</v>
      </c>
      <c r="F32" s="1465">
        <f t="shared" si="75"/>
        <v>214.12518283971252</v>
      </c>
      <c r="G32" s="3392"/>
      <c r="H32" s="1452">
        <v>1</v>
      </c>
      <c r="I32" s="1452">
        <v>0.02</v>
      </c>
      <c r="J32" s="1452">
        <v>0.13</v>
      </c>
      <c r="K32" s="1452">
        <v>-0.04</v>
      </c>
      <c r="L32" s="1466">
        <v>0.46</v>
      </c>
      <c r="N32" s="1460">
        <f t="shared" si="66"/>
        <v>2.0000000000000001E-4</v>
      </c>
      <c r="O32" s="1461">
        <f t="shared" si="66"/>
        <v>1.2999999999999999E-3</v>
      </c>
      <c r="P32" s="1461">
        <f t="shared" si="66"/>
        <v>-4.0000000000000002E-4</v>
      </c>
      <c r="Q32" s="1461">
        <f t="shared" si="66"/>
        <v>4.5999999999999999E-3</v>
      </c>
      <c r="R32" s="1462"/>
      <c r="S32" s="1468">
        <f>B32/B33-1</f>
        <v>6.9183549807361189E-4</v>
      </c>
      <c r="T32" s="1469">
        <f>C32/C33-1</f>
        <v>0</v>
      </c>
      <c r="U32" s="1469">
        <f>E32/E33-1</f>
        <v>-9.0449527636460303E-4</v>
      </c>
      <c r="V32" s="1469">
        <f>F32/F33-1</f>
        <v>5.2825485432512753E-3</v>
      </c>
      <c r="X32" s="1448"/>
      <c r="Y32" s="1448"/>
      <c r="Z32" s="1448"/>
    </row>
    <row r="33" spans="1:26" ht="13.5" thickBot="1">
      <c r="A33" s="1449" t="s">
        <v>1171</v>
      </c>
      <c r="B33" s="1457">
        <v>275</v>
      </c>
      <c r="C33" s="1457">
        <v>232</v>
      </c>
      <c r="D33" s="1457">
        <f t="shared" si="64"/>
        <v>232</v>
      </c>
      <c r="E33" s="1457">
        <v>376</v>
      </c>
      <c r="F33" s="1458">
        <v>213</v>
      </c>
      <c r="G33" s="3390">
        <v>2011</v>
      </c>
      <c r="H33" s="1470">
        <v>4</v>
      </c>
      <c r="I33" s="1470">
        <v>-0.2</v>
      </c>
      <c r="J33" s="1470">
        <v>0.04</v>
      </c>
      <c r="K33" s="1470">
        <v>-0.34</v>
      </c>
      <c r="L33" s="1471">
        <v>0.46</v>
      </c>
      <c r="N33" s="1472">
        <f t="shared" si="66"/>
        <v>-2E-3</v>
      </c>
      <c r="O33" s="1473">
        <f t="shared" si="66"/>
        <v>4.0000000000000002E-4</v>
      </c>
      <c r="P33" s="1473">
        <f t="shared" si="66"/>
        <v>-3.4000000000000002E-3</v>
      </c>
      <c r="Q33" s="1473">
        <f t="shared" si="66"/>
        <v>4.5999999999999999E-3</v>
      </c>
      <c r="R33" s="1462"/>
      <c r="S33" s="1463"/>
      <c r="T33" s="1464"/>
      <c r="U33" s="1464"/>
      <c r="V33" s="1464"/>
      <c r="X33" s="1464"/>
      <c r="Y33" s="1464"/>
      <c r="Z33" s="1464"/>
    </row>
    <row r="34" spans="1:26">
      <c r="A34" s="1449" t="s">
        <v>1172</v>
      </c>
      <c r="B34" s="1465">
        <f t="shared" ref="B34:C36" si="76">B33/(1+N33)</f>
        <v>275.55110220440883</v>
      </c>
      <c r="C34" s="1465">
        <f t="shared" si="76"/>
        <v>231.90723710515795</v>
      </c>
      <c r="D34" s="1465">
        <f t="shared" si="64"/>
        <v>231.90723710515795</v>
      </c>
      <c r="E34" s="1465">
        <f t="shared" ref="E34:F36" si="77">E33/(1+P33)</f>
        <v>377.28276138872161</v>
      </c>
      <c r="F34" s="1465">
        <f t="shared" si="77"/>
        <v>212.02468644236512</v>
      </c>
      <c r="G34" s="3391">
        <v>2011</v>
      </c>
      <c r="H34" s="1475">
        <v>3</v>
      </c>
      <c r="I34" s="1475">
        <v>0.13</v>
      </c>
      <c r="J34" s="1475">
        <v>0.75</v>
      </c>
      <c r="K34" s="1475">
        <v>-0.08</v>
      </c>
      <c r="L34" s="1476">
        <v>0.53</v>
      </c>
      <c r="N34" s="1460">
        <f t="shared" si="66"/>
        <v>1.2999999999999999E-3</v>
      </c>
      <c r="O34" s="1477">
        <f t="shared" si="66"/>
        <v>7.4999999999999997E-3</v>
      </c>
      <c r="P34" s="1477">
        <f t="shared" si="66"/>
        <v>-8.0000000000000004E-4</v>
      </c>
      <c r="Q34" s="1477">
        <f t="shared" si="66"/>
        <v>5.3E-3</v>
      </c>
      <c r="R34" s="1462"/>
      <c r="S34" s="1460"/>
      <c r="T34" s="1461"/>
      <c r="U34" s="1461"/>
      <c r="V34" s="1461"/>
    </row>
    <row r="35" spans="1:26">
      <c r="A35" s="1449" t="s">
        <v>1173</v>
      </c>
      <c r="B35" s="1465">
        <f t="shared" si="76"/>
        <v>275.19335084830601</v>
      </c>
      <c r="C35" s="1465">
        <f t="shared" si="76"/>
        <v>230.18088050139744</v>
      </c>
      <c r="D35" s="1465">
        <f t="shared" si="64"/>
        <v>230.18088050139744</v>
      </c>
      <c r="E35" s="1465">
        <f t="shared" si="77"/>
        <v>377.58482925212331</v>
      </c>
      <c r="F35" s="1465">
        <f t="shared" si="77"/>
        <v>210.90687997847917</v>
      </c>
      <c r="G35" s="3391">
        <v>2011</v>
      </c>
      <c r="H35" s="1453">
        <v>2</v>
      </c>
      <c r="I35" s="1453">
        <v>-0.4</v>
      </c>
      <c r="J35" s="1453">
        <v>0.17</v>
      </c>
      <c r="K35" s="1453">
        <v>-0.57999999999999996</v>
      </c>
      <c r="L35" s="1467">
        <v>-0.2</v>
      </c>
      <c r="N35" s="1460">
        <f t="shared" si="66"/>
        <v>-4.0000000000000001E-3</v>
      </c>
      <c r="O35" s="1477">
        <f t="shared" si="66"/>
        <v>1.7000000000000001E-3</v>
      </c>
      <c r="P35" s="1477">
        <f t="shared" si="66"/>
        <v>-5.7999999999999996E-3</v>
      </c>
      <c r="Q35" s="1477">
        <f t="shared" si="66"/>
        <v>-2E-3</v>
      </c>
      <c r="R35" s="1462"/>
      <c r="S35" s="1460"/>
      <c r="T35" s="1461"/>
      <c r="U35" s="1461"/>
      <c r="V35" s="1461"/>
    </row>
    <row r="36" spans="1:26" ht="13.5" thickBot="1">
      <c r="A36" s="1449" t="s">
        <v>1174</v>
      </c>
      <c r="B36" s="1465">
        <f t="shared" si="76"/>
        <v>276.29854502841971</v>
      </c>
      <c r="C36" s="1465">
        <f t="shared" si="76"/>
        <v>229.79023709833027</v>
      </c>
      <c r="D36" s="1465">
        <f t="shared" si="64"/>
        <v>229.79023709833027</v>
      </c>
      <c r="E36" s="1465">
        <f t="shared" si="77"/>
        <v>379.78759731655936</v>
      </c>
      <c r="F36" s="1465">
        <f t="shared" si="77"/>
        <v>211.32953905659235</v>
      </c>
      <c r="G36" s="3392">
        <v>2011</v>
      </c>
      <c r="H36" s="1452">
        <v>1</v>
      </c>
      <c r="I36" s="1452">
        <v>2.65</v>
      </c>
      <c r="J36" s="1452">
        <v>3.76</v>
      </c>
      <c r="K36" s="1452">
        <v>1.89</v>
      </c>
      <c r="L36" s="1466">
        <v>7.95</v>
      </c>
      <c r="N36" s="1468">
        <f t="shared" si="66"/>
        <v>2.6499999999999999E-2</v>
      </c>
      <c r="O36" s="1469">
        <f t="shared" si="66"/>
        <v>3.7599999999999995E-2</v>
      </c>
      <c r="P36" s="1469">
        <f t="shared" si="66"/>
        <v>1.89E-2</v>
      </c>
      <c r="Q36" s="1469">
        <f t="shared" si="66"/>
        <v>7.9500000000000001E-2</v>
      </c>
      <c r="R36" s="1462"/>
      <c r="S36" s="1468">
        <f>B36/B37-1</f>
        <v>2.713213765211786E-2</v>
      </c>
      <c r="T36" s="1469">
        <f>C36/C37-1</f>
        <v>3.9774828499231862E-2</v>
      </c>
      <c r="U36" s="1469">
        <f>E36/E37-1</f>
        <v>1.8197311840641772E-2</v>
      </c>
      <c r="V36" s="1469">
        <f>F36/F37-1</f>
        <v>7.8211933962205826E-2</v>
      </c>
      <c r="X36" s="1448"/>
      <c r="Y36" s="1448"/>
      <c r="Z36" s="1448"/>
    </row>
    <row r="37" spans="1:26" ht="13.5" thickBot="1">
      <c r="A37" s="1449" t="s">
        <v>1175</v>
      </c>
      <c r="B37" s="1457">
        <v>269</v>
      </c>
      <c r="C37" s="1457">
        <v>221</v>
      </c>
      <c r="D37" s="1457">
        <f t="shared" si="64"/>
        <v>221</v>
      </c>
      <c r="E37" s="1457">
        <v>373</v>
      </c>
      <c r="F37" s="1458">
        <v>196</v>
      </c>
      <c r="G37" s="3390">
        <v>2010</v>
      </c>
      <c r="H37" s="1470">
        <v>4</v>
      </c>
      <c r="I37" s="1470">
        <v>5.72</v>
      </c>
      <c r="J37" s="1470">
        <v>6.57</v>
      </c>
      <c r="K37" s="1470">
        <v>5.72</v>
      </c>
      <c r="L37" s="1471">
        <v>2.72</v>
      </c>
      <c r="N37" s="1460">
        <f t="shared" si="66"/>
        <v>5.7200000000000001E-2</v>
      </c>
      <c r="O37" s="1461">
        <f t="shared" si="66"/>
        <v>6.5700000000000008E-2</v>
      </c>
      <c r="P37" s="1461">
        <f t="shared" si="66"/>
        <v>5.7200000000000001E-2</v>
      </c>
      <c r="Q37" s="1461">
        <f t="shared" si="66"/>
        <v>2.7200000000000002E-2</v>
      </c>
      <c r="R37" s="1462"/>
      <c r="S37" s="1463"/>
      <c r="T37" s="1464"/>
      <c r="U37" s="1464"/>
      <c r="V37" s="1464"/>
      <c r="X37" s="1464"/>
      <c r="Y37" s="1464"/>
      <c r="Z37" s="1464"/>
    </row>
    <row r="38" spans="1:26">
      <c r="A38" s="1449" t="s">
        <v>1176</v>
      </c>
      <c r="B38" s="1465">
        <f t="shared" ref="B38:C40" si="78">B37/(1+N37)</f>
        <v>254.44570563753314</v>
      </c>
      <c r="C38" s="1465">
        <f t="shared" si="78"/>
        <v>207.37543398705074</v>
      </c>
      <c r="D38" s="1465">
        <f t="shared" si="64"/>
        <v>207.37543398705074</v>
      </c>
      <c r="E38" s="1465">
        <f t="shared" ref="E38:F40" si="79">E37/(1+P37)</f>
        <v>352.81876655315932</v>
      </c>
      <c r="F38" s="1465">
        <f t="shared" si="79"/>
        <v>190.809968847352</v>
      </c>
      <c r="G38" s="3391">
        <v>2010</v>
      </c>
      <c r="H38" s="1475">
        <v>3</v>
      </c>
      <c r="I38" s="1475">
        <v>4.7300000000000004</v>
      </c>
      <c r="J38" s="1475">
        <v>3.9</v>
      </c>
      <c r="K38" s="1475">
        <v>5.03</v>
      </c>
      <c r="L38" s="1476">
        <v>4.21</v>
      </c>
      <c r="N38" s="1460">
        <f t="shared" si="66"/>
        <v>4.7300000000000002E-2</v>
      </c>
      <c r="O38" s="1461">
        <f t="shared" si="66"/>
        <v>3.9E-2</v>
      </c>
      <c r="P38" s="1461">
        <f t="shared" si="66"/>
        <v>5.0300000000000004E-2</v>
      </c>
      <c r="Q38" s="1461">
        <f t="shared" si="66"/>
        <v>4.2099999999999999E-2</v>
      </c>
      <c r="R38" s="1462"/>
      <c r="S38" s="1460"/>
      <c r="T38" s="1461"/>
      <c r="U38" s="1461"/>
      <c r="V38" s="1461"/>
    </row>
    <row r="39" spans="1:26">
      <c r="A39" s="1449" t="s">
        <v>1177</v>
      </c>
      <c r="B39" s="1465">
        <f t="shared" si="78"/>
        <v>242.95398227588385</v>
      </c>
      <c r="C39" s="1465">
        <f t="shared" si="78"/>
        <v>199.59137053614126</v>
      </c>
      <c r="D39" s="1465">
        <f t="shared" si="64"/>
        <v>199.59137053614126</v>
      </c>
      <c r="E39" s="1465">
        <f t="shared" si="79"/>
        <v>335.92189522342125</v>
      </c>
      <c r="F39" s="1465">
        <f t="shared" si="79"/>
        <v>183.10139991109489</v>
      </c>
      <c r="G39" s="3391">
        <v>2010</v>
      </c>
      <c r="H39" s="1453">
        <v>2</v>
      </c>
      <c r="I39" s="1453">
        <v>4.6900000000000004</v>
      </c>
      <c r="J39" s="1453">
        <v>3.55</v>
      </c>
      <c r="K39" s="1453">
        <v>5.07</v>
      </c>
      <c r="L39" s="1467">
        <v>4.2300000000000004</v>
      </c>
      <c r="N39" s="1460">
        <f t="shared" si="66"/>
        <v>4.6900000000000004E-2</v>
      </c>
      <c r="O39" s="1461">
        <f t="shared" si="66"/>
        <v>3.5499999999999997E-2</v>
      </c>
      <c r="P39" s="1461">
        <f t="shared" si="66"/>
        <v>5.0700000000000002E-2</v>
      </c>
      <c r="Q39" s="1461">
        <f t="shared" si="66"/>
        <v>4.2300000000000004E-2</v>
      </c>
      <c r="R39" s="1462"/>
      <c r="S39" s="1460"/>
      <c r="T39" s="1461"/>
      <c r="U39" s="1461"/>
      <c r="V39" s="1461"/>
    </row>
    <row r="40" spans="1:26" ht="13.5" thickBot="1">
      <c r="A40" s="1449" t="s">
        <v>1178</v>
      </c>
      <c r="B40" s="1465">
        <f t="shared" si="78"/>
        <v>232.06990378821649</v>
      </c>
      <c r="C40" s="1465">
        <f t="shared" si="78"/>
        <v>192.74878854286936</v>
      </c>
      <c r="D40" s="1465">
        <f t="shared" si="64"/>
        <v>192.74878854286936</v>
      </c>
      <c r="E40" s="1465">
        <f t="shared" si="79"/>
        <v>319.71247284992984</v>
      </c>
      <c r="F40" s="1465">
        <f t="shared" si="79"/>
        <v>175.67053622862409</v>
      </c>
      <c r="G40" s="3392">
        <v>2010</v>
      </c>
      <c r="H40" s="1452">
        <v>1</v>
      </c>
      <c r="I40" s="1452">
        <v>5.4</v>
      </c>
      <c r="J40" s="1452">
        <v>3.2</v>
      </c>
      <c r="K40" s="1452">
        <v>6.16</v>
      </c>
      <c r="L40" s="1466">
        <v>4.51</v>
      </c>
      <c r="N40" s="1460">
        <f t="shared" si="66"/>
        <v>5.4000000000000006E-2</v>
      </c>
      <c r="O40" s="1461">
        <f t="shared" si="66"/>
        <v>3.2000000000000001E-2</v>
      </c>
      <c r="P40" s="1461">
        <f t="shared" si="66"/>
        <v>6.1600000000000002E-2</v>
      </c>
      <c r="Q40" s="1461">
        <f t="shared" si="66"/>
        <v>4.5100000000000001E-2</v>
      </c>
      <c r="R40" s="1462"/>
      <c r="S40" s="1468">
        <f>B40/B41-1</f>
        <v>5.4863199037347599E-2</v>
      </c>
      <c r="T40" s="1469">
        <f>C40/C41-1</f>
        <v>3.0742184721226584E-2</v>
      </c>
      <c r="U40" s="1469">
        <f>E40/E41-1</f>
        <v>6.2167683886810154E-2</v>
      </c>
      <c r="V40" s="1469">
        <f>F40/F41-1</f>
        <v>4.5657953741810031E-2</v>
      </c>
      <c r="X40" s="1448"/>
      <c r="Y40" s="1448"/>
      <c r="Z40" s="1448"/>
    </row>
    <row r="41" spans="1:26" ht="13.5" thickBot="1">
      <c r="A41" s="1449" t="s">
        <v>1179</v>
      </c>
      <c r="B41" s="1457">
        <v>220</v>
      </c>
      <c r="C41" s="1457">
        <v>187</v>
      </c>
      <c r="D41" s="1457">
        <f t="shared" si="64"/>
        <v>187</v>
      </c>
      <c r="E41" s="1457">
        <v>301</v>
      </c>
      <c r="F41" s="1458">
        <v>168</v>
      </c>
      <c r="G41" s="3390">
        <v>2009</v>
      </c>
      <c r="H41" s="1470">
        <v>4</v>
      </c>
      <c r="I41" s="1470">
        <v>2.2999999999999998</v>
      </c>
      <c r="J41" s="1470">
        <v>1.04</v>
      </c>
      <c r="K41" s="1470">
        <v>2.84</v>
      </c>
      <c r="L41" s="1471">
        <v>0.67</v>
      </c>
      <c r="N41" s="1472">
        <f t="shared" si="66"/>
        <v>2.3E-2</v>
      </c>
      <c r="O41" s="1473">
        <f t="shared" si="66"/>
        <v>1.04E-2</v>
      </c>
      <c r="P41" s="1473">
        <f t="shared" si="66"/>
        <v>2.8399999999999998E-2</v>
      </c>
      <c r="Q41" s="1473">
        <f t="shared" si="66"/>
        <v>6.7000000000000002E-3</v>
      </c>
      <c r="R41" s="1462"/>
      <c r="S41" s="1463"/>
      <c r="T41" s="1464"/>
      <c r="U41" s="1464"/>
      <c r="V41" s="1464"/>
      <c r="X41" s="1464"/>
      <c r="Y41" s="1464"/>
      <c r="Z41" s="1464"/>
    </row>
    <row r="42" spans="1:26">
      <c r="A42" s="1449" t="s">
        <v>1180</v>
      </c>
      <c r="B42" s="1465">
        <f t="shared" ref="B42:C44" si="80">B41/(1+N41)</f>
        <v>215.05376344086022</v>
      </c>
      <c r="C42" s="1465">
        <f t="shared" si="80"/>
        <v>185.0752177355503</v>
      </c>
      <c r="D42" s="1465">
        <f t="shared" si="64"/>
        <v>185.0752177355503</v>
      </c>
      <c r="E42" s="1465">
        <f t="shared" ref="E42:F44" si="81">E41/(1+P41)</f>
        <v>292.68767016725008</v>
      </c>
      <c r="F42" s="1465">
        <f t="shared" si="81"/>
        <v>166.88189132810174</v>
      </c>
      <c r="G42" s="3391">
        <v>2009</v>
      </c>
      <c r="H42" s="1475">
        <v>3</v>
      </c>
      <c r="I42" s="1475">
        <v>2.1</v>
      </c>
      <c r="J42" s="1475">
        <v>1.86</v>
      </c>
      <c r="K42" s="1475">
        <v>2.29</v>
      </c>
      <c r="L42" s="1476">
        <v>0.85</v>
      </c>
      <c r="N42" s="1460">
        <f t="shared" si="66"/>
        <v>2.1000000000000001E-2</v>
      </c>
      <c r="O42" s="1477">
        <f t="shared" si="66"/>
        <v>1.8600000000000002E-2</v>
      </c>
      <c r="P42" s="1477">
        <f t="shared" si="66"/>
        <v>2.29E-2</v>
      </c>
      <c r="Q42" s="1477">
        <f t="shared" si="66"/>
        <v>8.5000000000000006E-3</v>
      </c>
      <c r="R42" s="1462"/>
      <c r="S42" s="1460"/>
      <c r="T42" s="1461"/>
      <c r="U42" s="1461"/>
      <c r="V42" s="1461"/>
    </row>
    <row r="43" spans="1:26">
      <c r="A43" s="1449" t="s">
        <v>1181</v>
      </c>
      <c r="B43" s="1465">
        <f t="shared" si="80"/>
        <v>210.630522469011</v>
      </c>
      <c r="C43" s="1465">
        <f t="shared" si="80"/>
        <v>181.69567812247232</v>
      </c>
      <c r="D43" s="1465">
        <f t="shared" si="64"/>
        <v>181.69567812247232</v>
      </c>
      <c r="E43" s="1465">
        <f t="shared" si="81"/>
        <v>286.13517466736738</v>
      </c>
      <c r="F43" s="1465">
        <f t="shared" si="81"/>
        <v>165.47535084591149</v>
      </c>
      <c r="G43" s="3391">
        <v>2009</v>
      </c>
      <c r="H43" s="1453">
        <v>2</v>
      </c>
      <c r="I43" s="1453">
        <v>0.86</v>
      </c>
      <c r="J43" s="1453">
        <v>-1.1299999999999999</v>
      </c>
      <c r="K43" s="1453">
        <v>1.79</v>
      </c>
      <c r="L43" s="1467">
        <v>-2.0699999999999998</v>
      </c>
      <c r="N43" s="1460">
        <f t="shared" si="66"/>
        <v>8.6E-3</v>
      </c>
      <c r="O43" s="1477">
        <f t="shared" si="66"/>
        <v>-1.1299999999999999E-2</v>
      </c>
      <c r="P43" s="1477">
        <f t="shared" si="66"/>
        <v>1.7899999999999999E-2</v>
      </c>
      <c r="Q43" s="1477">
        <f t="shared" si="66"/>
        <v>-2.07E-2</v>
      </c>
      <c r="R43" s="1462"/>
      <c r="S43" s="1460"/>
      <c r="T43" s="1461"/>
      <c r="U43" s="1461"/>
      <c r="V43" s="1461"/>
    </row>
    <row r="44" spans="1:26">
      <c r="A44" s="1449" t="s">
        <v>1182</v>
      </c>
      <c r="B44" s="1465">
        <f t="shared" si="80"/>
        <v>208.83454537875372</v>
      </c>
      <c r="C44" s="1465">
        <f t="shared" si="80"/>
        <v>183.77230517090351</v>
      </c>
      <c r="D44" s="1465">
        <f t="shared" si="64"/>
        <v>183.77230517090351</v>
      </c>
      <c r="E44" s="1465">
        <f t="shared" si="81"/>
        <v>281.10342338870947</v>
      </c>
      <c r="F44" s="1465">
        <f t="shared" si="81"/>
        <v>168.97309388942256</v>
      </c>
      <c r="G44" s="3392">
        <v>2009</v>
      </c>
      <c r="H44" s="1452">
        <v>1</v>
      </c>
      <c r="I44" s="1452">
        <v>-2.64</v>
      </c>
      <c r="J44" s="1452">
        <v>-2.5299999999999998</v>
      </c>
      <c r="K44" s="1452">
        <v>-3.02</v>
      </c>
      <c r="L44" s="1466">
        <v>1.52</v>
      </c>
      <c r="N44" s="1468">
        <f t="shared" si="66"/>
        <v>-2.64E-2</v>
      </c>
      <c r="O44" s="1469">
        <f t="shared" si="66"/>
        <v>-2.53E-2</v>
      </c>
      <c r="P44" s="1469">
        <f t="shared" si="66"/>
        <v>-3.0200000000000001E-2</v>
      </c>
      <c r="Q44" s="1469">
        <f t="shared" si="66"/>
        <v>1.52E-2</v>
      </c>
      <c r="R44" s="1462"/>
      <c r="S44" s="1468">
        <f>B44/B45-1</f>
        <v>-2.4137638417038754E-2</v>
      </c>
      <c r="T44" s="1469">
        <f>C44/C45-1</f>
        <v>-2.248773845264096E-2</v>
      </c>
      <c r="U44" s="1469">
        <f>E44/E45-1</f>
        <v>-2.7323794502735366E-2</v>
      </c>
      <c r="V44" s="1469">
        <f>F44/F45-1</f>
        <v>1.7910204153148035E-2</v>
      </c>
      <c r="X44" s="1448"/>
      <c r="Y44" s="1448"/>
      <c r="Z44" s="1448"/>
    </row>
    <row r="45" spans="1:26" ht="13.5" thickBot="1">
      <c r="A45" s="1449" t="s">
        <v>1183</v>
      </c>
      <c r="B45" s="1499">
        <v>214</v>
      </c>
      <c r="C45" s="1499">
        <v>188</v>
      </c>
      <c r="D45" s="1499">
        <f t="shared" si="64"/>
        <v>188</v>
      </c>
      <c r="E45" s="1499">
        <v>289</v>
      </c>
      <c r="F45" s="1500">
        <v>166</v>
      </c>
      <c r="G45" s="3390">
        <v>2008</v>
      </c>
      <c r="H45" s="1470">
        <v>4</v>
      </c>
      <c r="I45" s="1470">
        <v>1.73</v>
      </c>
      <c r="J45" s="1470">
        <v>0.03</v>
      </c>
      <c r="K45" s="1470">
        <v>2.59</v>
      </c>
      <c r="L45" s="1471">
        <v>-1.66</v>
      </c>
      <c r="N45" s="1460">
        <f t="shared" si="66"/>
        <v>1.7299999999999999E-2</v>
      </c>
      <c r="O45" s="1461">
        <f t="shared" si="66"/>
        <v>2.9999999999999997E-4</v>
      </c>
      <c r="P45" s="1461">
        <f t="shared" si="66"/>
        <v>2.5899999999999999E-2</v>
      </c>
      <c r="Q45" s="1461">
        <f t="shared" si="66"/>
        <v>-1.66E-2</v>
      </c>
      <c r="R45" s="1462"/>
      <c r="S45" s="1463"/>
      <c r="T45" s="1464"/>
      <c r="U45" s="1464"/>
      <c r="V45" s="1464"/>
      <c r="X45" s="1464"/>
      <c r="Y45" s="1464"/>
      <c r="Z45" s="1464"/>
    </row>
    <row r="46" spans="1:26">
      <c r="A46" s="1449" t="s">
        <v>1184</v>
      </c>
      <c r="B46" s="1465">
        <f t="shared" ref="B46:C48" si="82">B45/(1+N45)</f>
        <v>210.36075887152265</v>
      </c>
      <c r="C46" s="1465">
        <f t="shared" si="82"/>
        <v>187.94361691492554</v>
      </c>
      <c r="D46" s="1465">
        <f t="shared" si="64"/>
        <v>187.94361691492554</v>
      </c>
      <c r="E46" s="1465">
        <f t="shared" ref="E46:F48" si="83">E45/(1+P45)</f>
        <v>281.70386977288234</v>
      </c>
      <c r="F46" s="1465">
        <f t="shared" si="83"/>
        <v>168.80211511083994</v>
      </c>
      <c r="G46" s="3391">
        <v>2008</v>
      </c>
      <c r="H46" s="1475">
        <v>3</v>
      </c>
      <c r="I46" s="1475">
        <v>1.96</v>
      </c>
      <c r="J46" s="1475">
        <v>2.36</v>
      </c>
      <c r="K46" s="1475">
        <v>1.82</v>
      </c>
      <c r="L46" s="1476">
        <v>2.2200000000000002</v>
      </c>
      <c r="N46" s="1460">
        <f t="shared" si="66"/>
        <v>1.9599999999999999E-2</v>
      </c>
      <c r="O46" s="1461">
        <f t="shared" si="66"/>
        <v>2.3599999999999999E-2</v>
      </c>
      <c r="P46" s="1461">
        <f t="shared" si="66"/>
        <v>1.8200000000000001E-2</v>
      </c>
      <c r="Q46" s="1461">
        <f t="shared" si="66"/>
        <v>2.2200000000000001E-2</v>
      </c>
      <c r="R46" s="1462"/>
      <c r="S46" s="1460"/>
      <c r="T46" s="1461"/>
      <c r="U46" s="1461"/>
      <c r="V46" s="1461"/>
    </row>
    <row r="47" spans="1:26">
      <c r="A47" s="1449" t="s">
        <v>1185</v>
      </c>
      <c r="B47" s="1465">
        <f t="shared" si="82"/>
        <v>206.31694671589116</v>
      </c>
      <c r="C47" s="1465">
        <f t="shared" si="82"/>
        <v>183.61041121036101</v>
      </c>
      <c r="D47" s="1465">
        <f t="shared" si="64"/>
        <v>183.61041121036101</v>
      </c>
      <c r="E47" s="1465">
        <f t="shared" si="83"/>
        <v>276.66850301795557</v>
      </c>
      <c r="F47" s="1465">
        <f t="shared" si="83"/>
        <v>165.1360938278614</v>
      </c>
      <c r="G47" s="3391">
        <v>2008</v>
      </c>
      <c r="H47" s="1453">
        <v>2</v>
      </c>
      <c r="I47" s="1453">
        <v>4.93</v>
      </c>
      <c r="J47" s="1453">
        <v>7.38</v>
      </c>
      <c r="K47" s="1453">
        <v>3.98</v>
      </c>
      <c r="L47" s="1467">
        <v>6.86</v>
      </c>
      <c r="N47" s="1460">
        <f t="shared" si="66"/>
        <v>4.9299999999999997E-2</v>
      </c>
      <c r="O47" s="1461">
        <f t="shared" si="66"/>
        <v>7.3800000000000004E-2</v>
      </c>
      <c r="P47" s="1461">
        <f t="shared" si="66"/>
        <v>3.9800000000000002E-2</v>
      </c>
      <c r="Q47" s="1461">
        <f t="shared" si="66"/>
        <v>6.8600000000000008E-2</v>
      </c>
      <c r="R47" s="1462"/>
      <c r="S47" s="1460"/>
      <c r="T47" s="1461"/>
      <c r="U47" s="1461"/>
      <c r="V47" s="1461"/>
    </row>
    <row r="48" spans="1:26" s="1505" customFormat="1" ht="13.5" thickBot="1">
      <c r="A48" s="1449" t="s">
        <v>1186</v>
      </c>
      <c r="B48" s="1502">
        <f t="shared" si="82"/>
        <v>196.62341248059772</v>
      </c>
      <c r="C48" s="1502">
        <f t="shared" si="82"/>
        <v>170.99125648199012</v>
      </c>
      <c r="D48" s="1502">
        <f t="shared" si="64"/>
        <v>170.99125648199012</v>
      </c>
      <c r="E48" s="1502">
        <f t="shared" si="83"/>
        <v>266.07857570490052</v>
      </c>
      <c r="F48" s="1502">
        <f t="shared" si="83"/>
        <v>154.53499328828505</v>
      </c>
      <c r="G48" s="3392">
        <v>2008</v>
      </c>
      <c r="H48" s="1503">
        <v>1</v>
      </c>
      <c r="I48" s="1503">
        <v>4.1399999999999997</v>
      </c>
      <c r="J48" s="1503">
        <v>3.45</v>
      </c>
      <c r="K48" s="1503">
        <v>4.95</v>
      </c>
      <c r="L48" s="1504">
        <v>4.82</v>
      </c>
      <c r="N48" s="1506">
        <f t="shared" si="66"/>
        <v>4.1399999999999999E-2</v>
      </c>
      <c r="O48" s="1507">
        <f t="shared" si="66"/>
        <v>3.4500000000000003E-2</v>
      </c>
      <c r="P48" s="1507">
        <f t="shared" si="66"/>
        <v>4.9500000000000002E-2</v>
      </c>
      <c r="Q48" s="1507">
        <f t="shared" si="66"/>
        <v>4.82E-2</v>
      </c>
      <c r="R48" s="1508"/>
      <c r="S48" s="1506">
        <f>B48/B49-1</f>
        <v>4.5869215322328349E-2</v>
      </c>
      <c r="T48" s="1507">
        <f>C48/C49-1</f>
        <v>3.6310645345394743E-2</v>
      </c>
      <c r="U48" s="1507">
        <f>E48/E49-1</f>
        <v>4.7553447657088688E-2</v>
      </c>
      <c r="V48" s="1507">
        <f>F48/F49-1</f>
        <v>4.4155360055980086E-2</v>
      </c>
      <c r="X48" s="1509"/>
      <c r="Y48" s="1509"/>
      <c r="Z48" s="1509"/>
    </row>
    <row r="49" spans="1:26" ht="13.5" thickBot="1">
      <c r="A49" s="1449" t="s">
        <v>1187</v>
      </c>
      <c r="B49" s="1457">
        <v>188</v>
      </c>
      <c r="C49" s="1457">
        <v>165</v>
      </c>
      <c r="D49" s="1457">
        <f t="shared" si="64"/>
        <v>165</v>
      </c>
      <c r="E49" s="1457">
        <v>254</v>
      </c>
      <c r="F49" s="1458">
        <v>148</v>
      </c>
      <c r="G49" s="3390">
        <v>2007</v>
      </c>
      <c r="H49" s="1510">
        <v>4</v>
      </c>
      <c r="I49" s="1510">
        <v>5.51</v>
      </c>
      <c r="J49" s="1510">
        <v>4.8899999999999997</v>
      </c>
      <c r="K49" s="1510">
        <v>6.43</v>
      </c>
      <c r="L49" s="1511">
        <v>5.36</v>
      </c>
      <c r="N49" s="1512">
        <f t="shared" ref="N49:O52" si="84">B49/B50-1</f>
        <v>4.1339718365245526E-2</v>
      </c>
      <c r="O49" s="1513">
        <f t="shared" si="84"/>
        <v>4.0324492593776018E-2</v>
      </c>
      <c r="P49" s="1513">
        <f t="shared" ref="P49:Q52" si="85">E49/E50-1</f>
        <v>6.1625555347990968E-2</v>
      </c>
      <c r="Q49" s="1513">
        <f t="shared" si="85"/>
        <v>4.6757569250590603E-2</v>
      </c>
      <c r="R49" s="1462"/>
      <c r="S49" s="1463"/>
      <c r="T49" s="1464"/>
      <c r="U49" s="1464"/>
      <c r="V49" s="1464"/>
      <c r="X49" s="1464"/>
      <c r="Y49" s="1464"/>
      <c r="Z49" s="1464"/>
    </row>
    <row r="50" spans="1:26">
      <c r="A50" s="1449" t="s">
        <v>1188</v>
      </c>
      <c r="B50" s="1465">
        <f t="shared" ref="B50:C52" si="86">B51+(B$49-B$53)*I50/SUM(I$49:I$52)</f>
        <v>180.5366651097618</v>
      </c>
      <c r="C50" s="1465">
        <f t="shared" si="86"/>
        <v>158.60435967302453</v>
      </c>
      <c r="D50" s="1465">
        <f t="shared" si="64"/>
        <v>158.60435967302453</v>
      </c>
      <c r="E50" s="1465">
        <f t="shared" ref="E50:F52" si="87">E51+(E$49-E$53)*K50/SUM(K$49:K$52)</f>
        <v>239.25573260785075</v>
      </c>
      <c r="F50" s="1465">
        <f t="shared" si="87"/>
        <v>141.38899430740037</v>
      </c>
      <c r="G50" s="3391">
        <v>2007</v>
      </c>
      <c r="H50" s="1475">
        <v>3</v>
      </c>
      <c r="I50" s="1475">
        <v>8.65</v>
      </c>
      <c r="J50" s="1475">
        <v>8.06</v>
      </c>
      <c r="K50" s="1475">
        <v>9.94</v>
      </c>
      <c r="L50" s="1476">
        <v>5.8</v>
      </c>
      <c r="N50" s="1512">
        <f t="shared" si="84"/>
        <v>6.940217571740015E-2</v>
      </c>
      <c r="O50" s="1513">
        <f t="shared" si="84"/>
        <v>7.1197482471153428E-2</v>
      </c>
      <c r="P50" s="1513">
        <f t="shared" si="85"/>
        <v>0.10529679922579582</v>
      </c>
      <c r="Q50" s="1513">
        <f t="shared" si="85"/>
        <v>5.3292245059512133E-2</v>
      </c>
      <c r="R50" s="1462"/>
      <c r="S50" s="1460"/>
      <c r="T50" s="1461"/>
      <c r="U50" s="1461"/>
      <c r="V50" s="1461"/>
      <c r="X50" s="1514"/>
      <c r="Y50" s="1514"/>
      <c r="Z50" s="1514"/>
    </row>
    <row r="51" spans="1:26">
      <c r="A51" s="1449" t="s">
        <v>1189</v>
      </c>
      <c r="B51" s="1465">
        <f t="shared" si="86"/>
        <v>168.82017748715555</v>
      </c>
      <c r="C51" s="1465">
        <f t="shared" si="86"/>
        <v>148.06267029972753</v>
      </c>
      <c r="D51" s="1465">
        <f t="shared" si="64"/>
        <v>148.06267029972753</v>
      </c>
      <c r="E51" s="1465">
        <f t="shared" si="87"/>
        <v>216.46288379323747</v>
      </c>
      <c r="F51" s="1465">
        <f t="shared" si="87"/>
        <v>134.23529411764704</v>
      </c>
      <c r="G51" s="3391">
        <v>2007</v>
      </c>
      <c r="H51" s="1453">
        <v>2</v>
      </c>
      <c r="I51" s="1453">
        <v>3.67</v>
      </c>
      <c r="J51" s="1453">
        <v>2.3199999999999998</v>
      </c>
      <c r="K51" s="1453">
        <v>5.0199999999999996</v>
      </c>
      <c r="L51" s="1467">
        <v>6.71</v>
      </c>
      <c r="N51" s="1512">
        <f t="shared" si="84"/>
        <v>3.0339138143848032E-2</v>
      </c>
      <c r="O51" s="1513">
        <f t="shared" si="84"/>
        <v>2.0922341588790472E-2</v>
      </c>
      <c r="P51" s="1513">
        <f t="shared" si="85"/>
        <v>5.6164796592717003E-2</v>
      </c>
      <c r="Q51" s="1513">
        <f t="shared" si="85"/>
        <v>6.5704536723887319E-2</v>
      </c>
      <c r="R51" s="1462"/>
      <c r="S51" s="1460"/>
      <c r="T51" s="1461"/>
      <c r="U51" s="1461"/>
      <c r="V51" s="1461"/>
      <c r="X51" s="1514"/>
      <c r="Y51" s="1514"/>
      <c r="Z51" s="1514"/>
    </row>
    <row r="52" spans="1:26">
      <c r="A52" s="1449" t="s">
        <v>1190</v>
      </c>
      <c r="B52" s="1465">
        <f t="shared" si="86"/>
        <v>163.84913591779542</v>
      </c>
      <c r="C52" s="1465">
        <f t="shared" si="86"/>
        <v>145.0283378746594</v>
      </c>
      <c r="D52" s="1465">
        <f t="shared" si="64"/>
        <v>145.0283378746594</v>
      </c>
      <c r="E52" s="1465">
        <f t="shared" si="87"/>
        <v>204.95180722891567</v>
      </c>
      <c r="F52" s="1465">
        <f t="shared" si="87"/>
        <v>125.95920303605313</v>
      </c>
      <c r="G52" s="3392">
        <v>2007</v>
      </c>
      <c r="H52" s="1452">
        <v>1</v>
      </c>
      <c r="I52" s="1452">
        <v>3.58</v>
      </c>
      <c r="J52" s="1452">
        <v>3.08</v>
      </c>
      <c r="K52" s="1452">
        <v>4.34</v>
      </c>
      <c r="L52" s="1466">
        <v>3.21</v>
      </c>
      <c r="N52" s="1515">
        <f t="shared" si="84"/>
        <v>3.0497710174814063E-2</v>
      </c>
      <c r="O52" s="1516">
        <f t="shared" si="84"/>
        <v>2.8569772160704998E-2</v>
      </c>
      <c r="P52" s="1516">
        <f t="shared" si="85"/>
        <v>5.1034908866234296E-2</v>
      </c>
      <c r="Q52" s="1516">
        <f t="shared" si="85"/>
        <v>3.245248390207478E-2</v>
      </c>
      <c r="R52" s="1462"/>
      <c r="S52" s="1468">
        <f>B52/B53-1</f>
        <v>3.0497710174814063E-2</v>
      </c>
      <c r="T52" s="1469">
        <f>C52/C53-1</f>
        <v>2.8569772160704998E-2</v>
      </c>
      <c r="U52" s="1469">
        <f>E52/E53-1</f>
        <v>5.1034908866234296E-2</v>
      </c>
      <c r="V52" s="1469">
        <f>F52/F53-1</f>
        <v>3.245248390207478E-2</v>
      </c>
      <c r="X52" s="1514"/>
      <c r="Y52" s="1514"/>
      <c r="Z52" s="1514"/>
    </row>
    <row r="53" spans="1:26" ht="13.5" thickBot="1">
      <c r="A53" s="1449" t="s">
        <v>1191</v>
      </c>
      <c r="B53" s="1478">
        <v>159</v>
      </c>
      <c r="C53" s="1478">
        <v>141</v>
      </c>
      <c r="D53" s="1478">
        <f t="shared" si="64"/>
        <v>141</v>
      </c>
      <c r="E53" s="1478">
        <v>195</v>
      </c>
      <c r="F53" s="1479">
        <v>122</v>
      </c>
      <c r="G53" s="3390">
        <v>2006</v>
      </c>
      <c r="H53" s="1470">
        <v>4</v>
      </c>
      <c r="I53" s="1470">
        <v>3.79</v>
      </c>
      <c r="J53" s="1470">
        <v>2.21</v>
      </c>
      <c r="K53" s="1470">
        <v>5.65</v>
      </c>
      <c r="L53" s="1471">
        <v>5.41</v>
      </c>
      <c r="N53" s="1512">
        <f t="shared" ref="N53:O56" si="88">I53/SUM(I$53:I$56)*(B$53/B$57-1)</f>
        <v>7.245466462748526E-2</v>
      </c>
      <c r="O53" s="1513">
        <f t="shared" si="88"/>
        <v>2.3237230038062766E-2</v>
      </c>
      <c r="P53" s="1513">
        <f t="shared" ref="P53:Q56" si="89">K53/SUM(K$53:K$56)*(E$53/E$57-1)</f>
        <v>0.16146893866323722</v>
      </c>
      <c r="Q53" s="1513">
        <f t="shared" si="89"/>
        <v>5.0755230321793784E-2</v>
      </c>
      <c r="R53" s="1462"/>
      <c r="S53" s="1463"/>
      <c r="T53" s="1464"/>
      <c r="U53" s="1464"/>
      <c r="V53" s="1464"/>
      <c r="X53" s="1514"/>
      <c r="Y53" s="1514"/>
      <c r="Z53" s="1514"/>
    </row>
    <row r="54" spans="1:26">
      <c r="A54" s="1449" t="s">
        <v>1192</v>
      </c>
      <c r="B54" s="1465">
        <f t="shared" ref="B54:C56" si="90">B55+(B$53-B$57)*I54/SUM(I$53:I$56)</f>
        <v>149.00125628140702</v>
      </c>
      <c r="C54" s="1465">
        <f t="shared" si="90"/>
        <v>137.95592286501378</v>
      </c>
      <c r="D54" s="1465">
        <f t="shared" si="64"/>
        <v>137.95592286501378</v>
      </c>
      <c r="E54" s="1465">
        <f t="shared" ref="E54:F56" si="91">E55+(E$53-E$57)*K54/SUM(K$53:K$56)</f>
        <v>169.97231450719823</v>
      </c>
      <c r="F54" s="1465">
        <f t="shared" si="91"/>
        <v>116.21390374331551</v>
      </c>
      <c r="G54" s="3391">
        <v>2006</v>
      </c>
      <c r="H54" s="1475">
        <v>3</v>
      </c>
      <c r="I54" s="1475">
        <v>0.92</v>
      </c>
      <c r="J54" s="1475">
        <v>1.08</v>
      </c>
      <c r="K54" s="1475">
        <v>0.73</v>
      </c>
      <c r="L54" s="1476">
        <v>1.08</v>
      </c>
      <c r="N54" s="1512">
        <f t="shared" si="88"/>
        <v>1.7587939698492462E-2</v>
      </c>
      <c r="O54" s="1513">
        <f t="shared" si="88"/>
        <v>1.1355750425840628E-2</v>
      </c>
      <c r="P54" s="1513">
        <f t="shared" si="89"/>
        <v>2.0862358446754544E-2</v>
      </c>
      <c r="Q54" s="1513">
        <f t="shared" si="89"/>
        <v>1.0132282578103011E-2</v>
      </c>
      <c r="R54" s="1462"/>
      <c r="S54" s="1460"/>
      <c r="T54" s="1461"/>
      <c r="U54" s="1461"/>
      <c r="V54" s="1461"/>
      <c r="X54" s="1514"/>
      <c r="Y54" s="1514"/>
      <c r="Z54" s="1514"/>
    </row>
    <row r="55" spans="1:26">
      <c r="A55" s="1449" t="s">
        <v>1193</v>
      </c>
      <c r="B55" s="1465">
        <f t="shared" si="90"/>
        <v>146.57412060301507</v>
      </c>
      <c r="C55" s="1465">
        <f t="shared" si="90"/>
        <v>136.46831955922866</v>
      </c>
      <c r="D55" s="1465">
        <f t="shared" si="64"/>
        <v>136.46831955922866</v>
      </c>
      <c r="E55" s="1465">
        <f t="shared" si="91"/>
        <v>166.73864894795128</v>
      </c>
      <c r="F55" s="1465">
        <f t="shared" si="91"/>
        <v>115.05882352941177</v>
      </c>
      <c r="G55" s="3391">
        <v>2006</v>
      </c>
      <c r="H55" s="1453">
        <v>2</v>
      </c>
      <c r="I55" s="1453">
        <v>0.96</v>
      </c>
      <c r="J55" s="1453">
        <v>0.25</v>
      </c>
      <c r="K55" s="1453">
        <v>1.9</v>
      </c>
      <c r="L55" s="1467">
        <v>0.95</v>
      </c>
      <c r="N55" s="1512">
        <f t="shared" si="88"/>
        <v>1.8352632728861701E-2</v>
      </c>
      <c r="O55" s="1513">
        <f t="shared" si="88"/>
        <v>2.6286459319075526E-3</v>
      </c>
      <c r="P55" s="1513">
        <f t="shared" si="89"/>
        <v>5.4299289107991269E-2</v>
      </c>
      <c r="Q55" s="1513">
        <f t="shared" si="89"/>
        <v>8.9126559714794995E-3</v>
      </c>
      <c r="R55" s="1462"/>
      <c r="S55" s="1460"/>
      <c r="T55" s="1461"/>
      <c r="U55" s="1461"/>
      <c r="V55" s="1461"/>
      <c r="X55" s="1514"/>
      <c r="Y55" s="1514"/>
      <c r="Z55" s="1514"/>
    </row>
    <row r="56" spans="1:26">
      <c r="A56" s="1449" t="s">
        <v>1194</v>
      </c>
      <c r="B56" s="1465">
        <f t="shared" si="90"/>
        <v>144.04145728643215</v>
      </c>
      <c r="C56" s="1465">
        <f t="shared" si="90"/>
        <v>136.12396694214877</v>
      </c>
      <c r="D56" s="1465">
        <f t="shared" si="64"/>
        <v>136.12396694214877</v>
      </c>
      <c r="E56" s="1465">
        <f t="shared" si="91"/>
        <v>158.32225913621264</v>
      </c>
      <c r="F56" s="1465">
        <f t="shared" si="91"/>
        <v>114.04278074866311</v>
      </c>
      <c r="G56" s="3392">
        <v>2006</v>
      </c>
      <c r="H56" s="1452">
        <v>1</v>
      </c>
      <c r="I56" s="1452">
        <v>2.29</v>
      </c>
      <c r="J56" s="1452">
        <v>3.72</v>
      </c>
      <c r="K56" s="1452">
        <v>0.75</v>
      </c>
      <c r="L56" s="1466">
        <v>0.04</v>
      </c>
      <c r="N56" s="1515">
        <f t="shared" si="88"/>
        <v>4.3778675988638847E-2</v>
      </c>
      <c r="O56" s="1516">
        <f t="shared" si="88"/>
        <v>3.9114251466784385E-2</v>
      </c>
      <c r="P56" s="1516">
        <f t="shared" si="89"/>
        <v>2.1433929911049188E-2</v>
      </c>
      <c r="Q56" s="1516">
        <f t="shared" si="89"/>
        <v>3.7526972511492629E-4</v>
      </c>
      <c r="R56" s="1462"/>
      <c r="S56" s="1468">
        <f>B56/B57-1</f>
        <v>4.3778675988638716E-2</v>
      </c>
      <c r="T56" s="1469">
        <f>C56/C57-1</f>
        <v>3.91142514667846E-2</v>
      </c>
      <c r="U56" s="1469">
        <f>E56/E57-1</f>
        <v>2.143392991104931E-2</v>
      </c>
      <c r="V56" s="1469">
        <f>F56/F57-1</f>
        <v>3.7526972511492396E-4</v>
      </c>
      <c r="X56" s="1514"/>
      <c r="Y56" s="1514"/>
      <c r="Z56" s="1514"/>
    </row>
    <row r="57" spans="1:26" ht="13.5" thickBot="1">
      <c r="A57" s="1449" t="s">
        <v>1195</v>
      </c>
      <c r="B57" s="1478">
        <v>138</v>
      </c>
      <c r="C57" s="1478">
        <v>131</v>
      </c>
      <c r="D57" s="1478">
        <f t="shared" si="64"/>
        <v>131</v>
      </c>
      <c r="E57" s="1478">
        <v>155</v>
      </c>
      <c r="F57" s="1479">
        <v>114</v>
      </c>
      <c r="G57" s="3390">
        <v>2005</v>
      </c>
      <c r="H57" s="1470">
        <v>4</v>
      </c>
      <c r="I57" s="1470">
        <v>3.29</v>
      </c>
      <c r="J57" s="1470">
        <v>1.44</v>
      </c>
      <c r="K57" s="1470">
        <v>0.66</v>
      </c>
      <c r="L57" s="1471">
        <v>7.78</v>
      </c>
      <c r="N57" s="1512">
        <f t="shared" ref="N57:O60" si="92">I57/SUM(I$57:I$60)*(B$57/B$61-1)</f>
        <v>9.9404603216919935E-2</v>
      </c>
      <c r="O57" s="1513">
        <f t="shared" si="92"/>
        <v>4.7636550760861554E-2</v>
      </c>
      <c r="P57" s="1513">
        <f t="shared" ref="P57:Q60" si="93">K57/SUM(K$57:K$60)*(E$57/E$61-1)</f>
        <v>8.3756345177664976E-2</v>
      </c>
      <c r="Q57" s="1513">
        <f t="shared" si="93"/>
        <v>5.2148766661559584E-2</v>
      </c>
      <c r="R57" s="1462"/>
      <c r="S57" s="1463"/>
      <c r="T57" s="1464"/>
      <c r="U57" s="1464"/>
      <c r="V57" s="1464"/>
      <c r="X57" s="1514"/>
      <c r="Y57" s="1514"/>
      <c r="Z57" s="1514"/>
    </row>
    <row r="58" spans="1:26">
      <c r="A58" s="1449" t="s">
        <v>1196</v>
      </c>
      <c r="B58" s="1465">
        <f t="shared" ref="B58:C60" si="94">B59+(B$57-B$61)*I58/SUM(I$57:I$60)</f>
        <v>125.9720430107527</v>
      </c>
      <c r="C58" s="1465">
        <f t="shared" si="94"/>
        <v>125.1883408071749</v>
      </c>
      <c r="D58" s="1465">
        <f t="shared" si="64"/>
        <v>125.1883408071749</v>
      </c>
      <c r="E58" s="1465">
        <f t="shared" ref="E58:F60" si="95">E59+(E$57-E$61)*K58/SUM(K$57:K$60)</f>
        <v>144.61421319796952</v>
      </c>
      <c r="F58" s="1465">
        <f t="shared" si="95"/>
        <v>108.42008196721311</v>
      </c>
      <c r="G58" s="3391">
        <v>2005</v>
      </c>
      <c r="H58" s="1475">
        <v>3</v>
      </c>
      <c r="I58" s="1475">
        <v>0.46</v>
      </c>
      <c r="J58" s="1475">
        <v>0.32</v>
      </c>
      <c r="K58" s="1475">
        <v>0.42</v>
      </c>
      <c r="L58" s="1476">
        <v>0.64</v>
      </c>
      <c r="N58" s="1512">
        <f t="shared" si="92"/>
        <v>1.3898515951301874E-2</v>
      </c>
      <c r="O58" s="1513">
        <f t="shared" si="92"/>
        <v>1.0585900169080346E-2</v>
      </c>
      <c r="P58" s="1513">
        <f t="shared" si="93"/>
        <v>5.3299492385786795E-2</v>
      </c>
      <c r="Q58" s="1513">
        <f t="shared" si="93"/>
        <v>4.2898728359123568E-3</v>
      </c>
      <c r="R58" s="1462"/>
      <c r="S58" s="1460"/>
      <c r="T58" s="1461"/>
      <c r="U58" s="1461"/>
      <c r="V58" s="1461"/>
      <c r="X58" s="1514"/>
      <c r="Y58" s="1514"/>
      <c r="Z58" s="1514"/>
    </row>
    <row r="59" spans="1:26">
      <c r="A59" s="1449" t="s">
        <v>1197</v>
      </c>
      <c r="B59" s="1465">
        <f t="shared" si="94"/>
        <v>124.29032258064517</v>
      </c>
      <c r="C59" s="1465">
        <f t="shared" si="94"/>
        <v>123.8968609865471</v>
      </c>
      <c r="D59" s="1465">
        <f t="shared" si="64"/>
        <v>123.8968609865471</v>
      </c>
      <c r="E59" s="1465">
        <f t="shared" si="95"/>
        <v>138.00507614213197</v>
      </c>
      <c r="F59" s="1465">
        <f t="shared" si="95"/>
        <v>107.96106557377048</v>
      </c>
      <c r="G59" s="3391">
        <v>2005</v>
      </c>
      <c r="H59" s="1453">
        <v>2</v>
      </c>
      <c r="I59" s="1453">
        <v>0.47</v>
      </c>
      <c r="J59" s="1453">
        <v>0.1</v>
      </c>
      <c r="K59" s="1453">
        <v>0.52</v>
      </c>
      <c r="L59" s="1467">
        <v>0.79</v>
      </c>
      <c r="N59" s="1512">
        <f t="shared" si="92"/>
        <v>1.420065760241713E-2</v>
      </c>
      <c r="O59" s="1513">
        <f t="shared" si="92"/>
        <v>3.3080938028376083E-3</v>
      </c>
      <c r="P59" s="1513">
        <f t="shared" si="93"/>
        <v>6.598984771573603E-2</v>
      </c>
      <c r="Q59" s="1513">
        <f t="shared" si="93"/>
        <v>5.2953117818293153E-3</v>
      </c>
      <c r="R59" s="1462"/>
      <c r="S59" s="1460"/>
      <c r="T59" s="1461"/>
      <c r="U59" s="1461"/>
      <c r="V59" s="1461"/>
      <c r="X59" s="1514"/>
      <c r="Y59" s="1514"/>
      <c r="Z59" s="1514"/>
    </row>
    <row r="60" spans="1:26">
      <c r="A60" s="1449" t="s">
        <v>1198</v>
      </c>
      <c r="B60" s="1465">
        <f t="shared" si="94"/>
        <v>122.57204301075269</v>
      </c>
      <c r="C60" s="1465">
        <f t="shared" si="94"/>
        <v>123.4932735426009</v>
      </c>
      <c r="D60" s="1465">
        <f t="shared" si="64"/>
        <v>123.4932735426009</v>
      </c>
      <c r="E60" s="1465">
        <f t="shared" si="95"/>
        <v>129.82233502538071</v>
      </c>
      <c r="F60" s="1465">
        <f t="shared" si="95"/>
        <v>107.39446721311475</v>
      </c>
      <c r="G60" s="3392">
        <v>2005</v>
      </c>
      <c r="H60" s="1452">
        <v>1</v>
      </c>
      <c r="I60" s="1452">
        <v>0.43</v>
      </c>
      <c r="J60" s="1452">
        <v>0.37</v>
      </c>
      <c r="K60" s="1452">
        <v>0.37</v>
      </c>
      <c r="L60" s="1466">
        <v>0.55000000000000004</v>
      </c>
      <c r="N60" s="1515">
        <f t="shared" si="92"/>
        <v>1.2992090997956099E-2</v>
      </c>
      <c r="O60" s="1516">
        <f t="shared" si="92"/>
        <v>1.2239947070499151E-2</v>
      </c>
      <c r="P60" s="1516">
        <f t="shared" si="93"/>
        <v>4.6954314720812178E-2</v>
      </c>
      <c r="Q60" s="1516">
        <f t="shared" si="93"/>
        <v>3.6866094683621815E-3</v>
      </c>
      <c r="R60" s="1462"/>
      <c r="S60" s="1468">
        <f>B60/B61-1</f>
        <v>1.2992090997956174E-2</v>
      </c>
      <c r="T60" s="1469">
        <f>C60/C61-1</f>
        <v>1.2239947070499246E-2</v>
      </c>
      <c r="U60" s="1469">
        <f>E60/E61-1</f>
        <v>4.695431472081224E-2</v>
      </c>
      <c r="V60" s="1469">
        <f>F60/F61-1</f>
        <v>3.6866094683620787E-3</v>
      </c>
      <c r="X60" s="1514"/>
      <c r="Y60" s="1514"/>
      <c r="Z60" s="1514"/>
    </row>
    <row r="61" spans="1:26" ht="13.5" thickBot="1">
      <c r="A61" s="1449" t="s">
        <v>1199</v>
      </c>
      <c r="B61" s="1499">
        <v>121</v>
      </c>
      <c r="C61" s="1499">
        <v>122</v>
      </c>
      <c r="D61" s="1499">
        <f t="shared" si="64"/>
        <v>122</v>
      </c>
      <c r="E61" s="1499">
        <v>124</v>
      </c>
      <c r="F61" s="1500">
        <v>107</v>
      </c>
      <c r="G61" s="3390">
        <v>2004</v>
      </c>
      <c r="H61" s="1470">
        <v>4</v>
      </c>
      <c r="I61" s="1470">
        <v>0.33</v>
      </c>
      <c r="J61" s="1470">
        <v>0.5</v>
      </c>
      <c r="K61" s="1470">
        <v>0.5</v>
      </c>
      <c r="L61" s="1471">
        <v>0</v>
      </c>
      <c r="N61" s="1512">
        <f t="shared" ref="N61:O64" si="96">I61/SUM(I$61:I$64)*(B$61/B$65-1)</f>
        <v>1.3391770148526898E-2</v>
      </c>
      <c r="O61" s="1513">
        <f t="shared" si="96"/>
        <v>1.063264221158958E-2</v>
      </c>
      <c r="P61" s="1513">
        <f t="shared" ref="P61:Q64" si="97">K61/SUM(K$61:K$64)*(E$61/E$65-1)</f>
        <v>2.2244466688911134E-2</v>
      </c>
      <c r="Q61" s="1513">
        <f t="shared" si="97"/>
        <v>0</v>
      </c>
      <c r="R61" s="1462"/>
      <c r="S61" s="1463"/>
      <c r="T61" s="1464"/>
      <c r="U61" s="1464"/>
      <c r="V61" s="1464"/>
      <c r="X61" s="1514"/>
      <c r="Y61" s="1514"/>
      <c r="Z61" s="1514"/>
    </row>
    <row r="62" spans="1:26">
      <c r="A62" s="1449" t="s">
        <v>1200</v>
      </c>
      <c r="B62" s="1465">
        <f t="shared" ref="B62:C64" si="98">B63+(B$61-B$65)*I62/SUM(I$61:I$64)</f>
        <v>119.51351351351352</v>
      </c>
      <c r="C62" s="1465">
        <f t="shared" si="98"/>
        <v>120.7878787878788</v>
      </c>
      <c r="D62" s="1465">
        <f t="shared" si="64"/>
        <v>120.7878787878788</v>
      </c>
      <c r="E62" s="1465">
        <f t="shared" ref="E62:F64" si="99">E63+(E$61-E$65)*K62/SUM(K$61:K$64)</f>
        <v>121.5975975975976</v>
      </c>
      <c r="F62" s="1465">
        <f t="shared" si="99"/>
        <v>107</v>
      </c>
      <c r="G62" s="3391">
        <v>2004</v>
      </c>
      <c r="H62" s="1475">
        <v>3</v>
      </c>
      <c r="I62" s="1475">
        <v>0.56000000000000005</v>
      </c>
      <c r="J62" s="1475">
        <v>0.8</v>
      </c>
      <c r="K62" s="1475">
        <v>0.83</v>
      </c>
      <c r="L62" s="1476">
        <v>0.06</v>
      </c>
      <c r="N62" s="1512">
        <f t="shared" si="96"/>
        <v>2.2725428130833527E-2</v>
      </c>
      <c r="O62" s="1513">
        <f t="shared" si="96"/>
        <v>1.7012227538543329E-2</v>
      </c>
      <c r="P62" s="1513">
        <f t="shared" si="97"/>
        <v>3.6925814703592477E-2</v>
      </c>
      <c r="Q62" s="1513">
        <f t="shared" si="97"/>
        <v>2.8846153846153744E-2</v>
      </c>
      <c r="R62" s="1462"/>
      <c r="S62" s="1460"/>
      <c r="T62" s="1461"/>
      <c r="U62" s="1461"/>
      <c r="V62" s="1461"/>
      <c r="X62" s="1514"/>
      <c r="Y62" s="1514"/>
      <c r="Z62" s="1514"/>
    </row>
    <row r="63" spans="1:26">
      <c r="A63" s="1449" t="s">
        <v>1201</v>
      </c>
      <c r="B63" s="1465">
        <f t="shared" si="98"/>
        <v>116.99099099099099</v>
      </c>
      <c r="C63" s="1465">
        <f t="shared" si="98"/>
        <v>118.84848484848486</v>
      </c>
      <c r="D63" s="1465">
        <f t="shared" si="64"/>
        <v>118.84848484848486</v>
      </c>
      <c r="E63" s="1465">
        <f t="shared" si="99"/>
        <v>117.60960960960961</v>
      </c>
      <c r="F63" s="1465">
        <f t="shared" si="99"/>
        <v>104</v>
      </c>
      <c r="G63" s="3391">
        <v>2004</v>
      </c>
      <c r="H63" s="1453">
        <v>2</v>
      </c>
      <c r="I63" s="1453">
        <v>1</v>
      </c>
      <c r="J63" s="1453">
        <v>1.5</v>
      </c>
      <c r="K63" s="1453">
        <v>1.5</v>
      </c>
      <c r="L63" s="1467">
        <v>0</v>
      </c>
      <c r="N63" s="1512">
        <f t="shared" si="96"/>
        <v>4.0581121662202721E-2</v>
      </c>
      <c r="O63" s="1513">
        <f t="shared" si="96"/>
        <v>3.1897926634768738E-2</v>
      </c>
      <c r="P63" s="1513">
        <f t="shared" si="97"/>
        <v>6.6733400066733395E-2</v>
      </c>
      <c r="Q63" s="1513">
        <f t="shared" si="97"/>
        <v>0</v>
      </c>
      <c r="R63" s="1462"/>
      <c r="S63" s="1460"/>
      <c r="T63" s="1461"/>
      <c r="U63" s="1461"/>
      <c r="V63" s="1461"/>
      <c r="X63" s="1514"/>
      <c r="Y63" s="1514"/>
      <c r="Z63" s="1514"/>
    </row>
    <row r="64" spans="1:26" s="1505" customFormat="1" ht="13.5" thickBot="1">
      <c r="A64" s="1449" t="s">
        <v>1202</v>
      </c>
      <c r="B64" s="1502">
        <f t="shared" si="98"/>
        <v>112.48648648648648</v>
      </c>
      <c r="C64" s="1502">
        <f t="shared" si="98"/>
        <v>115.21212121212122</v>
      </c>
      <c r="D64" s="1502">
        <f t="shared" si="64"/>
        <v>115.21212121212122</v>
      </c>
      <c r="E64" s="1502">
        <f t="shared" si="99"/>
        <v>110.4024024024024</v>
      </c>
      <c r="F64" s="1502">
        <f t="shared" si="99"/>
        <v>104</v>
      </c>
      <c r="G64" s="3392">
        <v>2004</v>
      </c>
      <c r="H64" s="1503">
        <v>1</v>
      </c>
      <c r="I64" s="1503">
        <v>0.33</v>
      </c>
      <c r="J64" s="1503">
        <v>0.5</v>
      </c>
      <c r="K64" s="1503">
        <v>0.5</v>
      </c>
      <c r="L64" s="1504">
        <v>0</v>
      </c>
      <c r="N64" s="1517">
        <f t="shared" si="96"/>
        <v>1.3391770148526898E-2</v>
      </c>
      <c r="O64" s="1518">
        <f t="shared" si="96"/>
        <v>1.063264221158958E-2</v>
      </c>
      <c r="P64" s="1518">
        <f t="shared" si="97"/>
        <v>2.2244466688911134E-2</v>
      </c>
      <c r="Q64" s="1518">
        <f t="shared" si="97"/>
        <v>0</v>
      </c>
      <c r="R64" s="1508"/>
      <c r="S64" s="1506">
        <f>B64/B65-1</f>
        <v>1.3391770148526883E-2</v>
      </c>
      <c r="T64" s="1507">
        <f>C64/C65-1</f>
        <v>1.063264221158966E-2</v>
      </c>
      <c r="U64" s="1507">
        <f>E64/E65-1</f>
        <v>2.2244466688911224E-2</v>
      </c>
      <c r="V64" s="1507">
        <f>F64/F65-1</f>
        <v>0</v>
      </c>
      <c r="X64" s="1519"/>
      <c r="Y64" s="1519"/>
      <c r="Z64" s="1519"/>
    </row>
    <row r="65" spans="1:26" ht="13.5" thickBot="1">
      <c r="A65" s="1449" t="s">
        <v>1203</v>
      </c>
      <c r="B65" s="1520">
        <v>111</v>
      </c>
      <c r="C65" s="1520">
        <v>114</v>
      </c>
      <c r="D65" s="1520">
        <f t="shared" si="64"/>
        <v>114</v>
      </c>
      <c r="E65" s="1520">
        <v>108</v>
      </c>
      <c r="F65" s="1521">
        <v>104</v>
      </c>
      <c r="G65" s="3390">
        <v>2003</v>
      </c>
      <c r="H65" s="1510">
        <v>4</v>
      </c>
      <c r="I65" s="1522"/>
      <c r="J65" s="1522"/>
      <c r="K65" s="1522"/>
      <c r="L65" s="1522"/>
      <c r="N65" s="1523"/>
      <c r="O65" s="1522"/>
      <c r="P65" s="1522"/>
      <c r="Q65" s="1522"/>
      <c r="S65" s="1523"/>
      <c r="T65" s="1522"/>
      <c r="U65" s="1522"/>
      <c r="V65" s="1522"/>
      <c r="X65" s="1514"/>
      <c r="Y65" s="1514"/>
      <c r="Z65" s="1514"/>
    </row>
    <row r="66" spans="1:26">
      <c r="A66" s="1449" t="s">
        <v>1204</v>
      </c>
      <c r="B66" s="1524">
        <f t="shared" ref="B66:C68" si="100">B67+(B$65-B$69)/4</f>
        <v>109.75</v>
      </c>
      <c r="C66" s="1524">
        <f t="shared" si="100"/>
        <v>112.25</v>
      </c>
      <c r="D66" s="1524">
        <f t="shared" si="64"/>
        <v>112.25</v>
      </c>
      <c r="E66" s="1524">
        <f t="shared" ref="E66:F68" si="101">E67+(E$65-E$69)/4</f>
        <v>107.25</v>
      </c>
      <c r="F66" s="1524">
        <f t="shared" si="101"/>
        <v>103.5</v>
      </c>
      <c r="G66" s="3391">
        <v>2003</v>
      </c>
      <c r="H66" s="1475">
        <v>3</v>
      </c>
      <c r="I66" s="1522"/>
      <c r="J66" s="1522"/>
      <c r="K66" s="1522"/>
      <c r="L66" s="1522"/>
      <c r="X66" s="1514"/>
      <c r="Y66" s="1514"/>
      <c r="Z66" s="1514"/>
    </row>
    <row r="67" spans="1:26">
      <c r="A67" s="1449" t="s">
        <v>1205</v>
      </c>
      <c r="B67" s="1524">
        <f t="shared" si="100"/>
        <v>108.5</v>
      </c>
      <c r="C67" s="1524">
        <f t="shared" si="100"/>
        <v>110.5</v>
      </c>
      <c r="D67" s="1524">
        <f t="shared" si="64"/>
        <v>110.5</v>
      </c>
      <c r="E67" s="1524">
        <f t="shared" si="101"/>
        <v>106.5</v>
      </c>
      <c r="F67" s="1524">
        <f t="shared" si="101"/>
        <v>103</v>
      </c>
      <c r="G67" s="3391">
        <v>2003</v>
      </c>
      <c r="H67" s="1453">
        <v>2</v>
      </c>
      <c r="I67" s="1522"/>
      <c r="J67" s="1522"/>
      <c r="K67" s="1522"/>
      <c r="L67" s="1522"/>
      <c r="X67" s="1514"/>
      <c r="Y67" s="1514"/>
      <c r="Z67" s="1514"/>
    </row>
    <row r="68" spans="1:26" ht="13.5" thickBot="1">
      <c r="A68" s="1449" t="s">
        <v>1206</v>
      </c>
      <c r="B68" s="1524">
        <f t="shared" si="100"/>
        <v>107.25</v>
      </c>
      <c r="C68" s="1524">
        <f t="shared" si="100"/>
        <v>108.75</v>
      </c>
      <c r="D68" s="1524">
        <f t="shared" si="64"/>
        <v>108.75</v>
      </c>
      <c r="E68" s="1524">
        <f t="shared" si="101"/>
        <v>105.75</v>
      </c>
      <c r="F68" s="1524">
        <f t="shared" si="101"/>
        <v>102.5</v>
      </c>
      <c r="G68" s="3392">
        <v>2003</v>
      </c>
      <c r="H68" s="1525">
        <v>1</v>
      </c>
      <c r="I68" s="1522"/>
      <c r="J68" s="1522"/>
      <c r="K68" s="1522"/>
      <c r="L68" s="1522"/>
      <c r="S68" s="1460"/>
      <c r="T68" s="1461"/>
      <c r="U68" s="1461"/>
      <c r="X68" s="1514"/>
      <c r="Y68" s="1514"/>
      <c r="Z68" s="1514"/>
    </row>
    <row r="69" spans="1:26" ht="13.5" thickBot="1">
      <c r="A69" s="1449" t="s">
        <v>1207</v>
      </c>
      <c r="B69" s="1526">
        <v>106</v>
      </c>
      <c r="C69" s="1526">
        <v>107</v>
      </c>
      <c r="D69" s="1526">
        <f t="shared" si="64"/>
        <v>107</v>
      </c>
      <c r="E69" s="1526">
        <v>105</v>
      </c>
      <c r="F69" s="1527">
        <v>102</v>
      </c>
      <c r="G69" s="3390">
        <v>2002</v>
      </c>
      <c r="H69" s="1470">
        <v>4</v>
      </c>
      <c r="I69" s="1522"/>
      <c r="J69" s="1522"/>
      <c r="K69" s="1522"/>
      <c r="L69" s="1522"/>
      <c r="N69" s="1523"/>
      <c r="O69" s="1522"/>
      <c r="P69" s="1522"/>
      <c r="Q69" s="1522"/>
      <c r="S69" s="1523"/>
      <c r="T69" s="1522"/>
      <c r="U69" s="1522"/>
      <c r="V69" s="1522"/>
      <c r="X69" s="1514"/>
      <c r="Y69" s="1514"/>
      <c r="Z69" s="1514"/>
    </row>
    <row r="70" spans="1:26">
      <c r="A70" s="1449" t="s">
        <v>1208</v>
      </c>
      <c r="B70" s="1524">
        <f t="shared" ref="B70:C72" si="102">B71+(B$69-B$73)/4</f>
        <v>105</v>
      </c>
      <c r="C70" s="1524">
        <f t="shared" si="102"/>
        <v>106</v>
      </c>
      <c r="D70" s="1524">
        <f t="shared" si="64"/>
        <v>106</v>
      </c>
      <c r="E70" s="1524">
        <f t="shared" ref="E70:F72" si="103">E71+(E$69-E$73)/4</f>
        <v>104.5</v>
      </c>
      <c r="F70" s="1524">
        <f t="shared" si="103"/>
        <v>101.5</v>
      </c>
      <c r="G70" s="3391">
        <v>2002</v>
      </c>
      <c r="H70" s="1475">
        <v>3</v>
      </c>
      <c r="I70" s="1522"/>
      <c r="J70" s="1522"/>
      <c r="K70" s="1522"/>
      <c r="L70" s="1522"/>
      <c r="X70" s="1514"/>
      <c r="Y70" s="1514"/>
      <c r="Z70" s="1514"/>
    </row>
    <row r="71" spans="1:26">
      <c r="A71" s="1449" t="s">
        <v>1209</v>
      </c>
      <c r="B71" s="1524">
        <f t="shared" si="102"/>
        <v>104</v>
      </c>
      <c r="C71" s="1524">
        <f t="shared" si="102"/>
        <v>105</v>
      </c>
      <c r="D71" s="1524">
        <f t="shared" si="64"/>
        <v>105</v>
      </c>
      <c r="E71" s="1524">
        <f t="shared" si="103"/>
        <v>104</v>
      </c>
      <c r="F71" s="1524">
        <f t="shared" si="103"/>
        <v>101</v>
      </c>
      <c r="G71" s="3391">
        <v>2002</v>
      </c>
      <c r="H71" s="1453">
        <v>2</v>
      </c>
      <c r="I71" s="1522"/>
      <c r="J71" s="1522"/>
      <c r="K71" s="1522"/>
      <c r="L71" s="1522"/>
      <c r="X71" s="1514"/>
      <c r="Y71" s="1514"/>
      <c r="Z71" s="1514"/>
    </row>
    <row r="72" spans="1:26" s="1486" customFormat="1" ht="13.5" thickBot="1">
      <c r="A72" s="1482" t="s">
        <v>1210</v>
      </c>
      <c r="B72" s="1528">
        <f t="shared" si="102"/>
        <v>103</v>
      </c>
      <c r="C72" s="1528">
        <f t="shared" si="102"/>
        <v>104</v>
      </c>
      <c r="D72" s="1528">
        <f t="shared" si="64"/>
        <v>104</v>
      </c>
      <c r="E72" s="1528">
        <f t="shared" si="103"/>
        <v>103.5</v>
      </c>
      <c r="F72" s="1528">
        <f t="shared" si="103"/>
        <v>100.5</v>
      </c>
      <c r="G72" s="3392">
        <v>2002</v>
      </c>
      <c r="H72" s="1529">
        <v>1</v>
      </c>
      <c r="I72" s="1530"/>
      <c r="J72" s="1530"/>
      <c r="K72" s="1530"/>
      <c r="L72" s="1530"/>
      <c r="N72" s="1531"/>
      <c r="S72" s="1531"/>
      <c r="X72" s="1532"/>
      <c r="Y72" s="1532"/>
      <c r="Z72" s="1532"/>
    </row>
    <row r="73" spans="1:26" ht="13.5" thickBot="1">
      <c r="B73" s="1533">
        <v>102</v>
      </c>
      <c r="C73" s="1534">
        <v>103</v>
      </c>
      <c r="D73" s="1534">
        <f t="shared" si="64"/>
        <v>103</v>
      </c>
      <c r="E73" s="1534">
        <v>103</v>
      </c>
      <c r="F73" s="1535">
        <v>100</v>
      </c>
      <c r="I73" s="1522"/>
      <c r="J73" s="1522"/>
      <c r="K73" s="1522"/>
      <c r="L73" s="1522"/>
      <c r="N73" s="1523"/>
      <c r="O73" s="1522"/>
      <c r="P73" s="1522"/>
      <c r="Q73" s="1522"/>
      <c r="S73" s="1523"/>
      <c r="T73" s="1522"/>
      <c r="U73" s="1522"/>
      <c r="V73" s="1522"/>
      <c r="X73" s="1464"/>
      <c r="Y73" s="1464"/>
      <c r="Z73" s="1464"/>
    </row>
    <row r="75" spans="1:26" s="1537" customFormat="1">
      <c r="A75" s="1536" t="s">
        <v>1211</v>
      </c>
      <c r="G75" s="1538"/>
      <c r="N75" s="1538"/>
      <c r="S75" s="1538"/>
    </row>
    <row r="76" spans="1:26" s="1537" customFormat="1">
      <c r="A76" s="1537" t="s">
        <v>1212</v>
      </c>
      <c r="G76" s="1538"/>
      <c r="N76" s="1538"/>
      <c r="S76" s="1538"/>
    </row>
    <row r="77" spans="1:26" s="1537" customFormat="1">
      <c r="A77" s="1537" t="s">
        <v>1213</v>
      </c>
      <c r="G77" s="1538"/>
      <c r="I77" s="1539"/>
      <c r="J77" s="1539"/>
      <c r="K77" s="1539"/>
      <c r="L77" s="1539"/>
      <c r="N77" s="1540"/>
      <c r="O77" s="1539"/>
      <c r="P77" s="1539"/>
      <c r="Q77" s="1539"/>
      <c r="S77" s="1540"/>
      <c r="T77" s="1539"/>
      <c r="U77" s="1539"/>
      <c r="V77" s="1539"/>
    </row>
    <row r="78" spans="1:26" s="1537" customFormat="1">
      <c r="A78" s="1537" t="s">
        <v>1214</v>
      </c>
      <c r="G78" s="1538"/>
      <c r="N78" s="1538"/>
      <c r="S78" s="1538"/>
    </row>
    <row r="85" spans="7:22" ht="13.5" thickBot="1"/>
    <row r="86" spans="7:22">
      <c r="G86" s="1459"/>
      <c r="S86" s="1541" t="s">
        <v>1215</v>
      </c>
      <c r="T86" s="1542" t="s">
        <v>1216</v>
      </c>
      <c r="U86" s="1542" t="s">
        <v>1217</v>
      </c>
      <c r="V86" s="1542" t="s">
        <v>1218</v>
      </c>
    </row>
    <row r="87" spans="7:22">
      <c r="G87" s="1459"/>
      <c r="N87" s="1463"/>
      <c r="O87" s="1464"/>
      <c r="P87" s="1464"/>
      <c r="Q87" s="1464"/>
      <c r="S87" s="1543">
        <v>2006</v>
      </c>
      <c r="T87" s="1544">
        <v>15.1</v>
      </c>
      <c r="U87" s="1544">
        <v>7.43</v>
      </c>
      <c r="V87" s="1544">
        <v>26.26</v>
      </c>
    </row>
    <row r="88" spans="7:22">
      <c r="G88" s="1459"/>
      <c r="N88" s="1463"/>
      <c r="O88" s="1464"/>
      <c r="P88" s="1464"/>
      <c r="Q88" s="1464"/>
      <c r="S88" s="1545">
        <v>2005</v>
      </c>
      <c r="T88" s="1546">
        <v>13.9</v>
      </c>
      <c r="U88" s="1546">
        <v>7.49</v>
      </c>
      <c r="V88" s="1546">
        <v>24.92</v>
      </c>
    </row>
    <row r="89" spans="7:22">
      <c r="G89" s="1459"/>
      <c r="N89" s="1463"/>
      <c r="O89" s="1464"/>
      <c r="P89" s="1464"/>
      <c r="Q89" s="1464"/>
      <c r="S89" s="1543">
        <v>2004</v>
      </c>
      <c r="T89" s="1544">
        <v>9.48</v>
      </c>
      <c r="U89" s="1544">
        <v>7.2</v>
      </c>
      <c r="V89" s="1544">
        <v>14.68</v>
      </c>
    </row>
    <row r="90" spans="7:22">
      <c r="G90" s="1459"/>
      <c r="N90" s="1463"/>
      <c r="O90" s="1464"/>
      <c r="P90" s="1464"/>
      <c r="Q90" s="1464"/>
      <c r="S90" s="1545">
        <v>2003</v>
      </c>
      <c r="T90" s="1546">
        <v>4.5</v>
      </c>
      <c r="U90" s="1546">
        <v>6.12</v>
      </c>
      <c r="V90" s="1546">
        <v>2.34</v>
      </c>
    </row>
    <row r="91" spans="7:22" ht="13.5" thickBot="1">
      <c r="G91" s="1459"/>
      <c r="N91" s="1463"/>
      <c r="O91" s="1464"/>
      <c r="P91" s="1464"/>
      <c r="Q91" s="1464"/>
      <c r="S91" s="1547">
        <v>2002</v>
      </c>
      <c r="T91" s="1548">
        <v>3.59</v>
      </c>
      <c r="U91" s="1548">
        <v>4.54</v>
      </c>
      <c r="V91" s="1548">
        <v>2.5499999999999998</v>
      </c>
    </row>
    <row r="92" spans="7:22">
      <c r="G92" s="1459"/>
      <c r="N92" s="1463"/>
      <c r="O92" s="1464"/>
      <c r="P92" s="1464"/>
      <c r="Q92" s="1464"/>
    </row>
    <row r="93" spans="7:22">
      <c r="G93" s="1459"/>
      <c r="N93" s="1463"/>
      <c r="O93" s="1464"/>
      <c r="P93" s="1464"/>
      <c r="Q93" s="1464"/>
    </row>
    <row r="94" spans="7:22">
      <c r="G94" s="1459"/>
      <c r="N94" s="1463"/>
      <c r="O94" s="1464"/>
      <c r="P94" s="1464"/>
      <c r="Q94" s="1464"/>
    </row>
    <row r="95" spans="7:22">
      <c r="G95" s="1459"/>
      <c r="N95" s="1463"/>
      <c r="O95" s="1464"/>
      <c r="P95" s="1464"/>
      <c r="Q95" s="1464"/>
    </row>
    <row r="96" spans="7:22">
      <c r="G96" s="1459"/>
      <c r="N96" s="1463"/>
      <c r="O96" s="1464"/>
      <c r="P96" s="1464"/>
      <c r="Q96" s="1464"/>
    </row>
    <row r="97" spans="7:19">
      <c r="G97" s="1459"/>
      <c r="N97" s="1463"/>
      <c r="O97" s="1464"/>
      <c r="P97" s="1464"/>
      <c r="Q97" s="1464"/>
    </row>
    <row r="98" spans="7:19">
      <c r="G98" s="1459"/>
      <c r="N98" s="1463"/>
      <c r="O98" s="1464"/>
      <c r="P98" s="1464"/>
      <c r="Q98" s="1464"/>
    </row>
    <row r="99" spans="7:19">
      <c r="G99" s="1459"/>
      <c r="N99" s="1463"/>
      <c r="O99" s="1464"/>
      <c r="P99" s="1464"/>
      <c r="Q99" s="1464"/>
    </row>
    <row r="100" spans="7:19">
      <c r="G100" s="1459"/>
      <c r="N100" s="1463"/>
      <c r="O100" s="1464"/>
      <c r="P100" s="1464"/>
      <c r="Q100" s="1464"/>
    </row>
    <row r="101" spans="7:19">
      <c r="G101" s="1459"/>
      <c r="N101" s="1463"/>
      <c r="O101" s="1464"/>
      <c r="P101" s="1464"/>
      <c r="Q101" s="1464"/>
    </row>
    <row r="102" spans="7:19">
      <c r="G102" s="1459"/>
      <c r="N102" s="1463"/>
      <c r="O102" s="1464"/>
      <c r="P102" s="1464"/>
      <c r="Q102" s="1464"/>
      <c r="S102" s="1459"/>
    </row>
    <row r="103" spans="7:19">
      <c r="G103" s="1459"/>
      <c r="N103" s="1463"/>
      <c r="O103" s="1464"/>
      <c r="P103" s="1464"/>
      <c r="Q103" s="1464"/>
      <c r="S103" s="1459"/>
    </row>
    <row r="104" spans="7:19">
      <c r="G104" s="1459"/>
      <c r="N104" s="1463"/>
      <c r="O104" s="1464"/>
      <c r="P104" s="1464"/>
      <c r="Q104" s="1464"/>
      <c r="S104" s="1459"/>
    </row>
    <row r="105" spans="7:19">
      <c r="G105" s="1459"/>
      <c r="N105" s="1463"/>
      <c r="O105" s="1464"/>
      <c r="P105" s="1464"/>
      <c r="Q105" s="1464"/>
      <c r="S105" s="1459"/>
    </row>
    <row r="106" spans="7:19">
      <c r="G106" s="1459"/>
      <c r="N106" s="1463"/>
      <c r="O106" s="1464"/>
      <c r="P106" s="1464"/>
      <c r="Q106" s="1464"/>
      <c r="S106" s="1459"/>
    </row>
    <row r="107" spans="7:19">
      <c r="G107" s="1459"/>
      <c r="N107" s="1463"/>
      <c r="O107" s="1464"/>
      <c r="P107" s="1464"/>
      <c r="Q107" s="1464"/>
      <c r="S107" s="1459"/>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0"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3"/>
    <col min="19" max="19" width="9" style="130"/>
    <col min="20" max="45" width="9" style="786"/>
    <col min="46" max="16384" width="9" style="130"/>
  </cols>
  <sheetData>
    <row r="1" spans="1:45" ht="14.25" customHeight="1" thickBot="1">
      <c r="A1" s="146"/>
      <c r="B1" s="1192" t="s">
        <v>2995</v>
      </c>
      <c r="C1" s="3399" t="s">
        <v>2996</v>
      </c>
      <c r="D1" s="3400"/>
      <c r="E1" s="3400"/>
      <c r="F1" s="3400"/>
      <c r="G1" s="3400"/>
      <c r="H1" s="3400"/>
      <c r="I1" s="3400"/>
      <c r="J1" s="3400"/>
      <c r="K1" s="3400"/>
      <c r="L1" s="3400"/>
      <c r="M1" s="3400"/>
      <c r="N1" s="3400"/>
      <c r="O1" s="3400"/>
      <c r="P1" s="3400"/>
      <c r="Q1" s="3400"/>
      <c r="R1" s="3400"/>
      <c r="S1" s="3401"/>
      <c r="T1" s="1192" t="s">
        <v>2997</v>
      </c>
    </row>
    <row r="2" spans="1:45" s="698" customFormat="1">
      <c r="A2" s="1193"/>
      <c r="B2" s="694" t="s">
        <v>2998</v>
      </c>
      <c r="C2" s="695" t="str">
        <f t="shared" ref="C2:L2" si="0">C3&amp;"(含)"&amp;"-"&amp;D3</f>
        <v>(含)-</v>
      </c>
      <c r="D2" s="696" t="str">
        <f t="shared" si="0"/>
        <v>(含)-</v>
      </c>
      <c r="E2" s="696" t="str">
        <f t="shared" si="0"/>
        <v>(含)-</v>
      </c>
      <c r="F2" s="696" t="str">
        <f t="shared" si="0"/>
        <v>(含)-</v>
      </c>
      <c r="G2" s="696" t="str">
        <f t="shared" si="0"/>
        <v>(含)-</v>
      </c>
      <c r="H2" s="696" t="str">
        <f t="shared" si="0"/>
        <v>(含)-</v>
      </c>
      <c r="I2" s="696" t="str">
        <f t="shared" si="0"/>
        <v>(含)-</v>
      </c>
      <c r="J2" s="696" t="str">
        <f t="shared" si="0"/>
        <v>(含)-</v>
      </c>
      <c r="K2" s="696" t="str">
        <f t="shared" si="0"/>
        <v>(含)-</v>
      </c>
      <c r="L2" s="696" t="str">
        <f t="shared" si="0"/>
        <v>(含)-</v>
      </c>
      <c r="M2" s="696" t="str">
        <f t="shared" ref="M2" si="1">M3&amp;"(含)"&amp;"-"&amp;N3</f>
        <v>(含)-</v>
      </c>
      <c r="N2" s="696" t="str">
        <f t="shared" ref="N2" si="2">N3&amp;"(含)"&amp;"-"&amp;O3</f>
        <v>(含)-</v>
      </c>
      <c r="O2" s="696" t="str">
        <f t="shared" ref="O2" si="3">O3&amp;"(含)"&amp;"-"&amp;P3</f>
        <v>(含)-</v>
      </c>
      <c r="P2" s="696" t="str">
        <f t="shared" ref="P2" si="4">P3&amp;"(含)"&amp;"-"&amp;Q3</f>
        <v>(含)-</v>
      </c>
      <c r="Q2" s="696" t="str">
        <f t="shared" ref="Q2" si="5">Q3&amp;"(含)"&amp;"-"&amp;R3</f>
        <v>(含)-</v>
      </c>
      <c r="R2" s="696" t="str">
        <f t="shared" ref="R2" si="6">R3&amp;"(含)"&amp;"-"&amp;S3</f>
        <v>(含)-</v>
      </c>
      <c r="S2" s="1194" t="str">
        <f>S3&amp;"(含)"&amp;"-"</f>
        <v>(含)-</v>
      </c>
      <c r="T2" s="697"/>
      <c r="U2" s="787"/>
      <c r="V2" s="787"/>
      <c r="W2" s="787"/>
      <c r="X2" s="787"/>
      <c r="Y2" s="787"/>
      <c r="Z2" s="787"/>
      <c r="AA2" s="787"/>
      <c r="AB2" s="787"/>
      <c r="AC2" s="787"/>
      <c r="AD2" s="787"/>
      <c r="AE2" s="787"/>
      <c r="AF2" s="787"/>
      <c r="AG2" s="787"/>
      <c r="AH2" s="787"/>
      <c r="AI2" s="787"/>
      <c r="AJ2" s="787"/>
      <c r="AK2" s="787"/>
      <c r="AL2" s="787"/>
      <c r="AM2" s="787"/>
      <c r="AN2" s="787"/>
      <c r="AO2" s="787"/>
      <c r="AP2" s="787"/>
      <c r="AQ2" s="787"/>
      <c r="AR2" s="787"/>
      <c r="AS2" s="787"/>
    </row>
    <row r="3" spans="1:45" s="703" customFormat="1">
      <c r="A3" s="1195"/>
      <c r="B3" s="699"/>
      <c r="C3" s="700"/>
      <c r="D3" s="701"/>
      <c r="E3" s="701"/>
      <c r="F3" s="1691"/>
      <c r="G3" s="1691"/>
      <c r="H3" s="1691"/>
      <c r="I3" s="1691"/>
      <c r="J3" s="1691"/>
      <c r="K3" s="1691"/>
      <c r="L3" s="1692"/>
      <c r="M3" s="1693"/>
      <c r="N3" s="1693"/>
      <c r="O3" s="1691"/>
      <c r="P3" s="1691"/>
      <c r="Q3" s="1691"/>
      <c r="R3" s="1691"/>
      <c r="S3" s="1694"/>
      <c r="T3" s="702"/>
      <c r="U3" s="788"/>
      <c r="V3" s="788"/>
      <c r="W3" s="788"/>
      <c r="X3" s="788"/>
      <c r="Y3" s="788"/>
      <c r="Z3" s="788"/>
      <c r="AA3" s="788"/>
      <c r="AB3" s="788"/>
      <c r="AC3" s="788"/>
      <c r="AD3" s="788"/>
      <c r="AE3" s="788"/>
      <c r="AF3" s="788"/>
      <c r="AG3" s="788"/>
      <c r="AH3" s="788"/>
      <c r="AI3" s="788"/>
      <c r="AJ3" s="788"/>
      <c r="AK3" s="788"/>
      <c r="AL3" s="788"/>
      <c r="AM3" s="788"/>
      <c r="AN3" s="788"/>
      <c r="AO3" s="788"/>
      <c r="AP3" s="788"/>
      <c r="AQ3" s="788"/>
      <c r="AR3" s="788"/>
      <c r="AS3" s="788"/>
    </row>
    <row r="4" spans="1:45" s="703" customFormat="1" ht="13.5" thickBot="1">
      <c r="A4" s="1196"/>
      <c r="B4" s="1197"/>
      <c r="C4" s="1198"/>
      <c r="D4" s="1199"/>
      <c r="E4" s="1199"/>
      <c r="F4" s="1695"/>
      <c r="G4" s="1695"/>
      <c r="H4" s="1695"/>
      <c r="I4" s="1695"/>
      <c r="J4" s="1695"/>
      <c r="K4" s="1695"/>
      <c r="L4" s="1695"/>
      <c r="M4" s="1696"/>
      <c r="N4" s="1696"/>
      <c r="O4" s="1695"/>
      <c r="P4" s="1695"/>
      <c r="Q4" s="1695"/>
      <c r="R4" s="1695"/>
      <c r="S4" s="1697"/>
      <c r="T4" s="1202"/>
      <c r="U4" s="788"/>
      <c r="V4" s="788"/>
      <c r="W4" s="788"/>
      <c r="X4" s="788"/>
      <c r="Y4" s="788"/>
      <c r="Z4" s="788"/>
      <c r="AA4" s="788"/>
      <c r="AB4" s="788"/>
      <c r="AC4" s="788"/>
      <c r="AD4" s="788"/>
      <c r="AE4" s="788"/>
      <c r="AF4" s="788"/>
      <c r="AG4" s="788"/>
      <c r="AH4" s="788"/>
      <c r="AI4" s="788"/>
      <c r="AJ4" s="788"/>
      <c r="AK4" s="788"/>
      <c r="AL4" s="788"/>
      <c r="AM4" s="788"/>
      <c r="AN4" s="788"/>
      <c r="AO4" s="788"/>
      <c r="AP4" s="788"/>
      <c r="AQ4" s="788"/>
      <c r="AR4" s="788"/>
      <c r="AS4" s="788"/>
    </row>
    <row r="5" spans="1:45" s="111" customFormat="1">
      <c r="A5" s="1203"/>
      <c r="B5" s="1756" t="s">
        <v>2999</v>
      </c>
      <c r="C5" s="1204"/>
      <c r="D5" s="1205"/>
      <c r="E5" s="1205"/>
      <c r="F5" s="1698"/>
      <c r="G5" s="1698"/>
      <c r="H5" s="1698"/>
      <c r="I5" s="1698"/>
      <c r="J5" s="1698"/>
      <c r="K5" s="1698"/>
      <c r="L5" s="1699"/>
      <c r="M5" s="1700"/>
      <c r="N5" s="1700"/>
      <c r="O5" s="1698"/>
      <c r="P5" s="1698"/>
      <c r="Q5" s="1698"/>
      <c r="R5" s="1698"/>
      <c r="S5" s="1701"/>
      <c r="T5" s="1207"/>
      <c r="U5" s="789"/>
      <c r="V5" s="789"/>
      <c r="W5" s="789"/>
      <c r="X5" s="789"/>
      <c r="Y5" s="789"/>
      <c r="Z5" s="789"/>
      <c r="AA5" s="789"/>
      <c r="AB5" s="789"/>
      <c r="AC5" s="789"/>
      <c r="AD5" s="789"/>
      <c r="AE5" s="789"/>
      <c r="AF5" s="789"/>
      <c r="AG5" s="789"/>
      <c r="AH5" s="789"/>
      <c r="AI5" s="789"/>
      <c r="AJ5" s="789"/>
      <c r="AK5" s="789"/>
      <c r="AL5" s="789"/>
      <c r="AM5" s="789"/>
      <c r="AN5" s="789"/>
      <c r="AO5" s="789"/>
      <c r="AP5" s="789"/>
      <c r="AQ5" s="789"/>
      <c r="AR5" s="789"/>
      <c r="AS5" s="789"/>
    </row>
    <row r="6" spans="1:45" s="111" customFormat="1" ht="13.5" thickBot="1">
      <c r="A6" s="1203"/>
      <c r="B6" s="1104"/>
      <c r="C6" s="1110">
        <v>100</v>
      </c>
      <c r="D6" s="1107">
        <f>C6-$T5</f>
        <v>100</v>
      </c>
      <c r="E6" s="1107">
        <f t="shared" ref="E6:S6" si="7">D6-$T5</f>
        <v>100</v>
      </c>
      <c r="F6" s="1702">
        <f t="shared" si="7"/>
        <v>100</v>
      </c>
      <c r="G6" s="1702">
        <f t="shared" si="7"/>
        <v>100</v>
      </c>
      <c r="H6" s="1702">
        <f t="shared" si="7"/>
        <v>100</v>
      </c>
      <c r="I6" s="1702">
        <f t="shared" si="7"/>
        <v>100</v>
      </c>
      <c r="J6" s="1702">
        <f t="shared" si="7"/>
        <v>100</v>
      </c>
      <c r="K6" s="1702">
        <f t="shared" si="7"/>
        <v>100</v>
      </c>
      <c r="L6" s="1702">
        <f t="shared" si="7"/>
        <v>100</v>
      </c>
      <c r="M6" s="1702">
        <f t="shared" si="7"/>
        <v>100</v>
      </c>
      <c r="N6" s="1702">
        <f t="shared" si="7"/>
        <v>100</v>
      </c>
      <c r="O6" s="1702">
        <f t="shared" si="7"/>
        <v>100</v>
      </c>
      <c r="P6" s="1702">
        <f t="shared" si="7"/>
        <v>100</v>
      </c>
      <c r="Q6" s="1702">
        <f t="shared" si="7"/>
        <v>100</v>
      </c>
      <c r="R6" s="1702">
        <f t="shared" si="7"/>
        <v>100</v>
      </c>
      <c r="S6" s="1702">
        <f t="shared" si="7"/>
        <v>100</v>
      </c>
      <c r="T6" s="1106"/>
      <c r="U6" s="789"/>
      <c r="V6" s="789"/>
      <c r="W6" s="789"/>
      <c r="X6" s="789"/>
      <c r="Y6" s="789"/>
      <c r="Z6" s="789"/>
      <c r="AA6" s="789"/>
      <c r="AB6" s="789"/>
      <c r="AC6" s="789"/>
      <c r="AD6" s="789"/>
      <c r="AE6" s="789"/>
      <c r="AF6" s="789"/>
      <c r="AG6" s="789"/>
      <c r="AH6" s="789"/>
      <c r="AI6" s="789"/>
      <c r="AJ6" s="789"/>
      <c r="AK6" s="789"/>
      <c r="AL6" s="789"/>
      <c r="AM6" s="789"/>
      <c r="AN6" s="789"/>
      <c r="AO6" s="789"/>
      <c r="AP6" s="789"/>
      <c r="AQ6" s="789"/>
      <c r="AR6" s="789"/>
      <c r="AS6" s="789"/>
    </row>
    <row r="7" spans="1:45" s="111" customFormat="1">
      <c r="A7" s="1203"/>
      <c r="B7" s="1757" t="s">
        <v>3000</v>
      </c>
      <c r="C7" s="1109"/>
      <c r="D7" s="1103"/>
      <c r="E7" s="1103"/>
      <c r="F7" s="1703"/>
      <c r="G7" s="1703"/>
      <c r="H7" s="1703"/>
      <c r="I7" s="1703"/>
      <c r="J7" s="1703"/>
      <c r="K7" s="1703"/>
      <c r="L7" s="1703"/>
      <c r="M7" s="1704"/>
      <c r="N7" s="1705"/>
      <c r="O7" s="1706"/>
      <c r="P7" s="1707"/>
      <c r="Q7" s="1708"/>
      <c r="R7" s="1709"/>
      <c r="S7" s="1710"/>
      <c r="T7" s="704"/>
      <c r="U7" s="789"/>
      <c r="V7" s="789"/>
      <c r="W7" s="789"/>
      <c r="X7" s="789"/>
      <c r="Y7" s="789"/>
      <c r="Z7" s="789"/>
      <c r="AA7" s="789"/>
      <c r="AB7" s="789"/>
      <c r="AC7" s="789"/>
      <c r="AD7" s="789"/>
      <c r="AE7" s="789"/>
      <c r="AF7" s="789"/>
      <c r="AG7" s="789"/>
      <c r="AH7" s="789"/>
      <c r="AI7" s="789"/>
      <c r="AJ7" s="789"/>
      <c r="AK7" s="789"/>
      <c r="AL7" s="789"/>
      <c r="AM7" s="789"/>
      <c r="AN7" s="789"/>
      <c r="AO7" s="789"/>
      <c r="AP7" s="789"/>
      <c r="AQ7" s="789"/>
      <c r="AR7" s="789"/>
      <c r="AS7" s="789"/>
    </row>
    <row r="8" spans="1:45" s="111" customFormat="1" ht="13.5" thickBot="1">
      <c r="A8" s="1203"/>
      <c r="B8" s="1104"/>
      <c r="C8" s="1110">
        <v>100</v>
      </c>
      <c r="D8" s="1107">
        <f>C8-$T7</f>
        <v>100</v>
      </c>
      <c r="E8" s="1107">
        <f t="shared" ref="E8:S8" si="8">D8-$T7</f>
        <v>100</v>
      </c>
      <c r="F8" s="1702">
        <f t="shared" si="8"/>
        <v>100</v>
      </c>
      <c r="G8" s="1702">
        <f t="shared" si="8"/>
        <v>100</v>
      </c>
      <c r="H8" s="1702">
        <f t="shared" si="8"/>
        <v>100</v>
      </c>
      <c r="I8" s="1702">
        <f t="shared" si="8"/>
        <v>100</v>
      </c>
      <c r="J8" s="1702">
        <f t="shared" si="8"/>
        <v>100</v>
      </c>
      <c r="K8" s="1702">
        <f t="shared" si="8"/>
        <v>100</v>
      </c>
      <c r="L8" s="1702">
        <f t="shared" si="8"/>
        <v>100</v>
      </c>
      <c r="M8" s="1702">
        <f t="shared" si="8"/>
        <v>100</v>
      </c>
      <c r="N8" s="1702">
        <f t="shared" si="8"/>
        <v>100</v>
      </c>
      <c r="O8" s="1702">
        <f t="shared" si="8"/>
        <v>100</v>
      </c>
      <c r="P8" s="1702">
        <f t="shared" si="8"/>
        <v>100</v>
      </c>
      <c r="Q8" s="1702">
        <f t="shared" si="8"/>
        <v>100</v>
      </c>
      <c r="R8" s="1702">
        <f t="shared" si="8"/>
        <v>100</v>
      </c>
      <c r="S8" s="1702">
        <f t="shared" si="8"/>
        <v>100</v>
      </c>
      <c r="T8" s="1106"/>
      <c r="U8" s="789"/>
      <c r="V8" s="789"/>
      <c r="W8" s="789"/>
      <c r="X8" s="789"/>
      <c r="Y8" s="789"/>
      <c r="Z8" s="789"/>
      <c r="AA8" s="789"/>
      <c r="AB8" s="789"/>
      <c r="AC8" s="789"/>
      <c r="AD8" s="789"/>
      <c r="AE8" s="789"/>
      <c r="AF8" s="789"/>
      <c r="AG8" s="789"/>
      <c r="AH8" s="789"/>
      <c r="AI8" s="789"/>
      <c r="AJ8" s="789"/>
      <c r="AK8" s="789"/>
      <c r="AL8" s="789"/>
      <c r="AM8" s="789"/>
      <c r="AN8" s="789"/>
      <c r="AO8" s="789"/>
      <c r="AP8" s="789"/>
      <c r="AQ8" s="789"/>
      <c r="AR8" s="789"/>
      <c r="AS8" s="789"/>
    </row>
    <row r="9" spans="1:45" s="111" customFormat="1">
      <c r="A9" s="1203"/>
      <c r="B9" s="1757" t="s">
        <v>3001</v>
      </c>
      <c r="C9" s="1109"/>
      <c r="D9" s="1103"/>
      <c r="E9" s="1103"/>
      <c r="F9" s="1703"/>
      <c r="G9" s="1703"/>
      <c r="H9" s="1703"/>
      <c r="I9" s="1703"/>
      <c r="J9" s="1703"/>
      <c r="K9" s="1703"/>
      <c r="L9" s="1711"/>
      <c r="M9" s="1704"/>
      <c r="N9" s="1705"/>
      <c r="O9" s="1706"/>
      <c r="P9" s="1707"/>
      <c r="Q9" s="1708"/>
      <c r="R9" s="1709"/>
      <c r="S9" s="1710"/>
      <c r="T9" s="704"/>
      <c r="U9" s="789"/>
      <c r="V9" s="789"/>
      <c r="W9" s="789"/>
      <c r="X9" s="789"/>
      <c r="Y9" s="789"/>
      <c r="Z9" s="789"/>
      <c r="AA9" s="789"/>
      <c r="AB9" s="789"/>
      <c r="AC9" s="789"/>
      <c r="AD9" s="789"/>
      <c r="AE9" s="789"/>
      <c r="AF9" s="789"/>
      <c r="AG9" s="789"/>
      <c r="AH9" s="789"/>
      <c r="AI9" s="789"/>
      <c r="AJ9" s="789"/>
      <c r="AK9" s="789"/>
      <c r="AL9" s="789"/>
      <c r="AM9" s="789"/>
      <c r="AN9" s="789"/>
      <c r="AO9" s="789"/>
      <c r="AP9" s="789"/>
      <c r="AQ9" s="789"/>
      <c r="AR9" s="789"/>
      <c r="AS9" s="789"/>
    </row>
    <row r="10" spans="1:45" s="111" customFormat="1" ht="13.5" thickBot="1">
      <c r="A10" s="1203"/>
      <c r="B10" s="1197"/>
      <c r="C10" s="1208">
        <v>100</v>
      </c>
      <c r="D10" s="1209">
        <f>C10-$T9</f>
        <v>100</v>
      </c>
      <c r="E10" s="1209">
        <f t="shared" ref="E10:S10" si="9">D10-$T9</f>
        <v>100</v>
      </c>
      <c r="F10" s="1712">
        <f t="shared" si="9"/>
        <v>100</v>
      </c>
      <c r="G10" s="1712">
        <f t="shared" si="9"/>
        <v>100</v>
      </c>
      <c r="H10" s="1712">
        <f t="shared" si="9"/>
        <v>100</v>
      </c>
      <c r="I10" s="1712">
        <f t="shared" si="9"/>
        <v>100</v>
      </c>
      <c r="J10" s="1712">
        <f t="shared" si="9"/>
        <v>100</v>
      </c>
      <c r="K10" s="1712">
        <f t="shared" si="9"/>
        <v>100</v>
      </c>
      <c r="L10" s="1712">
        <f t="shared" si="9"/>
        <v>100</v>
      </c>
      <c r="M10" s="1712">
        <f t="shared" si="9"/>
        <v>100</v>
      </c>
      <c r="N10" s="1712">
        <f t="shared" si="9"/>
        <v>100</v>
      </c>
      <c r="O10" s="1712">
        <f t="shared" si="9"/>
        <v>100</v>
      </c>
      <c r="P10" s="1712">
        <f t="shared" si="9"/>
        <v>100</v>
      </c>
      <c r="Q10" s="1712">
        <f t="shared" si="9"/>
        <v>100</v>
      </c>
      <c r="R10" s="1712">
        <f t="shared" si="9"/>
        <v>100</v>
      </c>
      <c r="S10" s="1712">
        <f t="shared" si="9"/>
        <v>100</v>
      </c>
      <c r="T10" s="1202"/>
      <c r="U10" s="789"/>
      <c r="V10" s="789"/>
      <c r="W10" s="789"/>
      <c r="X10" s="789"/>
      <c r="Y10" s="789"/>
      <c r="Z10" s="789"/>
      <c r="AA10" s="789"/>
      <c r="AB10" s="789"/>
      <c r="AC10" s="789"/>
      <c r="AD10" s="789"/>
      <c r="AE10" s="789"/>
      <c r="AF10" s="789"/>
      <c r="AG10" s="789"/>
      <c r="AH10" s="789"/>
      <c r="AI10" s="789"/>
      <c r="AJ10" s="789"/>
      <c r="AK10" s="789"/>
      <c r="AL10" s="789"/>
      <c r="AM10" s="789"/>
      <c r="AN10" s="789"/>
      <c r="AO10" s="789"/>
      <c r="AP10" s="789"/>
      <c r="AQ10" s="789"/>
      <c r="AR10" s="789"/>
      <c r="AS10" s="789"/>
    </row>
    <row r="11" spans="1:45" s="111" customFormat="1">
      <c r="A11" s="1203"/>
      <c r="B11" s="1756" t="s">
        <v>3002</v>
      </c>
      <c r="C11" s="1204"/>
      <c r="D11" s="1205"/>
      <c r="E11" s="1205"/>
      <c r="F11" s="1205"/>
      <c r="G11" s="1205"/>
      <c r="H11" s="1205"/>
      <c r="I11" s="1205"/>
      <c r="J11" s="1205"/>
      <c r="K11" s="1205"/>
      <c r="L11" s="1205"/>
      <c r="M11" s="1206"/>
      <c r="N11" s="1210"/>
      <c r="O11" s="1211"/>
      <c r="P11" s="1212"/>
      <c r="Q11" s="1213"/>
      <c r="R11" s="1214"/>
      <c r="S11" s="1215"/>
      <c r="T11" s="1207"/>
      <c r="U11" s="789"/>
      <c r="V11" s="789"/>
      <c r="W11" s="789"/>
      <c r="X11" s="789"/>
      <c r="Y11" s="789"/>
      <c r="Z11" s="789"/>
      <c r="AA11" s="789"/>
      <c r="AB11" s="789"/>
      <c r="AC11" s="789"/>
      <c r="AD11" s="789"/>
      <c r="AE11" s="789"/>
      <c r="AF11" s="789"/>
      <c r="AG11" s="789"/>
      <c r="AH11" s="789"/>
      <c r="AI11" s="789"/>
      <c r="AJ11" s="789"/>
      <c r="AK11" s="789"/>
      <c r="AL11" s="789"/>
      <c r="AM11" s="789"/>
      <c r="AN11" s="789"/>
      <c r="AO11" s="789"/>
      <c r="AP11" s="789"/>
      <c r="AQ11" s="789"/>
      <c r="AR11" s="789"/>
      <c r="AS11" s="789"/>
    </row>
    <row r="12" spans="1:45" s="111" customFormat="1" ht="13.5" thickBot="1">
      <c r="A12" s="1203"/>
      <c r="B12" s="1104"/>
      <c r="C12" s="1110">
        <v>100</v>
      </c>
      <c r="D12" s="1107">
        <f>C12-$T11</f>
        <v>100</v>
      </c>
      <c r="E12" s="1107">
        <f t="shared" ref="E12:S12" si="10">D12-$T11</f>
        <v>100</v>
      </c>
      <c r="F12" s="1107">
        <f t="shared" si="10"/>
        <v>100</v>
      </c>
      <c r="G12" s="1107">
        <f t="shared" si="10"/>
        <v>100</v>
      </c>
      <c r="H12" s="1107">
        <f t="shared" si="10"/>
        <v>100</v>
      </c>
      <c r="I12" s="1107">
        <f t="shared" si="10"/>
        <v>100</v>
      </c>
      <c r="J12" s="1107">
        <f t="shared" si="10"/>
        <v>100</v>
      </c>
      <c r="K12" s="1107">
        <f t="shared" si="10"/>
        <v>100</v>
      </c>
      <c r="L12" s="1107">
        <f t="shared" si="10"/>
        <v>100</v>
      </c>
      <c r="M12" s="1107">
        <f t="shared" si="10"/>
        <v>100</v>
      </c>
      <c r="N12" s="1107">
        <f t="shared" si="10"/>
        <v>100</v>
      </c>
      <c r="O12" s="1107">
        <f t="shared" si="10"/>
        <v>100</v>
      </c>
      <c r="P12" s="1107">
        <f t="shared" si="10"/>
        <v>100</v>
      </c>
      <c r="Q12" s="1107">
        <f t="shared" si="10"/>
        <v>100</v>
      </c>
      <c r="R12" s="1107">
        <f>Q12-$T11</f>
        <v>100</v>
      </c>
      <c r="S12" s="1107">
        <f t="shared" si="10"/>
        <v>100</v>
      </c>
      <c r="T12" s="1106"/>
      <c r="U12" s="789"/>
      <c r="V12" s="789"/>
      <c r="W12" s="789"/>
      <c r="X12" s="789"/>
      <c r="Y12" s="789"/>
      <c r="Z12" s="789"/>
      <c r="AA12" s="789"/>
      <c r="AB12" s="789"/>
      <c r="AC12" s="789"/>
      <c r="AD12" s="789"/>
      <c r="AE12" s="789"/>
      <c r="AF12" s="789"/>
      <c r="AG12" s="789"/>
      <c r="AH12" s="789"/>
      <c r="AI12" s="789"/>
      <c r="AJ12" s="789"/>
      <c r="AK12" s="789"/>
      <c r="AL12" s="789"/>
      <c r="AM12" s="789"/>
      <c r="AN12" s="789"/>
      <c r="AO12" s="789"/>
      <c r="AP12" s="789"/>
      <c r="AQ12" s="789"/>
      <c r="AR12" s="789"/>
      <c r="AS12" s="789"/>
    </row>
    <row r="13" spans="1:45" s="111" customFormat="1">
      <c r="A13" s="1203"/>
      <c r="B13" s="1756" t="s">
        <v>3003</v>
      </c>
      <c r="C13" s="1204"/>
      <c r="D13" s="1205"/>
      <c r="E13" s="1205"/>
      <c r="F13" s="1205"/>
      <c r="G13" s="1205"/>
      <c r="H13" s="1205"/>
      <c r="I13" s="1205"/>
      <c r="J13" s="1205"/>
      <c r="K13" s="1205"/>
      <c r="L13" s="1205"/>
      <c r="M13" s="1206"/>
      <c r="N13" s="1210"/>
      <c r="O13" s="1211"/>
      <c r="P13" s="1212"/>
      <c r="Q13" s="1213"/>
      <c r="R13" s="1214"/>
      <c r="S13" s="1215"/>
      <c r="T13" s="1216"/>
      <c r="U13" s="789"/>
      <c r="V13" s="789"/>
      <c r="W13" s="789"/>
      <c r="X13" s="789"/>
      <c r="Y13" s="789"/>
      <c r="Z13" s="789"/>
      <c r="AA13" s="789"/>
      <c r="AB13" s="789"/>
      <c r="AC13" s="789"/>
      <c r="AD13" s="789"/>
      <c r="AE13" s="789"/>
      <c r="AF13" s="789"/>
      <c r="AG13" s="789"/>
      <c r="AH13" s="789"/>
      <c r="AI13" s="789"/>
      <c r="AJ13" s="789"/>
      <c r="AK13" s="789"/>
      <c r="AL13" s="789"/>
      <c r="AM13" s="789"/>
      <c r="AN13" s="789"/>
      <c r="AO13" s="789"/>
      <c r="AP13" s="789"/>
      <c r="AQ13" s="789"/>
      <c r="AR13" s="789"/>
      <c r="AS13" s="789"/>
    </row>
    <row r="14" spans="1:45" s="111" customFormat="1" ht="13.5" thickBot="1">
      <c r="A14" s="1203"/>
      <c r="B14" s="1104"/>
      <c r="C14" s="1108"/>
      <c r="D14" s="1105"/>
      <c r="E14" s="1105"/>
      <c r="F14" s="1105"/>
      <c r="G14" s="1105"/>
      <c r="H14" s="1105"/>
      <c r="I14" s="1105"/>
      <c r="J14" s="1105"/>
      <c r="K14" s="1105"/>
      <c r="L14" s="1105"/>
      <c r="M14" s="1217"/>
      <c r="N14" s="1217"/>
      <c r="O14" s="1105"/>
      <c r="P14" s="1105"/>
      <c r="Q14" s="1105"/>
      <c r="R14" s="1105"/>
      <c r="S14" s="1218"/>
      <c r="T14" s="1106"/>
      <c r="U14" s="789"/>
      <c r="V14" s="789"/>
      <c r="W14" s="789"/>
      <c r="X14" s="789"/>
      <c r="Y14" s="789"/>
      <c r="Z14" s="789"/>
      <c r="AA14" s="789"/>
      <c r="AB14" s="789"/>
      <c r="AC14" s="789"/>
      <c r="AD14" s="789"/>
      <c r="AE14" s="789"/>
      <c r="AF14" s="789"/>
      <c r="AG14" s="789"/>
      <c r="AH14" s="789"/>
      <c r="AI14" s="789"/>
      <c r="AJ14" s="789"/>
      <c r="AK14" s="789"/>
      <c r="AL14" s="789"/>
      <c r="AM14" s="789"/>
      <c r="AN14" s="789"/>
      <c r="AO14" s="789"/>
      <c r="AP14" s="789"/>
      <c r="AQ14" s="789"/>
      <c r="AR14" s="789"/>
      <c r="AS14" s="789"/>
    </row>
    <row r="15" spans="1:45" s="111" customFormat="1">
      <c r="A15" s="1203"/>
      <c r="B15" s="1756" t="s">
        <v>3004</v>
      </c>
      <c r="C15" s="1204"/>
      <c r="D15" s="1205"/>
      <c r="E15" s="1205"/>
      <c r="F15" s="1205"/>
      <c r="G15" s="1205"/>
      <c r="H15" s="1205"/>
      <c r="I15" s="1205"/>
      <c r="J15" s="1205"/>
      <c r="K15" s="1205"/>
      <c r="L15" s="1205"/>
      <c r="M15" s="1206"/>
      <c r="N15" s="1210"/>
      <c r="O15" s="1211"/>
      <c r="P15" s="1212"/>
      <c r="Q15" s="1213"/>
      <c r="R15" s="1214"/>
      <c r="S15" s="1215"/>
      <c r="T15" s="1216"/>
      <c r="U15" s="789"/>
      <c r="V15" s="789"/>
      <c r="W15" s="789"/>
      <c r="X15" s="789"/>
      <c r="Y15" s="789"/>
      <c r="Z15" s="789"/>
      <c r="AA15" s="789"/>
      <c r="AB15" s="789"/>
      <c r="AC15" s="789"/>
      <c r="AD15" s="789"/>
      <c r="AE15" s="789"/>
      <c r="AF15" s="789"/>
      <c r="AG15" s="789"/>
      <c r="AH15" s="789"/>
      <c r="AI15" s="789"/>
      <c r="AJ15" s="789"/>
      <c r="AK15" s="789"/>
      <c r="AL15" s="789"/>
      <c r="AM15" s="789"/>
      <c r="AN15" s="789"/>
      <c r="AO15" s="789"/>
      <c r="AP15" s="789"/>
      <c r="AQ15" s="789"/>
      <c r="AR15" s="789"/>
      <c r="AS15" s="789"/>
    </row>
    <row r="16" spans="1:45" s="111" customFormat="1" ht="13.5" thickBot="1">
      <c r="A16" s="1203"/>
      <c r="B16" s="1197"/>
      <c r="C16" s="1198"/>
      <c r="D16" s="1199"/>
      <c r="E16" s="1199"/>
      <c r="F16" s="1199"/>
      <c r="G16" s="1199"/>
      <c r="H16" s="1199"/>
      <c r="I16" s="1199"/>
      <c r="J16" s="1199"/>
      <c r="K16" s="1199"/>
      <c r="L16" s="1199"/>
      <c r="M16" s="1200"/>
      <c r="N16" s="1200"/>
      <c r="O16" s="1199"/>
      <c r="P16" s="1199"/>
      <c r="Q16" s="1199"/>
      <c r="R16" s="1199"/>
      <c r="S16" s="1201"/>
      <c r="T16" s="1202"/>
      <c r="U16" s="789"/>
      <c r="V16" s="789"/>
      <c r="W16" s="789"/>
      <c r="X16" s="789"/>
      <c r="Y16" s="789"/>
      <c r="Z16" s="789"/>
      <c r="AA16" s="789"/>
      <c r="AB16" s="789"/>
      <c r="AC16" s="789"/>
      <c r="AD16" s="789"/>
      <c r="AE16" s="789"/>
      <c r="AF16" s="789"/>
      <c r="AG16" s="789"/>
      <c r="AH16" s="789"/>
      <c r="AI16" s="789"/>
      <c r="AJ16" s="789"/>
      <c r="AK16" s="789"/>
      <c r="AL16" s="789"/>
      <c r="AM16" s="789"/>
      <c r="AN16" s="789"/>
      <c r="AO16" s="789"/>
      <c r="AP16" s="789"/>
      <c r="AQ16" s="789"/>
      <c r="AR16" s="789"/>
      <c r="AS16" s="789"/>
    </row>
    <row r="17" spans="1:45" s="698" customFormat="1">
      <c r="A17" s="2904" t="s">
        <v>3005</v>
      </c>
      <c r="B17" s="2905" t="s">
        <v>3006</v>
      </c>
      <c r="C17" s="1219"/>
      <c r="D17" s="1220"/>
      <c r="E17" s="1220"/>
      <c r="F17" s="1220"/>
      <c r="G17" s="1220"/>
      <c r="H17" s="1220"/>
      <c r="I17" s="1220"/>
      <c r="J17" s="1220"/>
      <c r="K17" s="1220"/>
      <c r="L17" s="1221"/>
      <c r="M17" s="1222"/>
      <c r="N17" s="1223"/>
      <c r="O17" s="1224"/>
      <c r="P17" s="1225"/>
      <c r="Q17" s="1226"/>
      <c r="R17" s="1227"/>
      <c r="S17" s="1228"/>
      <c r="T17" s="1228"/>
      <c r="U17" s="1228"/>
      <c r="V17" s="1228"/>
      <c r="W17" s="1228"/>
      <c r="X17" s="1228"/>
      <c r="Y17" s="1228"/>
      <c r="Z17" s="1228"/>
      <c r="AA17" s="1228"/>
      <c r="AB17" s="1228"/>
      <c r="AC17" s="1228"/>
      <c r="AD17" s="1228"/>
      <c r="AE17" s="1228"/>
      <c r="AF17" s="1228"/>
      <c r="AG17" s="1228"/>
      <c r="AH17" s="1228"/>
      <c r="AI17" s="1228"/>
      <c r="AJ17" s="1228"/>
      <c r="AK17" s="1228"/>
      <c r="AL17" s="1228"/>
      <c r="AM17" s="1228"/>
      <c r="AN17" s="1228"/>
      <c r="AO17" s="1228"/>
      <c r="AP17" s="1228"/>
      <c r="AQ17" s="1228"/>
      <c r="AR17" s="787"/>
      <c r="AS17" s="787"/>
    </row>
    <row r="18" spans="1:45" s="698" customFormat="1" ht="13.5" thickBot="1">
      <c r="A18" s="1229"/>
      <c r="B18" s="1230"/>
      <c r="C18" s="1231"/>
      <c r="D18" s="1232"/>
      <c r="E18" s="1232"/>
      <c r="F18" s="1232"/>
      <c r="G18" s="1232"/>
      <c r="H18" s="1232"/>
      <c r="I18" s="1232"/>
      <c r="J18" s="1232"/>
      <c r="K18" s="1232"/>
      <c r="L18" s="1232"/>
      <c r="M18" s="1233"/>
      <c r="N18" s="1233"/>
      <c r="O18" s="1232"/>
      <c r="P18" s="1232"/>
      <c r="Q18" s="1232"/>
      <c r="R18" s="1232"/>
      <c r="S18" s="1234"/>
      <c r="T18" s="1234"/>
      <c r="U18" s="1234"/>
      <c r="V18" s="1234"/>
      <c r="W18" s="1234"/>
      <c r="X18" s="1234"/>
      <c r="Y18" s="1234"/>
      <c r="Z18" s="1234"/>
      <c r="AA18" s="1234"/>
      <c r="AB18" s="1234"/>
      <c r="AC18" s="1234"/>
      <c r="AD18" s="1234"/>
      <c r="AE18" s="1234"/>
      <c r="AF18" s="1234"/>
      <c r="AG18" s="1234"/>
      <c r="AH18" s="1234"/>
      <c r="AI18" s="1234"/>
      <c r="AJ18" s="1234"/>
      <c r="AK18" s="1234"/>
      <c r="AL18" s="1234"/>
      <c r="AM18" s="1234"/>
      <c r="AN18" s="1234"/>
      <c r="AO18" s="1234"/>
      <c r="AP18" s="1234"/>
      <c r="AQ18" s="1234"/>
      <c r="AR18" s="787"/>
      <c r="AS18" s="787"/>
    </row>
    <row r="19" spans="1:45">
      <c r="A19" s="129"/>
      <c r="B19" s="159"/>
      <c r="C19" s="159"/>
      <c r="D19" s="2906" t="s">
        <v>3007</v>
      </c>
      <c r="E19" s="1779"/>
      <c r="F19" s="1779"/>
      <c r="G19" s="1779"/>
      <c r="H19" s="1268"/>
      <c r="I19" s="159"/>
      <c r="J19" s="159"/>
      <c r="K19" s="159"/>
      <c r="L19" s="159"/>
      <c r="M19" s="159"/>
      <c r="N19" s="159"/>
      <c r="O19" s="159"/>
      <c r="P19" s="159"/>
      <c r="Q19" s="159"/>
      <c r="R19" s="779"/>
      <c r="S19" s="129"/>
    </row>
    <row r="20" spans="1:45" ht="16.5" thickBot="1">
      <c r="A20" s="706" t="s">
        <v>3008</v>
      </c>
      <c r="B20" s="329" t="e">
        <f ca="1">IF(D20="——",S22,S22-F20)</f>
        <v>#REF!</v>
      </c>
      <c r="C20" s="159"/>
      <c r="D20" s="2907" t="s">
        <v>3009</v>
      </c>
      <c r="E20" s="1780"/>
      <c r="F20" s="1192" t="e">
        <f ca="1">SUMIF(INDIRECT("'"&amp;H20&amp;"'"&amp;"!A:A"),"承租人权益价值",INDIRECT("'"&amp;H20&amp;"'"&amp;"!c:c"))</f>
        <v>#REF!</v>
      </c>
      <c r="G20" s="1192" t="s">
        <v>3010</v>
      </c>
      <c r="H20" s="2908"/>
      <c r="I20" s="159"/>
      <c r="J20" s="159"/>
      <c r="K20" s="159"/>
      <c r="L20" s="159"/>
      <c r="M20" s="159"/>
      <c r="N20" s="159"/>
      <c r="O20" s="159"/>
      <c r="P20" s="159"/>
      <c r="Q20" s="159"/>
      <c r="R20" s="779"/>
      <c r="S20" s="129"/>
    </row>
    <row r="21" spans="1:45" ht="15.75">
      <c r="A21" s="706" t="s">
        <v>3011</v>
      </c>
      <c r="B21" s="329">
        <f>R22</f>
        <v>10000</v>
      </c>
      <c r="C21" s="159"/>
      <c r="D21" s="159"/>
      <c r="E21" s="159"/>
      <c r="F21" s="159"/>
      <c r="G21" s="159"/>
      <c r="H21" s="159"/>
      <c r="I21" s="159"/>
      <c r="J21" s="159"/>
      <c r="K21" s="159"/>
      <c r="L21" s="159"/>
      <c r="M21" s="159"/>
      <c r="N21" s="159"/>
      <c r="O21" s="159"/>
      <c r="P21" s="159"/>
      <c r="Q21" s="159"/>
      <c r="R21" s="779"/>
      <c r="S21" s="129"/>
    </row>
    <row r="22" spans="1:45">
      <c r="A22" s="352" t="s">
        <v>3012</v>
      </c>
      <c r="B22" s="24">
        <f>SUM(B24:B10000)</f>
        <v>100</v>
      </c>
      <c r="C22" s="3180" t="s">
        <v>33</v>
      </c>
      <c r="D22" s="3181"/>
      <c r="E22" s="3181"/>
      <c r="F22" s="3181"/>
      <c r="G22" s="3181"/>
      <c r="H22" s="3181"/>
      <c r="I22" s="3181"/>
      <c r="J22" s="3181"/>
      <c r="K22" s="3181"/>
      <c r="L22" s="3181"/>
      <c r="M22" s="3181"/>
      <c r="N22" s="3181"/>
      <c r="O22" s="3181"/>
      <c r="P22" s="3181"/>
      <c r="Q22" s="3398"/>
      <c r="R22" s="707">
        <f>ROUND(S22*10000/B22,0)</f>
        <v>10000</v>
      </c>
      <c r="S22" s="24">
        <f>SUM(S24:S10000)</f>
        <v>100</v>
      </c>
    </row>
    <row r="23" spans="1:45" s="12" customFormat="1" ht="24">
      <c r="A23" s="11" t="s">
        <v>3013</v>
      </c>
      <c r="B23" s="11" t="s">
        <v>3014</v>
      </c>
      <c r="C23" s="11" t="s">
        <v>3015</v>
      </c>
      <c r="D23" s="11" t="str">
        <f>B5</f>
        <v>修正项2</v>
      </c>
      <c r="E23" s="11" t="s">
        <v>3015</v>
      </c>
      <c r="F23" s="11" t="str">
        <f>B7</f>
        <v>修正项3</v>
      </c>
      <c r="G23" s="11" t="s">
        <v>3015</v>
      </c>
      <c r="H23" s="11" t="str">
        <f>B9</f>
        <v>修正项4</v>
      </c>
      <c r="I23" s="11" t="s">
        <v>3015</v>
      </c>
      <c r="J23" s="11" t="str">
        <f>B11</f>
        <v>修正项5</v>
      </c>
      <c r="K23" s="11" t="s">
        <v>3015</v>
      </c>
      <c r="L23" s="11" t="str">
        <f>B13</f>
        <v>修正项6</v>
      </c>
      <c r="M23" s="11" t="s">
        <v>3015</v>
      </c>
      <c r="N23" s="11" t="str">
        <f>B15</f>
        <v>修正项7</v>
      </c>
      <c r="O23" s="11" t="s">
        <v>3015</v>
      </c>
      <c r="P23" s="11" t="str">
        <f>B17</f>
        <v>楼层</v>
      </c>
      <c r="Q23" s="11" t="s">
        <v>3015</v>
      </c>
      <c r="R23" s="708" t="s">
        <v>3016</v>
      </c>
      <c r="S23" s="11" t="s">
        <v>3017</v>
      </c>
      <c r="T23" s="790"/>
      <c r="U23" s="790"/>
      <c r="V23" s="790"/>
      <c r="W23" s="790"/>
      <c r="X23" s="790"/>
      <c r="Y23" s="790"/>
      <c r="Z23" s="790"/>
      <c r="AA23" s="790"/>
      <c r="AB23" s="790"/>
      <c r="AC23" s="790"/>
      <c r="AD23" s="790"/>
      <c r="AE23" s="790"/>
      <c r="AF23" s="790"/>
      <c r="AG23" s="790"/>
      <c r="AH23" s="790"/>
      <c r="AI23" s="790"/>
      <c r="AJ23" s="790"/>
      <c r="AK23" s="790"/>
      <c r="AL23" s="790"/>
      <c r="AM23" s="790"/>
      <c r="AN23" s="790"/>
      <c r="AO23" s="790"/>
      <c r="AP23" s="790"/>
      <c r="AQ23" s="790"/>
      <c r="AR23" s="790"/>
      <c r="AS23" s="790"/>
    </row>
    <row r="24" spans="1:45" s="713" customFormat="1">
      <c r="A24" s="709" t="s">
        <v>3018</v>
      </c>
      <c r="B24" s="709">
        <v>100</v>
      </c>
      <c r="C24" s="710">
        <v>1</v>
      </c>
      <c r="D24" s="711"/>
      <c r="E24" s="710">
        <v>1</v>
      </c>
      <c r="F24" s="711"/>
      <c r="G24" s="710">
        <v>1</v>
      </c>
      <c r="H24" s="711"/>
      <c r="I24" s="710">
        <v>1</v>
      </c>
      <c r="J24" s="711"/>
      <c r="K24" s="710">
        <v>1</v>
      </c>
      <c r="L24" s="711"/>
      <c r="M24" s="710">
        <v>1</v>
      </c>
      <c r="N24" s="711"/>
      <c r="O24" s="710">
        <v>1</v>
      </c>
      <c r="P24" s="711"/>
      <c r="Q24" s="710">
        <v>1</v>
      </c>
      <c r="R24" s="712">
        <v>10000</v>
      </c>
      <c r="S24" s="710">
        <f t="shared" ref="S24:S54" si="11">ROUND(R24*B24/10000,0)</f>
        <v>100</v>
      </c>
      <c r="T24" s="791"/>
      <c r="U24" s="791"/>
      <c r="V24" s="791"/>
      <c r="W24" s="791"/>
      <c r="X24" s="791"/>
      <c r="Y24" s="791"/>
      <c r="Z24" s="791"/>
      <c r="AA24" s="791"/>
      <c r="AB24" s="791"/>
      <c r="AC24" s="791"/>
      <c r="AD24" s="791"/>
      <c r="AE24" s="791"/>
      <c r="AF24" s="791"/>
      <c r="AG24" s="791"/>
      <c r="AH24" s="791"/>
      <c r="AI24" s="791"/>
      <c r="AJ24" s="791"/>
      <c r="AK24" s="791"/>
      <c r="AL24" s="791"/>
      <c r="AM24" s="791"/>
      <c r="AN24" s="791"/>
      <c r="AO24" s="791"/>
      <c r="AP24" s="791"/>
      <c r="AQ24" s="791"/>
      <c r="AR24" s="791"/>
      <c r="AS24" s="791"/>
    </row>
    <row r="25" spans="1:45">
      <c r="A25" s="150"/>
      <c r="B25" s="58"/>
      <c r="C25" s="24">
        <f>IF(B25="",1,(LOOKUP(B25,$3:$3,$4:$4)-LOOKUP($B$24,$3:$3,$4:$4)+100)/100)</f>
        <v>1</v>
      </c>
      <c r="D25" s="711"/>
      <c r="E25" s="24">
        <f>(SUMIF($5:$5,D25,$6:$6)-SUMIF($5:$5,$D$24,$6:$6)+100)/100</f>
        <v>1</v>
      </c>
      <c r="F25" s="711"/>
      <c r="G25" s="24">
        <f>(SUMIF($7:$7,F25,$8:$8)-SUMIF($7:$7,$F$24,$8:$8)+100)/100</f>
        <v>1</v>
      </c>
      <c r="H25" s="711"/>
      <c r="I25" s="24">
        <f>(SUMIF($9:$9,H25,$10:$10)-SUMIF($9:$9,$H$24,$10:$10)+100)/100</f>
        <v>1</v>
      </c>
      <c r="J25" s="711"/>
      <c r="K25" s="24">
        <f>(SUMIF($11:$11,J25,$12:$12)-SUMIF($11:$11,$J$24,$12:$12)+100)/100</f>
        <v>1</v>
      </c>
      <c r="L25" s="711"/>
      <c r="M25" s="24">
        <f>(SUMIF($13:$13,L25,$14:$14)-SUMIF($13:$13,$L$24,$14:$14)+100)/100</f>
        <v>1</v>
      </c>
      <c r="N25" s="711"/>
      <c r="O25" s="24">
        <f>(SUMIF($15:$15,N25,$16:$16)-SUMIF($15:$15,$N$24,$16:$16)+100)/100</f>
        <v>1</v>
      </c>
      <c r="P25" s="711"/>
      <c r="Q25" s="24">
        <f>(SUMIF($17:$17,P25,$18:$18)-SUMIF($17:$17,$P$24,$18:$18)+100)/100</f>
        <v>1</v>
      </c>
      <c r="R25" s="707">
        <f>IF(B25="",0,ROUND($R$24*C25*E25*G25*I25*K25*M25*O25*Q25,0))</f>
        <v>0</v>
      </c>
      <c r="S25" s="352">
        <f t="shared" si="11"/>
        <v>0</v>
      </c>
    </row>
    <row r="26" spans="1:45">
      <c r="A26" s="150"/>
      <c r="B26" s="58"/>
      <c r="C26" s="24">
        <f t="shared" ref="C26:C89" si="12">IF(B26="",1,(LOOKUP(B26,$3:$3,$4:$4)-LOOKUP($B$24,$3:$3,$4:$4)+100)/100)</f>
        <v>1</v>
      </c>
      <c r="D26" s="711"/>
      <c r="E26" s="24">
        <f t="shared" ref="E26:E89" si="13">(SUMIF($5:$5,D26,$6:$6)-SUMIF($5:$5,$D$24,$6:$6)+100)/100</f>
        <v>1</v>
      </c>
      <c r="F26" s="711"/>
      <c r="G26" s="24">
        <f t="shared" ref="G26:G89" si="14">(SUMIF($7:$7,F26,$8:$8)-SUMIF($7:$7,$F$24,$8:$8)+100)/100</f>
        <v>1</v>
      </c>
      <c r="H26" s="711"/>
      <c r="I26" s="24">
        <f t="shared" ref="I26:I89" si="15">(SUMIF($9:$9,H26,$10:$10)-SUMIF($9:$9,$H$24,$10:$10)+100)/100</f>
        <v>1</v>
      </c>
      <c r="J26" s="711"/>
      <c r="K26" s="24">
        <f t="shared" ref="K26:K89" si="16">(SUMIF($11:$11,J26,$12:$12)-SUMIF($11:$11,$J$24,$12:$12)+100)/100</f>
        <v>1</v>
      </c>
      <c r="L26" s="711"/>
      <c r="M26" s="24">
        <f t="shared" ref="M26:M89" si="17">(SUMIF($13:$13,L26,$14:$14)-SUMIF($13:$13,$L$24,$14:$14)+100)/100</f>
        <v>1</v>
      </c>
      <c r="N26" s="711"/>
      <c r="O26" s="24">
        <f t="shared" ref="O26:O89" si="18">(SUMIF($15:$15,N26,$16:$16)-SUMIF($15:$15,$N$24,$16:$16)+100)/100</f>
        <v>1</v>
      </c>
      <c r="P26" s="711"/>
      <c r="Q26" s="24">
        <f t="shared" ref="Q26:Q89" si="19">(SUMIF($17:$17,P26,$18:$18)-SUMIF($17:$17,$P$24,$18:$18)+100)/100</f>
        <v>1</v>
      </c>
      <c r="R26" s="707">
        <f t="shared" ref="R26:R89" si="20">IF(B26="",0,ROUND($R$24*C26*E26*G26*I26*K26*M26*O26*Q26,0))</f>
        <v>0</v>
      </c>
      <c r="S26" s="352">
        <f t="shared" si="11"/>
        <v>0</v>
      </c>
    </row>
    <row r="27" spans="1:45">
      <c r="A27" s="150"/>
      <c r="B27" s="58"/>
      <c r="C27" s="24">
        <f t="shared" si="12"/>
        <v>1</v>
      </c>
      <c r="D27" s="711"/>
      <c r="E27" s="24">
        <f t="shared" si="13"/>
        <v>1</v>
      </c>
      <c r="F27" s="711"/>
      <c r="G27" s="24">
        <f t="shared" si="14"/>
        <v>1</v>
      </c>
      <c r="H27" s="711"/>
      <c r="I27" s="24">
        <f t="shared" si="15"/>
        <v>1</v>
      </c>
      <c r="J27" s="711"/>
      <c r="K27" s="24">
        <f t="shared" si="16"/>
        <v>1</v>
      </c>
      <c r="L27" s="711"/>
      <c r="M27" s="24">
        <f t="shared" si="17"/>
        <v>1</v>
      </c>
      <c r="N27" s="711"/>
      <c r="O27" s="24">
        <f t="shared" si="18"/>
        <v>1</v>
      </c>
      <c r="P27" s="711"/>
      <c r="Q27" s="24">
        <f t="shared" si="19"/>
        <v>1</v>
      </c>
      <c r="R27" s="707">
        <f t="shared" si="20"/>
        <v>0</v>
      </c>
      <c r="S27" s="352">
        <f t="shared" si="11"/>
        <v>0</v>
      </c>
    </row>
    <row r="28" spans="1:45">
      <c r="A28" s="150"/>
      <c r="B28" s="58"/>
      <c r="C28" s="24">
        <f t="shared" si="12"/>
        <v>1</v>
      </c>
      <c r="D28" s="711"/>
      <c r="E28" s="24">
        <f t="shared" si="13"/>
        <v>1</v>
      </c>
      <c r="F28" s="711"/>
      <c r="G28" s="24">
        <f t="shared" si="14"/>
        <v>1</v>
      </c>
      <c r="H28" s="711"/>
      <c r="I28" s="24">
        <f t="shared" si="15"/>
        <v>1</v>
      </c>
      <c r="J28" s="711"/>
      <c r="K28" s="24">
        <f t="shared" si="16"/>
        <v>1</v>
      </c>
      <c r="L28" s="711"/>
      <c r="M28" s="24">
        <f t="shared" si="17"/>
        <v>1</v>
      </c>
      <c r="N28" s="711"/>
      <c r="O28" s="24">
        <f t="shared" si="18"/>
        <v>1</v>
      </c>
      <c r="P28" s="711"/>
      <c r="Q28" s="24">
        <f t="shared" si="19"/>
        <v>1</v>
      </c>
      <c r="R28" s="707">
        <f t="shared" si="20"/>
        <v>0</v>
      </c>
      <c r="S28" s="352">
        <f t="shared" si="11"/>
        <v>0</v>
      </c>
    </row>
    <row r="29" spans="1:45">
      <c r="A29" s="150"/>
      <c r="B29" s="58"/>
      <c r="C29" s="24">
        <f t="shared" si="12"/>
        <v>1</v>
      </c>
      <c r="D29" s="711"/>
      <c r="E29" s="24">
        <f t="shared" si="13"/>
        <v>1</v>
      </c>
      <c r="F29" s="711"/>
      <c r="G29" s="24">
        <f t="shared" si="14"/>
        <v>1</v>
      </c>
      <c r="H29" s="711"/>
      <c r="I29" s="24">
        <f t="shared" si="15"/>
        <v>1</v>
      </c>
      <c r="J29" s="711"/>
      <c r="K29" s="24">
        <f t="shared" si="16"/>
        <v>1</v>
      </c>
      <c r="L29" s="711"/>
      <c r="M29" s="24">
        <f t="shared" si="17"/>
        <v>1</v>
      </c>
      <c r="N29" s="711"/>
      <c r="O29" s="24">
        <f t="shared" si="18"/>
        <v>1</v>
      </c>
      <c r="P29" s="711"/>
      <c r="Q29" s="24">
        <f t="shared" si="19"/>
        <v>1</v>
      </c>
      <c r="R29" s="707">
        <f t="shared" si="20"/>
        <v>0</v>
      </c>
      <c r="S29" s="352">
        <f t="shared" si="11"/>
        <v>0</v>
      </c>
    </row>
    <row r="30" spans="1:45">
      <c r="A30" s="150"/>
      <c r="B30" s="58"/>
      <c r="C30" s="24">
        <f t="shared" si="12"/>
        <v>1</v>
      </c>
      <c r="D30" s="711"/>
      <c r="E30" s="24">
        <f t="shared" si="13"/>
        <v>1</v>
      </c>
      <c r="F30" s="711"/>
      <c r="G30" s="24">
        <f t="shared" si="14"/>
        <v>1</v>
      </c>
      <c r="H30" s="711"/>
      <c r="I30" s="24">
        <f t="shared" si="15"/>
        <v>1</v>
      </c>
      <c r="J30" s="711"/>
      <c r="K30" s="24">
        <f t="shared" si="16"/>
        <v>1</v>
      </c>
      <c r="L30" s="711"/>
      <c r="M30" s="24">
        <f t="shared" si="17"/>
        <v>1</v>
      </c>
      <c r="N30" s="711"/>
      <c r="O30" s="24">
        <f t="shared" si="18"/>
        <v>1</v>
      </c>
      <c r="P30" s="711"/>
      <c r="Q30" s="24">
        <f t="shared" si="19"/>
        <v>1</v>
      </c>
      <c r="R30" s="707">
        <f t="shared" si="20"/>
        <v>0</v>
      </c>
      <c r="S30" s="352">
        <f t="shared" si="11"/>
        <v>0</v>
      </c>
    </row>
    <row r="31" spans="1:45">
      <c r="A31" s="150"/>
      <c r="B31" s="58"/>
      <c r="C31" s="24">
        <f t="shared" si="12"/>
        <v>1</v>
      </c>
      <c r="D31" s="711"/>
      <c r="E31" s="24">
        <f t="shared" si="13"/>
        <v>1</v>
      </c>
      <c r="F31" s="711"/>
      <c r="G31" s="24">
        <f t="shared" si="14"/>
        <v>1</v>
      </c>
      <c r="H31" s="711"/>
      <c r="I31" s="24">
        <f t="shared" si="15"/>
        <v>1</v>
      </c>
      <c r="J31" s="711"/>
      <c r="K31" s="24">
        <f t="shared" si="16"/>
        <v>1</v>
      </c>
      <c r="L31" s="711"/>
      <c r="M31" s="24">
        <f t="shared" si="17"/>
        <v>1</v>
      </c>
      <c r="N31" s="711"/>
      <c r="O31" s="24">
        <f t="shared" si="18"/>
        <v>1</v>
      </c>
      <c r="P31" s="711"/>
      <c r="Q31" s="24">
        <f t="shared" si="19"/>
        <v>1</v>
      </c>
      <c r="R31" s="707">
        <f t="shared" si="20"/>
        <v>0</v>
      </c>
      <c r="S31" s="352">
        <f t="shared" si="11"/>
        <v>0</v>
      </c>
    </row>
    <row r="32" spans="1:45">
      <c r="A32" s="150"/>
      <c r="B32" s="58"/>
      <c r="C32" s="24">
        <f t="shared" si="12"/>
        <v>1</v>
      </c>
      <c r="D32" s="711"/>
      <c r="E32" s="24">
        <f t="shared" si="13"/>
        <v>1</v>
      </c>
      <c r="F32" s="711"/>
      <c r="G32" s="24">
        <f t="shared" si="14"/>
        <v>1</v>
      </c>
      <c r="H32" s="711"/>
      <c r="I32" s="24">
        <f t="shared" si="15"/>
        <v>1</v>
      </c>
      <c r="J32" s="711"/>
      <c r="K32" s="24">
        <f t="shared" si="16"/>
        <v>1</v>
      </c>
      <c r="L32" s="711"/>
      <c r="M32" s="24">
        <f t="shared" si="17"/>
        <v>1</v>
      </c>
      <c r="N32" s="711"/>
      <c r="O32" s="24">
        <f t="shared" si="18"/>
        <v>1</v>
      </c>
      <c r="P32" s="711"/>
      <c r="Q32" s="24">
        <f t="shared" si="19"/>
        <v>1</v>
      </c>
      <c r="R32" s="707">
        <f t="shared" si="20"/>
        <v>0</v>
      </c>
      <c r="S32" s="352">
        <f t="shared" si="11"/>
        <v>0</v>
      </c>
    </row>
    <row r="33" spans="1:19">
      <c r="A33" s="150"/>
      <c r="B33" s="58"/>
      <c r="C33" s="24">
        <f t="shared" si="12"/>
        <v>1</v>
      </c>
      <c r="D33" s="711"/>
      <c r="E33" s="24">
        <f t="shared" si="13"/>
        <v>1</v>
      </c>
      <c r="F33" s="711"/>
      <c r="G33" s="24">
        <f t="shared" si="14"/>
        <v>1</v>
      </c>
      <c r="H33" s="711"/>
      <c r="I33" s="24">
        <f t="shared" si="15"/>
        <v>1</v>
      </c>
      <c r="J33" s="711"/>
      <c r="K33" s="24">
        <f t="shared" si="16"/>
        <v>1</v>
      </c>
      <c r="L33" s="711"/>
      <c r="M33" s="24">
        <f t="shared" si="17"/>
        <v>1</v>
      </c>
      <c r="N33" s="711"/>
      <c r="O33" s="24">
        <f t="shared" si="18"/>
        <v>1</v>
      </c>
      <c r="P33" s="711"/>
      <c r="Q33" s="24">
        <f t="shared" si="19"/>
        <v>1</v>
      </c>
      <c r="R33" s="707">
        <f t="shared" si="20"/>
        <v>0</v>
      </c>
      <c r="S33" s="352">
        <f t="shared" si="11"/>
        <v>0</v>
      </c>
    </row>
    <row r="34" spans="1:19">
      <c r="A34" s="150"/>
      <c r="B34" s="58"/>
      <c r="C34" s="24">
        <f t="shared" si="12"/>
        <v>1</v>
      </c>
      <c r="D34" s="711"/>
      <c r="E34" s="24">
        <f t="shared" si="13"/>
        <v>1</v>
      </c>
      <c r="F34" s="711"/>
      <c r="G34" s="24">
        <f t="shared" si="14"/>
        <v>1</v>
      </c>
      <c r="H34" s="711"/>
      <c r="I34" s="24">
        <f t="shared" si="15"/>
        <v>1</v>
      </c>
      <c r="J34" s="711"/>
      <c r="K34" s="24">
        <f t="shared" si="16"/>
        <v>1</v>
      </c>
      <c r="L34" s="711"/>
      <c r="M34" s="24">
        <f t="shared" si="17"/>
        <v>1</v>
      </c>
      <c r="N34" s="711"/>
      <c r="O34" s="24">
        <f t="shared" si="18"/>
        <v>1</v>
      </c>
      <c r="P34" s="711"/>
      <c r="Q34" s="24">
        <f t="shared" si="19"/>
        <v>1</v>
      </c>
      <c r="R34" s="707">
        <f t="shared" si="20"/>
        <v>0</v>
      </c>
      <c r="S34" s="352">
        <f t="shared" si="11"/>
        <v>0</v>
      </c>
    </row>
    <row r="35" spans="1:19">
      <c r="A35" s="150"/>
      <c r="B35" s="58"/>
      <c r="C35" s="24">
        <f t="shared" si="12"/>
        <v>1</v>
      </c>
      <c r="D35" s="711"/>
      <c r="E35" s="24">
        <f t="shared" si="13"/>
        <v>1</v>
      </c>
      <c r="F35" s="711"/>
      <c r="G35" s="24">
        <f t="shared" si="14"/>
        <v>1</v>
      </c>
      <c r="H35" s="711"/>
      <c r="I35" s="24">
        <f t="shared" si="15"/>
        <v>1</v>
      </c>
      <c r="J35" s="711"/>
      <c r="K35" s="24">
        <f t="shared" si="16"/>
        <v>1</v>
      </c>
      <c r="L35" s="711"/>
      <c r="M35" s="24">
        <f t="shared" si="17"/>
        <v>1</v>
      </c>
      <c r="N35" s="711"/>
      <c r="O35" s="24">
        <f t="shared" si="18"/>
        <v>1</v>
      </c>
      <c r="P35" s="711"/>
      <c r="Q35" s="24">
        <f t="shared" si="19"/>
        <v>1</v>
      </c>
      <c r="R35" s="707">
        <f t="shared" si="20"/>
        <v>0</v>
      </c>
      <c r="S35" s="352">
        <f t="shared" si="11"/>
        <v>0</v>
      </c>
    </row>
    <row r="36" spans="1:19">
      <c r="A36" s="150"/>
      <c r="B36" s="58"/>
      <c r="C36" s="24">
        <f t="shared" si="12"/>
        <v>1</v>
      </c>
      <c r="D36" s="711"/>
      <c r="E36" s="24">
        <f t="shared" si="13"/>
        <v>1</v>
      </c>
      <c r="F36" s="711"/>
      <c r="G36" s="24">
        <f t="shared" si="14"/>
        <v>1</v>
      </c>
      <c r="H36" s="711"/>
      <c r="I36" s="24">
        <f t="shared" si="15"/>
        <v>1</v>
      </c>
      <c r="J36" s="711"/>
      <c r="K36" s="24">
        <f t="shared" si="16"/>
        <v>1</v>
      </c>
      <c r="L36" s="711"/>
      <c r="M36" s="24">
        <f t="shared" si="17"/>
        <v>1</v>
      </c>
      <c r="N36" s="711"/>
      <c r="O36" s="24">
        <f t="shared" si="18"/>
        <v>1</v>
      </c>
      <c r="P36" s="711"/>
      <c r="Q36" s="24">
        <f t="shared" si="19"/>
        <v>1</v>
      </c>
      <c r="R36" s="707">
        <f t="shared" si="20"/>
        <v>0</v>
      </c>
      <c r="S36" s="352">
        <f t="shared" si="11"/>
        <v>0</v>
      </c>
    </row>
    <row r="37" spans="1:19">
      <c r="A37" s="150"/>
      <c r="B37" s="58"/>
      <c r="C37" s="24">
        <f t="shared" si="12"/>
        <v>1</v>
      </c>
      <c r="D37" s="711"/>
      <c r="E37" s="24">
        <f t="shared" si="13"/>
        <v>1</v>
      </c>
      <c r="F37" s="711"/>
      <c r="G37" s="24">
        <f t="shared" si="14"/>
        <v>1</v>
      </c>
      <c r="H37" s="711"/>
      <c r="I37" s="24">
        <f t="shared" si="15"/>
        <v>1</v>
      </c>
      <c r="J37" s="711"/>
      <c r="K37" s="24">
        <f t="shared" si="16"/>
        <v>1</v>
      </c>
      <c r="L37" s="711"/>
      <c r="M37" s="24">
        <f t="shared" si="17"/>
        <v>1</v>
      </c>
      <c r="N37" s="711"/>
      <c r="O37" s="24">
        <f t="shared" si="18"/>
        <v>1</v>
      </c>
      <c r="P37" s="711"/>
      <c r="Q37" s="24">
        <f t="shared" si="19"/>
        <v>1</v>
      </c>
      <c r="R37" s="707">
        <f t="shared" si="20"/>
        <v>0</v>
      </c>
      <c r="S37" s="352">
        <f t="shared" si="11"/>
        <v>0</v>
      </c>
    </row>
    <row r="38" spans="1:19">
      <c r="A38" s="150"/>
      <c r="B38" s="58"/>
      <c r="C38" s="24">
        <f t="shared" si="12"/>
        <v>1</v>
      </c>
      <c r="D38" s="711"/>
      <c r="E38" s="24">
        <f t="shared" si="13"/>
        <v>1</v>
      </c>
      <c r="F38" s="711"/>
      <c r="G38" s="24">
        <f t="shared" si="14"/>
        <v>1</v>
      </c>
      <c r="H38" s="711"/>
      <c r="I38" s="24">
        <f t="shared" si="15"/>
        <v>1</v>
      </c>
      <c r="J38" s="711"/>
      <c r="K38" s="24">
        <f t="shared" si="16"/>
        <v>1</v>
      </c>
      <c r="L38" s="711"/>
      <c r="M38" s="24">
        <f t="shared" si="17"/>
        <v>1</v>
      </c>
      <c r="N38" s="711"/>
      <c r="O38" s="24">
        <f t="shared" si="18"/>
        <v>1</v>
      </c>
      <c r="P38" s="711"/>
      <c r="Q38" s="24">
        <f t="shared" si="19"/>
        <v>1</v>
      </c>
      <c r="R38" s="707">
        <f t="shared" si="20"/>
        <v>0</v>
      </c>
      <c r="S38" s="352">
        <f t="shared" si="11"/>
        <v>0</v>
      </c>
    </row>
    <row r="39" spans="1:19">
      <c r="A39" s="150"/>
      <c r="B39" s="58"/>
      <c r="C39" s="24">
        <f t="shared" si="12"/>
        <v>1</v>
      </c>
      <c r="D39" s="711"/>
      <c r="E39" s="24">
        <f t="shared" si="13"/>
        <v>1</v>
      </c>
      <c r="F39" s="711"/>
      <c r="G39" s="24">
        <f t="shared" si="14"/>
        <v>1</v>
      </c>
      <c r="H39" s="711"/>
      <c r="I39" s="24">
        <f t="shared" si="15"/>
        <v>1</v>
      </c>
      <c r="J39" s="711"/>
      <c r="K39" s="24">
        <f t="shared" si="16"/>
        <v>1</v>
      </c>
      <c r="L39" s="711"/>
      <c r="M39" s="24">
        <f t="shared" si="17"/>
        <v>1</v>
      </c>
      <c r="N39" s="711"/>
      <c r="O39" s="24">
        <f t="shared" si="18"/>
        <v>1</v>
      </c>
      <c r="P39" s="711"/>
      <c r="Q39" s="24">
        <f t="shared" si="19"/>
        <v>1</v>
      </c>
      <c r="R39" s="707">
        <f t="shared" si="20"/>
        <v>0</v>
      </c>
      <c r="S39" s="352">
        <f t="shared" si="11"/>
        <v>0</v>
      </c>
    </row>
    <row r="40" spans="1:19">
      <c r="A40" s="150"/>
      <c r="B40" s="58"/>
      <c r="C40" s="24">
        <f t="shared" si="12"/>
        <v>1</v>
      </c>
      <c r="D40" s="711"/>
      <c r="E40" s="24">
        <f t="shared" si="13"/>
        <v>1</v>
      </c>
      <c r="F40" s="711"/>
      <c r="G40" s="24">
        <f t="shared" si="14"/>
        <v>1</v>
      </c>
      <c r="H40" s="711"/>
      <c r="I40" s="24">
        <f t="shared" si="15"/>
        <v>1</v>
      </c>
      <c r="J40" s="711"/>
      <c r="K40" s="24">
        <f t="shared" si="16"/>
        <v>1</v>
      </c>
      <c r="L40" s="711"/>
      <c r="M40" s="24">
        <f t="shared" si="17"/>
        <v>1</v>
      </c>
      <c r="N40" s="711"/>
      <c r="O40" s="24">
        <f t="shared" si="18"/>
        <v>1</v>
      </c>
      <c r="P40" s="711"/>
      <c r="Q40" s="24">
        <f t="shared" si="19"/>
        <v>1</v>
      </c>
      <c r="R40" s="707">
        <f t="shared" si="20"/>
        <v>0</v>
      </c>
      <c r="S40" s="352">
        <f t="shared" si="11"/>
        <v>0</v>
      </c>
    </row>
    <row r="41" spans="1:19">
      <c r="A41" s="150"/>
      <c r="B41" s="58"/>
      <c r="C41" s="24">
        <f t="shared" si="12"/>
        <v>1</v>
      </c>
      <c r="D41" s="711"/>
      <c r="E41" s="24">
        <f t="shared" si="13"/>
        <v>1</v>
      </c>
      <c r="F41" s="711"/>
      <c r="G41" s="24">
        <f t="shared" si="14"/>
        <v>1</v>
      </c>
      <c r="H41" s="711"/>
      <c r="I41" s="24">
        <f t="shared" si="15"/>
        <v>1</v>
      </c>
      <c r="J41" s="711"/>
      <c r="K41" s="24">
        <f t="shared" si="16"/>
        <v>1</v>
      </c>
      <c r="L41" s="711"/>
      <c r="M41" s="24">
        <f t="shared" si="17"/>
        <v>1</v>
      </c>
      <c r="N41" s="711"/>
      <c r="O41" s="24">
        <f t="shared" si="18"/>
        <v>1</v>
      </c>
      <c r="P41" s="711"/>
      <c r="Q41" s="24">
        <f t="shared" si="19"/>
        <v>1</v>
      </c>
      <c r="R41" s="707">
        <f t="shared" si="20"/>
        <v>0</v>
      </c>
      <c r="S41" s="352">
        <f t="shared" si="11"/>
        <v>0</v>
      </c>
    </row>
    <row r="42" spans="1:19">
      <c r="A42" s="150"/>
      <c r="B42" s="58"/>
      <c r="C42" s="24">
        <f t="shared" si="12"/>
        <v>1</v>
      </c>
      <c r="D42" s="711"/>
      <c r="E42" s="24">
        <f t="shared" si="13"/>
        <v>1</v>
      </c>
      <c r="F42" s="711"/>
      <c r="G42" s="24">
        <f t="shared" si="14"/>
        <v>1</v>
      </c>
      <c r="H42" s="711"/>
      <c r="I42" s="24">
        <f t="shared" si="15"/>
        <v>1</v>
      </c>
      <c r="J42" s="711"/>
      <c r="K42" s="24">
        <f t="shared" si="16"/>
        <v>1</v>
      </c>
      <c r="L42" s="711"/>
      <c r="M42" s="24">
        <f t="shared" si="17"/>
        <v>1</v>
      </c>
      <c r="N42" s="711"/>
      <c r="O42" s="24">
        <f t="shared" si="18"/>
        <v>1</v>
      </c>
      <c r="P42" s="711"/>
      <c r="Q42" s="24">
        <f t="shared" si="19"/>
        <v>1</v>
      </c>
      <c r="R42" s="707">
        <f t="shared" si="20"/>
        <v>0</v>
      </c>
      <c r="S42" s="352">
        <f t="shared" si="11"/>
        <v>0</v>
      </c>
    </row>
    <row r="43" spans="1:19">
      <c r="A43" s="150"/>
      <c r="B43" s="58"/>
      <c r="C43" s="24">
        <f t="shared" si="12"/>
        <v>1</v>
      </c>
      <c r="D43" s="711"/>
      <c r="E43" s="24">
        <f t="shared" si="13"/>
        <v>1</v>
      </c>
      <c r="F43" s="711"/>
      <c r="G43" s="24">
        <f t="shared" si="14"/>
        <v>1</v>
      </c>
      <c r="H43" s="711"/>
      <c r="I43" s="24">
        <f t="shared" si="15"/>
        <v>1</v>
      </c>
      <c r="J43" s="711"/>
      <c r="K43" s="24">
        <f t="shared" si="16"/>
        <v>1</v>
      </c>
      <c r="L43" s="711"/>
      <c r="M43" s="24">
        <f t="shared" si="17"/>
        <v>1</v>
      </c>
      <c r="N43" s="711"/>
      <c r="O43" s="24">
        <f t="shared" si="18"/>
        <v>1</v>
      </c>
      <c r="P43" s="711"/>
      <c r="Q43" s="24">
        <f t="shared" si="19"/>
        <v>1</v>
      </c>
      <c r="R43" s="707">
        <f t="shared" si="20"/>
        <v>0</v>
      </c>
      <c r="S43" s="352">
        <f t="shared" si="11"/>
        <v>0</v>
      </c>
    </row>
    <row r="44" spans="1:19">
      <c r="A44" s="150"/>
      <c r="B44" s="58"/>
      <c r="C44" s="24">
        <f t="shared" si="12"/>
        <v>1</v>
      </c>
      <c r="D44" s="711"/>
      <c r="E44" s="24">
        <f t="shared" si="13"/>
        <v>1</v>
      </c>
      <c r="F44" s="711"/>
      <c r="G44" s="24">
        <f t="shared" si="14"/>
        <v>1</v>
      </c>
      <c r="H44" s="711"/>
      <c r="I44" s="24">
        <f t="shared" si="15"/>
        <v>1</v>
      </c>
      <c r="J44" s="711"/>
      <c r="K44" s="24">
        <f t="shared" si="16"/>
        <v>1</v>
      </c>
      <c r="L44" s="711"/>
      <c r="M44" s="24">
        <f t="shared" si="17"/>
        <v>1</v>
      </c>
      <c r="N44" s="711"/>
      <c r="O44" s="24">
        <f t="shared" si="18"/>
        <v>1</v>
      </c>
      <c r="P44" s="711"/>
      <c r="Q44" s="24">
        <f t="shared" si="19"/>
        <v>1</v>
      </c>
      <c r="R44" s="707">
        <f t="shared" si="20"/>
        <v>0</v>
      </c>
      <c r="S44" s="352">
        <f t="shared" si="11"/>
        <v>0</v>
      </c>
    </row>
    <row r="45" spans="1:19">
      <c r="A45" s="150"/>
      <c r="B45" s="58"/>
      <c r="C45" s="24">
        <f t="shared" si="12"/>
        <v>1</v>
      </c>
      <c r="D45" s="711"/>
      <c r="E45" s="24">
        <f t="shared" si="13"/>
        <v>1</v>
      </c>
      <c r="F45" s="711"/>
      <c r="G45" s="24">
        <f t="shared" si="14"/>
        <v>1</v>
      </c>
      <c r="H45" s="711"/>
      <c r="I45" s="24">
        <f t="shared" si="15"/>
        <v>1</v>
      </c>
      <c r="J45" s="711"/>
      <c r="K45" s="24">
        <f t="shared" si="16"/>
        <v>1</v>
      </c>
      <c r="L45" s="711"/>
      <c r="M45" s="24">
        <f t="shared" si="17"/>
        <v>1</v>
      </c>
      <c r="N45" s="711"/>
      <c r="O45" s="24">
        <f t="shared" si="18"/>
        <v>1</v>
      </c>
      <c r="P45" s="711"/>
      <c r="Q45" s="24">
        <f t="shared" si="19"/>
        <v>1</v>
      </c>
      <c r="R45" s="707">
        <f t="shared" si="20"/>
        <v>0</v>
      </c>
      <c r="S45" s="352">
        <f t="shared" si="11"/>
        <v>0</v>
      </c>
    </row>
    <row r="46" spans="1:19">
      <c r="A46" s="150"/>
      <c r="B46" s="58"/>
      <c r="C46" s="24">
        <f t="shared" si="12"/>
        <v>1</v>
      </c>
      <c r="D46" s="711"/>
      <c r="E46" s="24">
        <f t="shared" si="13"/>
        <v>1</v>
      </c>
      <c r="F46" s="711"/>
      <c r="G46" s="24">
        <f t="shared" si="14"/>
        <v>1</v>
      </c>
      <c r="H46" s="711"/>
      <c r="I46" s="24">
        <f t="shared" si="15"/>
        <v>1</v>
      </c>
      <c r="J46" s="711"/>
      <c r="K46" s="24">
        <f t="shared" si="16"/>
        <v>1</v>
      </c>
      <c r="L46" s="711"/>
      <c r="M46" s="24">
        <f t="shared" si="17"/>
        <v>1</v>
      </c>
      <c r="N46" s="711"/>
      <c r="O46" s="24">
        <f t="shared" si="18"/>
        <v>1</v>
      </c>
      <c r="P46" s="711"/>
      <c r="Q46" s="24">
        <f t="shared" si="19"/>
        <v>1</v>
      </c>
      <c r="R46" s="707">
        <f t="shared" si="20"/>
        <v>0</v>
      </c>
      <c r="S46" s="352">
        <f t="shared" si="11"/>
        <v>0</v>
      </c>
    </row>
    <row r="47" spans="1:19">
      <c r="A47" s="150"/>
      <c r="B47" s="58"/>
      <c r="C47" s="24">
        <f t="shared" si="12"/>
        <v>1</v>
      </c>
      <c r="D47" s="711"/>
      <c r="E47" s="24">
        <f t="shared" si="13"/>
        <v>1</v>
      </c>
      <c r="F47" s="711"/>
      <c r="G47" s="24">
        <f t="shared" si="14"/>
        <v>1</v>
      </c>
      <c r="H47" s="711"/>
      <c r="I47" s="24">
        <f t="shared" si="15"/>
        <v>1</v>
      </c>
      <c r="J47" s="711"/>
      <c r="K47" s="24">
        <f t="shared" si="16"/>
        <v>1</v>
      </c>
      <c r="L47" s="711"/>
      <c r="M47" s="24">
        <f t="shared" si="17"/>
        <v>1</v>
      </c>
      <c r="N47" s="711"/>
      <c r="O47" s="24">
        <f t="shared" si="18"/>
        <v>1</v>
      </c>
      <c r="P47" s="711"/>
      <c r="Q47" s="24">
        <f t="shared" si="19"/>
        <v>1</v>
      </c>
      <c r="R47" s="707">
        <f t="shared" si="20"/>
        <v>0</v>
      </c>
      <c r="S47" s="352">
        <f t="shared" si="11"/>
        <v>0</v>
      </c>
    </row>
    <row r="48" spans="1:19">
      <c r="A48" s="150"/>
      <c r="B48" s="58"/>
      <c r="C48" s="24">
        <f t="shared" si="12"/>
        <v>1</v>
      </c>
      <c r="D48" s="711"/>
      <c r="E48" s="24">
        <f t="shared" si="13"/>
        <v>1</v>
      </c>
      <c r="F48" s="711"/>
      <c r="G48" s="24">
        <f t="shared" si="14"/>
        <v>1</v>
      </c>
      <c r="H48" s="711"/>
      <c r="I48" s="24">
        <f t="shared" si="15"/>
        <v>1</v>
      </c>
      <c r="J48" s="711"/>
      <c r="K48" s="24">
        <f t="shared" si="16"/>
        <v>1</v>
      </c>
      <c r="L48" s="711"/>
      <c r="M48" s="24">
        <f t="shared" si="17"/>
        <v>1</v>
      </c>
      <c r="N48" s="711"/>
      <c r="O48" s="24">
        <f t="shared" si="18"/>
        <v>1</v>
      </c>
      <c r="P48" s="711"/>
      <c r="Q48" s="24">
        <f t="shared" si="19"/>
        <v>1</v>
      </c>
      <c r="R48" s="707">
        <f t="shared" si="20"/>
        <v>0</v>
      </c>
      <c r="S48" s="352">
        <f t="shared" si="11"/>
        <v>0</v>
      </c>
    </row>
    <row r="49" spans="1:19">
      <c r="A49" s="150"/>
      <c r="B49" s="58"/>
      <c r="C49" s="24">
        <f t="shared" si="12"/>
        <v>1</v>
      </c>
      <c r="D49" s="711"/>
      <c r="E49" s="24">
        <f t="shared" si="13"/>
        <v>1</v>
      </c>
      <c r="F49" s="711"/>
      <c r="G49" s="24">
        <f t="shared" si="14"/>
        <v>1</v>
      </c>
      <c r="H49" s="711"/>
      <c r="I49" s="24">
        <f t="shared" si="15"/>
        <v>1</v>
      </c>
      <c r="J49" s="711"/>
      <c r="K49" s="24">
        <f t="shared" si="16"/>
        <v>1</v>
      </c>
      <c r="L49" s="711"/>
      <c r="M49" s="24">
        <f t="shared" si="17"/>
        <v>1</v>
      </c>
      <c r="N49" s="711"/>
      <c r="O49" s="24">
        <f t="shared" si="18"/>
        <v>1</v>
      </c>
      <c r="P49" s="711"/>
      <c r="Q49" s="24">
        <f t="shared" si="19"/>
        <v>1</v>
      </c>
      <c r="R49" s="707">
        <f t="shared" si="20"/>
        <v>0</v>
      </c>
      <c r="S49" s="352">
        <f t="shared" si="11"/>
        <v>0</v>
      </c>
    </row>
    <row r="50" spans="1:19">
      <c r="A50" s="150"/>
      <c r="B50" s="58"/>
      <c r="C50" s="24">
        <f t="shared" si="12"/>
        <v>1</v>
      </c>
      <c r="D50" s="711"/>
      <c r="E50" s="24">
        <f t="shared" si="13"/>
        <v>1</v>
      </c>
      <c r="F50" s="711"/>
      <c r="G50" s="24">
        <f t="shared" si="14"/>
        <v>1</v>
      </c>
      <c r="H50" s="711"/>
      <c r="I50" s="24">
        <f t="shared" si="15"/>
        <v>1</v>
      </c>
      <c r="J50" s="711"/>
      <c r="K50" s="24">
        <f t="shared" si="16"/>
        <v>1</v>
      </c>
      <c r="L50" s="711"/>
      <c r="M50" s="24">
        <f t="shared" si="17"/>
        <v>1</v>
      </c>
      <c r="N50" s="711"/>
      <c r="O50" s="24">
        <f t="shared" si="18"/>
        <v>1</v>
      </c>
      <c r="P50" s="711"/>
      <c r="Q50" s="24">
        <f t="shared" si="19"/>
        <v>1</v>
      </c>
      <c r="R50" s="707">
        <f t="shared" si="20"/>
        <v>0</v>
      </c>
      <c r="S50" s="352">
        <f t="shared" si="11"/>
        <v>0</v>
      </c>
    </row>
    <row r="51" spans="1:19">
      <c r="A51" s="150"/>
      <c r="B51" s="58"/>
      <c r="C51" s="24">
        <f t="shared" si="12"/>
        <v>1</v>
      </c>
      <c r="D51" s="711"/>
      <c r="E51" s="24">
        <f t="shared" si="13"/>
        <v>1</v>
      </c>
      <c r="F51" s="711"/>
      <c r="G51" s="24">
        <f t="shared" si="14"/>
        <v>1</v>
      </c>
      <c r="H51" s="711"/>
      <c r="I51" s="24">
        <f t="shared" si="15"/>
        <v>1</v>
      </c>
      <c r="J51" s="711"/>
      <c r="K51" s="24">
        <f t="shared" si="16"/>
        <v>1</v>
      </c>
      <c r="L51" s="711"/>
      <c r="M51" s="24">
        <f t="shared" si="17"/>
        <v>1</v>
      </c>
      <c r="N51" s="711"/>
      <c r="O51" s="24">
        <f t="shared" si="18"/>
        <v>1</v>
      </c>
      <c r="P51" s="711"/>
      <c r="Q51" s="24">
        <f t="shared" si="19"/>
        <v>1</v>
      </c>
      <c r="R51" s="707">
        <f t="shared" si="20"/>
        <v>0</v>
      </c>
      <c r="S51" s="352">
        <f t="shared" si="11"/>
        <v>0</v>
      </c>
    </row>
    <row r="52" spans="1:19">
      <c r="A52" s="150"/>
      <c r="B52" s="58"/>
      <c r="C52" s="24">
        <f t="shared" si="12"/>
        <v>1</v>
      </c>
      <c r="D52" s="711"/>
      <c r="E52" s="24">
        <f t="shared" si="13"/>
        <v>1</v>
      </c>
      <c r="F52" s="711"/>
      <c r="G52" s="24">
        <f t="shared" si="14"/>
        <v>1</v>
      </c>
      <c r="H52" s="711"/>
      <c r="I52" s="24">
        <f t="shared" si="15"/>
        <v>1</v>
      </c>
      <c r="J52" s="711"/>
      <c r="K52" s="24">
        <f t="shared" si="16"/>
        <v>1</v>
      </c>
      <c r="L52" s="711"/>
      <c r="M52" s="24">
        <f t="shared" si="17"/>
        <v>1</v>
      </c>
      <c r="N52" s="711"/>
      <c r="O52" s="24">
        <f t="shared" si="18"/>
        <v>1</v>
      </c>
      <c r="P52" s="711"/>
      <c r="Q52" s="24">
        <f t="shared" si="19"/>
        <v>1</v>
      </c>
      <c r="R52" s="707">
        <f t="shared" si="20"/>
        <v>0</v>
      </c>
      <c r="S52" s="352">
        <f t="shared" si="11"/>
        <v>0</v>
      </c>
    </row>
    <row r="53" spans="1:19">
      <c r="A53" s="150"/>
      <c r="B53" s="58"/>
      <c r="C53" s="24">
        <f t="shared" si="12"/>
        <v>1</v>
      </c>
      <c r="D53" s="711"/>
      <c r="E53" s="24">
        <f t="shared" si="13"/>
        <v>1</v>
      </c>
      <c r="F53" s="711"/>
      <c r="G53" s="24">
        <f t="shared" si="14"/>
        <v>1</v>
      </c>
      <c r="H53" s="711"/>
      <c r="I53" s="24">
        <f t="shared" si="15"/>
        <v>1</v>
      </c>
      <c r="J53" s="711"/>
      <c r="K53" s="24">
        <f t="shared" si="16"/>
        <v>1</v>
      </c>
      <c r="L53" s="711"/>
      <c r="M53" s="24">
        <f t="shared" si="17"/>
        <v>1</v>
      </c>
      <c r="N53" s="711"/>
      <c r="O53" s="24">
        <f t="shared" si="18"/>
        <v>1</v>
      </c>
      <c r="P53" s="711"/>
      <c r="Q53" s="24">
        <f t="shared" si="19"/>
        <v>1</v>
      </c>
      <c r="R53" s="707">
        <f t="shared" si="20"/>
        <v>0</v>
      </c>
      <c r="S53" s="352">
        <f t="shared" si="11"/>
        <v>0</v>
      </c>
    </row>
    <row r="54" spans="1:19">
      <c r="A54" s="150"/>
      <c r="B54" s="58"/>
      <c r="C54" s="24">
        <f t="shared" si="12"/>
        <v>1</v>
      </c>
      <c r="D54" s="711"/>
      <c r="E54" s="24">
        <f t="shared" si="13"/>
        <v>1</v>
      </c>
      <c r="F54" s="711"/>
      <c r="G54" s="24">
        <f t="shared" si="14"/>
        <v>1</v>
      </c>
      <c r="H54" s="711"/>
      <c r="I54" s="24">
        <f t="shared" si="15"/>
        <v>1</v>
      </c>
      <c r="J54" s="711"/>
      <c r="K54" s="24">
        <f t="shared" si="16"/>
        <v>1</v>
      </c>
      <c r="L54" s="711"/>
      <c r="M54" s="24">
        <f t="shared" si="17"/>
        <v>1</v>
      </c>
      <c r="N54" s="711"/>
      <c r="O54" s="24">
        <f t="shared" si="18"/>
        <v>1</v>
      </c>
      <c r="P54" s="711"/>
      <c r="Q54" s="24">
        <f t="shared" si="19"/>
        <v>1</v>
      </c>
      <c r="R54" s="707">
        <f t="shared" si="20"/>
        <v>0</v>
      </c>
      <c r="S54" s="352">
        <f t="shared" si="11"/>
        <v>0</v>
      </c>
    </row>
    <row r="55" spans="1:19">
      <c r="A55" s="150"/>
      <c r="B55" s="58"/>
      <c r="C55" s="24">
        <f t="shared" si="12"/>
        <v>1</v>
      </c>
      <c r="D55" s="711"/>
      <c r="E55" s="24">
        <f t="shared" si="13"/>
        <v>1</v>
      </c>
      <c r="F55" s="711"/>
      <c r="G55" s="24">
        <f t="shared" si="14"/>
        <v>1</v>
      </c>
      <c r="H55" s="711"/>
      <c r="I55" s="24">
        <f t="shared" si="15"/>
        <v>1</v>
      </c>
      <c r="J55" s="711"/>
      <c r="K55" s="24">
        <f t="shared" si="16"/>
        <v>1</v>
      </c>
      <c r="L55" s="711"/>
      <c r="M55" s="24">
        <f t="shared" si="17"/>
        <v>1</v>
      </c>
      <c r="N55" s="711"/>
      <c r="O55" s="24">
        <f t="shared" si="18"/>
        <v>1</v>
      </c>
      <c r="P55" s="711"/>
      <c r="Q55" s="24">
        <f t="shared" si="19"/>
        <v>1</v>
      </c>
      <c r="R55" s="707">
        <f t="shared" si="20"/>
        <v>0</v>
      </c>
      <c r="S55" s="352">
        <f t="shared" ref="S55:S77" si="21">ROUND(R55*B55/10000,0)</f>
        <v>0</v>
      </c>
    </row>
    <row r="56" spans="1:19">
      <c r="A56" s="150"/>
      <c r="B56" s="58"/>
      <c r="C56" s="24">
        <f t="shared" si="12"/>
        <v>1</v>
      </c>
      <c r="D56" s="711"/>
      <c r="E56" s="24">
        <f t="shared" si="13"/>
        <v>1</v>
      </c>
      <c r="F56" s="711"/>
      <c r="G56" s="24">
        <f t="shared" si="14"/>
        <v>1</v>
      </c>
      <c r="H56" s="711"/>
      <c r="I56" s="24">
        <f t="shared" si="15"/>
        <v>1</v>
      </c>
      <c r="J56" s="711"/>
      <c r="K56" s="24">
        <f t="shared" si="16"/>
        <v>1</v>
      </c>
      <c r="L56" s="711"/>
      <c r="M56" s="24">
        <f t="shared" si="17"/>
        <v>1</v>
      </c>
      <c r="N56" s="711"/>
      <c r="O56" s="24">
        <f t="shared" si="18"/>
        <v>1</v>
      </c>
      <c r="P56" s="711"/>
      <c r="Q56" s="24">
        <f t="shared" si="19"/>
        <v>1</v>
      </c>
      <c r="R56" s="707">
        <f t="shared" si="20"/>
        <v>0</v>
      </c>
      <c r="S56" s="352">
        <f t="shared" si="21"/>
        <v>0</v>
      </c>
    </row>
    <row r="57" spans="1:19">
      <c r="A57" s="150"/>
      <c r="B57" s="58"/>
      <c r="C57" s="24">
        <f t="shared" si="12"/>
        <v>1</v>
      </c>
      <c r="D57" s="711"/>
      <c r="E57" s="24">
        <f t="shared" si="13"/>
        <v>1</v>
      </c>
      <c r="F57" s="711"/>
      <c r="G57" s="24">
        <f t="shared" si="14"/>
        <v>1</v>
      </c>
      <c r="H57" s="711"/>
      <c r="I57" s="24">
        <f t="shared" si="15"/>
        <v>1</v>
      </c>
      <c r="J57" s="711"/>
      <c r="K57" s="24">
        <f t="shared" si="16"/>
        <v>1</v>
      </c>
      <c r="L57" s="711"/>
      <c r="M57" s="24">
        <f t="shared" si="17"/>
        <v>1</v>
      </c>
      <c r="N57" s="711"/>
      <c r="O57" s="24">
        <f t="shared" si="18"/>
        <v>1</v>
      </c>
      <c r="P57" s="711"/>
      <c r="Q57" s="24">
        <f t="shared" si="19"/>
        <v>1</v>
      </c>
      <c r="R57" s="707">
        <f t="shared" si="20"/>
        <v>0</v>
      </c>
      <c r="S57" s="352">
        <f t="shared" si="21"/>
        <v>0</v>
      </c>
    </row>
    <row r="58" spans="1:19">
      <c r="A58" s="150"/>
      <c r="B58" s="58"/>
      <c r="C58" s="24">
        <f t="shared" si="12"/>
        <v>1</v>
      </c>
      <c r="D58" s="711"/>
      <c r="E58" s="24">
        <f t="shared" si="13"/>
        <v>1</v>
      </c>
      <c r="F58" s="711"/>
      <c r="G58" s="24">
        <f t="shared" si="14"/>
        <v>1</v>
      </c>
      <c r="H58" s="711"/>
      <c r="I58" s="24">
        <f t="shared" si="15"/>
        <v>1</v>
      </c>
      <c r="J58" s="711"/>
      <c r="K58" s="24">
        <f t="shared" si="16"/>
        <v>1</v>
      </c>
      <c r="L58" s="711"/>
      <c r="M58" s="24">
        <f t="shared" si="17"/>
        <v>1</v>
      </c>
      <c r="N58" s="711"/>
      <c r="O58" s="24">
        <f t="shared" si="18"/>
        <v>1</v>
      </c>
      <c r="P58" s="711"/>
      <c r="Q58" s="24">
        <f t="shared" si="19"/>
        <v>1</v>
      </c>
      <c r="R58" s="707">
        <f t="shared" si="20"/>
        <v>0</v>
      </c>
      <c r="S58" s="352">
        <f t="shared" si="21"/>
        <v>0</v>
      </c>
    </row>
    <row r="59" spans="1:19">
      <c r="A59" s="150"/>
      <c r="B59" s="58"/>
      <c r="C59" s="24">
        <f t="shared" si="12"/>
        <v>1</v>
      </c>
      <c r="D59" s="711"/>
      <c r="E59" s="24">
        <f t="shared" si="13"/>
        <v>1</v>
      </c>
      <c r="F59" s="711"/>
      <c r="G59" s="24">
        <f t="shared" si="14"/>
        <v>1</v>
      </c>
      <c r="H59" s="711"/>
      <c r="I59" s="24">
        <f t="shared" si="15"/>
        <v>1</v>
      </c>
      <c r="J59" s="711"/>
      <c r="K59" s="24">
        <f t="shared" si="16"/>
        <v>1</v>
      </c>
      <c r="L59" s="711"/>
      <c r="M59" s="24">
        <f t="shared" si="17"/>
        <v>1</v>
      </c>
      <c r="N59" s="711"/>
      <c r="O59" s="24">
        <f t="shared" si="18"/>
        <v>1</v>
      </c>
      <c r="P59" s="711"/>
      <c r="Q59" s="24">
        <f t="shared" si="19"/>
        <v>1</v>
      </c>
      <c r="R59" s="707">
        <f t="shared" si="20"/>
        <v>0</v>
      </c>
      <c r="S59" s="352">
        <f t="shared" si="21"/>
        <v>0</v>
      </c>
    </row>
    <row r="60" spans="1:19">
      <c r="A60" s="150"/>
      <c r="B60" s="58"/>
      <c r="C60" s="24">
        <f t="shared" si="12"/>
        <v>1</v>
      </c>
      <c r="D60" s="711"/>
      <c r="E60" s="24">
        <f t="shared" si="13"/>
        <v>1</v>
      </c>
      <c r="F60" s="711"/>
      <c r="G60" s="24">
        <f t="shared" si="14"/>
        <v>1</v>
      </c>
      <c r="H60" s="711"/>
      <c r="I60" s="24">
        <f t="shared" si="15"/>
        <v>1</v>
      </c>
      <c r="J60" s="711"/>
      <c r="K60" s="24">
        <f t="shared" si="16"/>
        <v>1</v>
      </c>
      <c r="L60" s="711"/>
      <c r="M60" s="24">
        <f t="shared" si="17"/>
        <v>1</v>
      </c>
      <c r="N60" s="711"/>
      <c r="O60" s="24">
        <f t="shared" si="18"/>
        <v>1</v>
      </c>
      <c r="P60" s="711"/>
      <c r="Q60" s="24">
        <f t="shared" si="19"/>
        <v>1</v>
      </c>
      <c r="R60" s="707">
        <f t="shared" si="20"/>
        <v>0</v>
      </c>
      <c r="S60" s="352">
        <f t="shared" si="21"/>
        <v>0</v>
      </c>
    </row>
    <row r="61" spans="1:19">
      <c r="A61" s="150"/>
      <c r="B61" s="58"/>
      <c r="C61" s="24">
        <f t="shared" si="12"/>
        <v>1</v>
      </c>
      <c r="D61" s="711"/>
      <c r="E61" s="24">
        <f t="shared" si="13"/>
        <v>1</v>
      </c>
      <c r="F61" s="711"/>
      <c r="G61" s="24">
        <f t="shared" si="14"/>
        <v>1</v>
      </c>
      <c r="H61" s="711"/>
      <c r="I61" s="24">
        <f t="shared" si="15"/>
        <v>1</v>
      </c>
      <c r="J61" s="711"/>
      <c r="K61" s="24">
        <f t="shared" si="16"/>
        <v>1</v>
      </c>
      <c r="L61" s="711"/>
      <c r="M61" s="24">
        <f t="shared" si="17"/>
        <v>1</v>
      </c>
      <c r="N61" s="711"/>
      <c r="O61" s="24">
        <f t="shared" si="18"/>
        <v>1</v>
      </c>
      <c r="P61" s="711"/>
      <c r="Q61" s="24">
        <f t="shared" si="19"/>
        <v>1</v>
      </c>
      <c r="R61" s="707">
        <f t="shared" si="20"/>
        <v>0</v>
      </c>
      <c r="S61" s="352">
        <f t="shared" si="21"/>
        <v>0</v>
      </c>
    </row>
    <row r="62" spans="1:19">
      <c r="A62" s="150"/>
      <c r="B62" s="58"/>
      <c r="C62" s="24">
        <f t="shared" si="12"/>
        <v>1</v>
      </c>
      <c r="D62" s="711"/>
      <c r="E62" s="24">
        <f t="shared" si="13"/>
        <v>1</v>
      </c>
      <c r="F62" s="711"/>
      <c r="G62" s="24">
        <f t="shared" si="14"/>
        <v>1</v>
      </c>
      <c r="H62" s="711"/>
      <c r="I62" s="24">
        <f t="shared" si="15"/>
        <v>1</v>
      </c>
      <c r="J62" s="711"/>
      <c r="K62" s="24">
        <f t="shared" si="16"/>
        <v>1</v>
      </c>
      <c r="L62" s="711"/>
      <c r="M62" s="24">
        <f t="shared" si="17"/>
        <v>1</v>
      </c>
      <c r="N62" s="711"/>
      <c r="O62" s="24">
        <f t="shared" si="18"/>
        <v>1</v>
      </c>
      <c r="P62" s="711"/>
      <c r="Q62" s="24">
        <f t="shared" si="19"/>
        <v>1</v>
      </c>
      <c r="R62" s="707">
        <f t="shared" si="20"/>
        <v>0</v>
      </c>
      <c r="S62" s="352">
        <f t="shared" si="21"/>
        <v>0</v>
      </c>
    </row>
    <row r="63" spans="1:19">
      <c r="A63" s="150"/>
      <c r="B63" s="58"/>
      <c r="C63" s="24">
        <f t="shared" si="12"/>
        <v>1</v>
      </c>
      <c r="D63" s="711"/>
      <c r="E63" s="24">
        <f t="shared" si="13"/>
        <v>1</v>
      </c>
      <c r="F63" s="711"/>
      <c r="G63" s="24">
        <f t="shared" si="14"/>
        <v>1</v>
      </c>
      <c r="H63" s="711"/>
      <c r="I63" s="24">
        <f t="shared" si="15"/>
        <v>1</v>
      </c>
      <c r="J63" s="711"/>
      <c r="K63" s="24">
        <f t="shared" si="16"/>
        <v>1</v>
      </c>
      <c r="L63" s="711"/>
      <c r="M63" s="24">
        <f t="shared" si="17"/>
        <v>1</v>
      </c>
      <c r="N63" s="711"/>
      <c r="O63" s="24">
        <f t="shared" si="18"/>
        <v>1</v>
      </c>
      <c r="P63" s="711"/>
      <c r="Q63" s="24">
        <f t="shared" si="19"/>
        <v>1</v>
      </c>
      <c r="R63" s="707">
        <f t="shared" si="20"/>
        <v>0</v>
      </c>
      <c r="S63" s="352">
        <f t="shared" si="21"/>
        <v>0</v>
      </c>
    </row>
    <row r="64" spans="1:19">
      <c r="A64" s="150"/>
      <c r="B64" s="58"/>
      <c r="C64" s="24">
        <f t="shared" si="12"/>
        <v>1</v>
      </c>
      <c r="D64" s="711"/>
      <c r="E64" s="24">
        <f t="shared" si="13"/>
        <v>1</v>
      </c>
      <c r="F64" s="711"/>
      <c r="G64" s="24">
        <f t="shared" si="14"/>
        <v>1</v>
      </c>
      <c r="H64" s="711"/>
      <c r="I64" s="24">
        <f t="shared" si="15"/>
        <v>1</v>
      </c>
      <c r="J64" s="711"/>
      <c r="K64" s="24">
        <f t="shared" si="16"/>
        <v>1</v>
      </c>
      <c r="L64" s="711"/>
      <c r="M64" s="24">
        <f t="shared" si="17"/>
        <v>1</v>
      </c>
      <c r="N64" s="711"/>
      <c r="O64" s="24">
        <f t="shared" si="18"/>
        <v>1</v>
      </c>
      <c r="P64" s="711"/>
      <c r="Q64" s="24">
        <f t="shared" si="19"/>
        <v>1</v>
      </c>
      <c r="R64" s="707">
        <f t="shared" si="20"/>
        <v>0</v>
      </c>
      <c r="S64" s="352">
        <f t="shared" si="21"/>
        <v>0</v>
      </c>
    </row>
    <row r="65" spans="1:19">
      <c r="A65" s="150"/>
      <c r="B65" s="58"/>
      <c r="C65" s="24">
        <f t="shared" si="12"/>
        <v>1</v>
      </c>
      <c r="D65" s="711"/>
      <c r="E65" s="24">
        <f t="shared" si="13"/>
        <v>1</v>
      </c>
      <c r="F65" s="711"/>
      <c r="G65" s="24">
        <f t="shared" si="14"/>
        <v>1</v>
      </c>
      <c r="H65" s="711"/>
      <c r="I65" s="24">
        <f t="shared" si="15"/>
        <v>1</v>
      </c>
      <c r="J65" s="711"/>
      <c r="K65" s="24">
        <f t="shared" si="16"/>
        <v>1</v>
      </c>
      <c r="L65" s="711"/>
      <c r="M65" s="24">
        <f t="shared" si="17"/>
        <v>1</v>
      </c>
      <c r="N65" s="711"/>
      <c r="O65" s="24">
        <f t="shared" si="18"/>
        <v>1</v>
      </c>
      <c r="P65" s="711"/>
      <c r="Q65" s="24">
        <f t="shared" si="19"/>
        <v>1</v>
      </c>
      <c r="R65" s="707">
        <f t="shared" si="20"/>
        <v>0</v>
      </c>
      <c r="S65" s="352">
        <f t="shared" si="21"/>
        <v>0</v>
      </c>
    </row>
    <row r="66" spans="1:19">
      <c r="A66" s="150"/>
      <c r="B66" s="58"/>
      <c r="C66" s="24">
        <f t="shared" si="12"/>
        <v>1</v>
      </c>
      <c r="D66" s="711"/>
      <c r="E66" s="24">
        <f t="shared" si="13"/>
        <v>1</v>
      </c>
      <c r="F66" s="711"/>
      <c r="G66" s="24">
        <f t="shared" si="14"/>
        <v>1</v>
      </c>
      <c r="H66" s="711"/>
      <c r="I66" s="24">
        <f t="shared" si="15"/>
        <v>1</v>
      </c>
      <c r="J66" s="711"/>
      <c r="K66" s="24">
        <f t="shared" si="16"/>
        <v>1</v>
      </c>
      <c r="L66" s="711"/>
      <c r="M66" s="24">
        <f t="shared" si="17"/>
        <v>1</v>
      </c>
      <c r="N66" s="711"/>
      <c r="O66" s="24">
        <f t="shared" si="18"/>
        <v>1</v>
      </c>
      <c r="P66" s="711"/>
      <c r="Q66" s="24">
        <f t="shared" si="19"/>
        <v>1</v>
      </c>
      <c r="R66" s="707">
        <f t="shared" si="20"/>
        <v>0</v>
      </c>
      <c r="S66" s="352">
        <f t="shared" si="21"/>
        <v>0</v>
      </c>
    </row>
    <row r="67" spans="1:19">
      <c r="A67" s="150"/>
      <c r="B67" s="58"/>
      <c r="C67" s="24">
        <f t="shared" si="12"/>
        <v>1</v>
      </c>
      <c r="D67" s="711"/>
      <c r="E67" s="24">
        <f t="shared" si="13"/>
        <v>1</v>
      </c>
      <c r="F67" s="711"/>
      <c r="G67" s="24">
        <f t="shared" si="14"/>
        <v>1</v>
      </c>
      <c r="H67" s="711"/>
      <c r="I67" s="24">
        <f t="shared" si="15"/>
        <v>1</v>
      </c>
      <c r="J67" s="711"/>
      <c r="K67" s="24">
        <f t="shared" si="16"/>
        <v>1</v>
      </c>
      <c r="L67" s="711"/>
      <c r="M67" s="24">
        <f t="shared" si="17"/>
        <v>1</v>
      </c>
      <c r="N67" s="711"/>
      <c r="O67" s="24">
        <f t="shared" si="18"/>
        <v>1</v>
      </c>
      <c r="P67" s="711"/>
      <c r="Q67" s="24">
        <f t="shared" si="19"/>
        <v>1</v>
      </c>
      <c r="R67" s="707">
        <f t="shared" si="20"/>
        <v>0</v>
      </c>
      <c r="S67" s="352">
        <f t="shared" si="21"/>
        <v>0</v>
      </c>
    </row>
    <row r="68" spans="1:19">
      <c r="A68" s="150"/>
      <c r="B68" s="58"/>
      <c r="C68" s="24">
        <f t="shared" si="12"/>
        <v>1</v>
      </c>
      <c r="D68" s="711"/>
      <c r="E68" s="24">
        <f t="shared" si="13"/>
        <v>1</v>
      </c>
      <c r="F68" s="711"/>
      <c r="G68" s="24">
        <f t="shared" si="14"/>
        <v>1</v>
      </c>
      <c r="H68" s="711"/>
      <c r="I68" s="24">
        <f t="shared" si="15"/>
        <v>1</v>
      </c>
      <c r="J68" s="711"/>
      <c r="K68" s="24">
        <f t="shared" si="16"/>
        <v>1</v>
      </c>
      <c r="L68" s="711"/>
      <c r="M68" s="24">
        <f t="shared" si="17"/>
        <v>1</v>
      </c>
      <c r="N68" s="711"/>
      <c r="O68" s="24">
        <f t="shared" si="18"/>
        <v>1</v>
      </c>
      <c r="P68" s="711"/>
      <c r="Q68" s="24">
        <f t="shared" si="19"/>
        <v>1</v>
      </c>
      <c r="R68" s="707">
        <f t="shared" si="20"/>
        <v>0</v>
      </c>
      <c r="S68" s="352">
        <f t="shared" si="21"/>
        <v>0</v>
      </c>
    </row>
    <row r="69" spans="1:19">
      <c r="A69" s="150"/>
      <c r="B69" s="58"/>
      <c r="C69" s="24">
        <f t="shared" si="12"/>
        <v>1</v>
      </c>
      <c r="D69" s="711"/>
      <c r="E69" s="24">
        <f t="shared" si="13"/>
        <v>1</v>
      </c>
      <c r="F69" s="711"/>
      <c r="G69" s="24">
        <f t="shared" si="14"/>
        <v>1</v>
      </c>
      <c r="H69" s="711"/>
      <c r="I69" s="24">
        <f t="shared" si="15"/>
        <v>1</v>
      </c>
      <c r="J69" s="711"/>
      <c r="K69" s="24">
        <f t="shared" si="16"/>
        <v>1</v>
      </c>
      <c r="L69" s="711"/>
      <c r="M69" s="24">
        <f t="shared" si="17"/>
        <v>1</v>
      </c>
      <c r="N69" s="711"/>
      <c r="O69" s="24">
        <f t="shared" si="18"/>
        <v>1</v>
      </c>
      <c r="P69" s="711"/>
      <c r="Q69" s="24">
        <f t="shared" si="19"/>
        <v>1</v>
      </c>
      <c r="R69" s="707">
        <f t="shared" si="20"/>
        <v>0</v>
      </c>
      <c r="S69" s="352">
        <f t="shared" si="21"/>
        <v>0</v>
      </c>
    </row>
    <row r="70" spans="1:19">
      <c r="A70" s="150"/>
      <c r="B70" s="58"/>
      <c r="C70" s="24">
        <f t="shared" si="12"/>
        <v>1</v>
      </c>
      <c r="D70" s="711"/>
      <c r="E70" s="24">
        <f t="shared" si="13"/>
        <v>1</v>
      </c>
      <c r="F70" s="711"/>
      <c r="G70" s="24">
        <f t="shared" si="14"/>
        <v>1</v>
      </c>
      <c r="H70" s="711"/>
      <c r="I70" s="24">
        <f t="shared" si="15"/>
        <v>1</v>
      </c>
      <c r="J70" s="711"/>
      <c r="K70" s="24">
        <f t="shared" si="16"/>
        <v>1</v>
      </c>
      <c r="L70" s="711"/>
      <c r="M70" s="24">
        <f t="shared" si="17"/>
        <v>1</v>
      </c>
      <c r="N70" s="711"/>
      <c r="O70" s="24">
        <f t="shared" si="18"/>
        <v>1</v>
      </c>
      <c r="P70" s="711"/>
      <c r="Q70" s="24">
        <f t="shared" si="19"/>
        <v>1</v>
      </c>
      <c r="R70" s="707">
        <f t="shared" si="20"/>
        <v>0</v>
      </c>
      <c r="S70" s="352">
        <f t="shared" si="21"/>
        <v>0</v>
      </c>
    </row>
    <row r="71" spans="1:19">
      <c r="A71" s="150"/>
      <c r="B71" s="58"/>
      <c r="C71" s="24">
        <f t="shared" si="12"/>
        <v>1</v>
      </c>
      <c r="D71" s="711"/>
      <c r="E71" s="24">
        <f t="shared" si="13"/>
        <v>1</v>
      </c>
      <c r="F71" s="711"/>
      <c r="G71" s="24">
        <f t="shared" si="14"/>
        <v>1</v>
      </c>
      <c r="H71" s="711"/>
      <c r="I71" s="24">
        <f t="shared" si="15"/>
        <v>1</v>
      </c>
      <c r="J71" s="711"/>
      <c r="K71" s="24">
        <f t="shared" si="16"/>
        <v>1</v>
      </c>
      <c r="L71" s="711"/>
      <c r="M71" s="24">
        <f t="shared" si="17"/>
        <v>1</v>
      </c>
      <c r="N71" s="711"/>
      <c r="O71" s="24">
        <f t="shared" si="18"/>
        <v>1</v>
      </c>
      <c r="P71" s="711"/>
      <c r="Q71" s="24">
        <f t="shared" si="19"/>
        <v>1</v>
      </c>
      <c r="R71" s="707">
        <f t="shared" si="20"/>
        <v>0</v>
      </c>
      <c r="S71" s="352">
        <f t="shared" si="21"/>
        <v>0</v>
      </c>
    </row>
    <row r="72" spans="1:19">
      <c r="A72" s="150"/>
      <c r="B72" s="58"/>
      <c r="C72" s="24">
        <f t="shared" si="12"/>
        <v>1</v>
      </c>
      <c r="D72" s="711"/>
      <c r="E72" s="24">
        <f t="shared" si="13"/>
        <v>1</v>
      </c>
      <c r="F72" s="711"/>
      <c r="G72" s="24">
        <f t="shared" si="14"/>
        <v>1</v>
      </c>
      <c r="H72" s="711"/>
      <c r="I72" s="24">
        <f t="shared" si="15"/>
        <v>1</v>
      </c>
      <c r="J72" s="711"/>
      <c r="K72" s="24">
        <f t="shared" si="16"/>
        <v>1</v>
      </c>
      <c r="L72" s="711"/>
      <c r="M72" s="24">
        <f t="shared" si="17"/>
        <v>1</v>
      </c>
      <c r="N72" s="711"/>
      <c r="O72" s="24">
        <f t="shared" si="18"/>
        <v>1</v>
      </c>
      <c r="P72" s="711"/>
      <c r="Q72" s="24">
        <f t="shared" si="19"/>
        <v>1</v>
      </c>
      <c r="R72" s="707">
        <f t="shared" si="20"/>
        <v>0</v>
      </c>
      <c r="S72" s="352">
        <f t="shared" si="21"/>
        <v>0</v>
      </c>
    </row>
    <row r="73" spans="1:19">
      <c r="A73" s="150"/>
      <c r="B73" s="58"/>
      <c r="C73" s="24">
        <f t="shared" si="12"/>
        <v>1</v>
      </c>
      <c r="D73" s="711"/>
      <c r="E73" s="24">
        <f t="shared" si="13"/>
        <v>1</v>
      </c>
      <c r="F73" s="711"/>
      <c r="G73" s="24">
        <f t="shared" si="14"/>
        <v>1</v>
      </c>
      <c r="H73" s="711"/>
      <c r="I73" s="24">
        <f t="shared" si="15"/>
        <v>1</v>
      </c>
      <c r="J73" s="711"/>
      <c r="K73" s="24">
        <f t="shared" si="16"/>
        <v>1</v>
      </c>
      <c r="L73" s="711"/>
      <c r="M73" s="24">
        <f t="shared" si="17"/>
        <v>1</v>
      </c>
      <c r="N73" s="711"/>
      <c r="O73" s="24">
        <f t="shared" si="18"/>
        <v>1</v>
      </c>
      <c r="P73" s="711"/>
      <c r="Q73" s="24">
        <f t="shared" si="19"/>
        <v>1</v>
      </c>
      <c r="R73" s="707">
        <f t="shared" si="20"/>
        <v>0</v>
      </c>
      <c r="S73" s="352">
        <f t="shared" si="21"/>
        <v>0</v>
      </c>
    </row>
    <row r="74" spans="1:19">
      <c r="A74" s="150"/>
      <c r="B74" s="58"/>
      <c r="C74" s="24">
        <f t="shared" si="12"/>
        <v>1</v>
      </c>
      <c r="D74" s="711"/>
      <c r="E74" s="24">
        <f t="shared" si="13"/>
        <v>1</v>
      </c>
      <c r="F74" s="711"/>
      <c r="G74" s="24">
        <f t="shared" si="14"/>
        <v>1</v>
      </c>
      <c r="H74" s="711"/>
      <c r="I74" s="24">
        <f t="shared" si="15"/>
        <v>1</v>
      </c>
      <c r="J74" s="711"/>
      <c r="K74" s="24">
        <f t="shared" si="16"/>
        <v>1</v>
      </c>
      <c r="L74" s="711"/>
      <c r="M74" s="24">
        <f t="shared" si="17"/>
        <v>1</v>
      </c>
      <c r="N74" s="711"/>
      <c r="O74" s="24">
        <f t="shared" si="18"/>
        <v>1</v>
      </c>
      <c r="P74" s="711"/>
      <c r="Q74" s="24">
        <f t="shared" si="19"/>
        <v>1</v>
      </c>
      <c r="R74" s="707">
        <f t="shared" si="20"/>
        <v>0</v>
      </c>
      <c r="S74" s="352">
        <f t="shared" si="21"/>
        <v>0</v>
      </c>
    </row>
    <row r="75" spans="1:19">
      <c r="A75" s="150"/>
      <c r="B75" s="58"/>
      <c r="C75" s="24">
        <f t="shared" si="12"/>
        <v>1</v>
      </c>
      <c r="D75" s="711"/>
      <c r="E75" s="24">
        <f t="shared" si="13"/>
        <v>1</v>
      </c>
      <c r="F75" s="711"/>
      <c r="G75" s="24">
        <f t="shared" si="14"/>
        <v>1</v>
      </c>
      <c r="H75" s="711"/>
      <c r="I75" s="24">
        <f t="shared" si="15"/>
        <v>1</v>
      </c>
      <c r="J75" s="711"/>
      <c r="K75" s="24">
        <f t="shared" si="16"/>
        <v>1</v>
      </c>
      <c r="L75" s="711"/>
      <c r="M75" s="24">
        <f t="shared" si="17"/>
        <v>1</v>
      </c>
      <c r="N75" s="711"/>
      <c r="O75" s="24">
        <f t="shared" si="18"/>
        <v>1</v>
      </c>
      <c r="P75" s="711"/>
      <c r="Q75" s="24">
        <f t="shared" si="19"/>
        <v>1</v>
      </c>
      <c r="R75" s="707">
        <f t="shared" si="20"/>
        <v>0</v>
      </c>
      <c r="S75" s="352">
        <f t="shared" si="21"/>
        <v>0</v>
      </c>
    </row>
    <row r="76" spans="1:19">
      <c r="A76" s="150"/>
      <c r="B76" s="58"/>
      <c r="C76" s="24">
        <f t="shared" si="12"/>
        <v>1</v>
      </c>
      <c r="D76" s="711"/>
      <c r="E76" s="24">
        <f t="shared" si="13"/>
        <v>1</v>
      </c>
      <c r="F76" s="711"/>
      <c r="G76" s="24">
        <f t="shared" si="14"/>
        <v>1</v>
      </c>
      <c r="H76" s="711"/>
      <c r="I76" s="24">
        <f t="shared" si="15"/>
        <v>1</v>
      </c>
      <c r="J76" s="711"/>
      <c r="K76" s="24">
        <f t="shared" si="16"/>
        <v>1</v>
      </c>
      <c r="L76" s="711"/>
      <c r="M76" s="24">
        <f t="shared" si="17"/>
        <v>1</v>
      </c>
      <c r="N76" s="711"/>
      <c r="O76" s="24">
        <f t="shared" si="18"/>
        <v>1</v>
      </c>
      <c r="P76" s="711"/>
      <c r="Q76" s="24">
        <f t="shared" si="19"/>
        <v>1</v>
      </c>
      <c r="R76" s="707">
        <f t="shared" si="20"/>
        <v>0</v>
      </c>
      <c r="S76" s="352">
        <f t="shared" si="21"/>
        <v>0</v>
      </c>
    </row>
    <row r="77" spans="1:19">
      <c r="A77" s="150"/>
      <c r="B77" s="58"/>
      <c r="C77" s="24">
        <f t="shared" si="12"/>
        <v>1</v>
      </c>
      <c r="D77" s="711"/>
      <c r="E77" s="24">
        <f t="shared" si="13"/>
        <v>1</v>
      </c>
      <c r="F77" s="711"/>
      <c r="G77" s="24">
        <f t="shared" si="14"/>
        <v>1</v>
      </c>
      <c r="H77" s="711"/>
      <c r="I77" s="24">
        <f t="shared" si="15"/>
        <v>1</v>
      </c>
      <c r="J77" s="711"/>
      <c r="K77" s="24">
        <f t="shared" si="16"/>
        <v>1</v>
      </c>
      <c r="L77" s="711"/>
      <c r="M77" s="24">
        <f t="shared" si="17"/>
        <v>1</v>
      </c>
      <c r="N77" s="711"/>
      <c r="O77" s="24">
        <f t="shared" si="18"/>
        <v>1</v>
      </c>
      <c r="P77" s="711"/>
      <c r="Q77" s="24">
        <f t="shared" si="19"/>
        <v>1</v>
      </c>
      <c r="R77" s="707">
        <f t="shared" si="20"/>
        <v>0</v>
      </c>
      <c r="S77" s="352">
        <f t="shared" si="21"/>
        <v>0</v>
      </c>
    </row>
    <row r="78" spans="1:19">
      <c r="A78" s="150"/>
      <c r="B78" s="58"/>
      <c r="C78" s="24">
        <f t="shared" si="12"/>
        <v>1</v>
      </c>
      <c r="D78" s="711"/>
      <c r="E78" s="24">
        <f t="shared" si="13"/>
        <v>1</v>
      </c>
      <c r="F78" s="711"/>
      <c r="G78" s="24">
        <f t="shared" si="14"/>
        <v>1</v>
      </c>
      <c r="H78" s="711"/>
      <c r="I78" s="24">
        <f t="shared" si="15"/>
        <v>1</v>
      </c>
      <c r="J78" s="711"/>
      <c r="K78" s="24">
        <f t="shared" si="16"/>
        <v>1</v>
      </c>
      <c r="L78" s="711"/>
      <c r="M78" s="24">
        <f t="shared" si="17"/>
        <v>1</v>
      </c>
      <c r="N78" s="711"/>
      <c r="O78" s="24">
        <f t="shared" si="18"/>
        <v>1</v>
      </c>
      <c r="P78" s="711"/>
      <c r="Q78" s="24">
        <f t="shared" si="19"/>
        <v>1</v>
      </c>
      <c r="R78" s="707">
        <f t="shared" si="20"/>
        <v>0</v>
      </c>
      <c r="S78" s="352">
        <f t="shared" ref="S78:S122" si="22">ROUND(R78*B78/10000,0)</f>
        <v>0</v>
      </c>
    </row>
    <row r="79" spans="1:19">
      <c r="A79" s="150"/>
      <c r="B79" s="58"/>
      <c r="C79" s="24">
        <f t="shared" si="12"/>
        <v>1</v>
      </c>
      <c r="D79" s="711"/>
      <c r="E79" s="24">
        <f t="shared" si="13"/>
        <v>1</v>
      </c>
      <c r="F79" s="711"/>
      <c r="G79" s="24">
        <f t="shared" si="14"/>
        <v>1</v>
      </c>
      <c r="H79" s="711"/>
      <c r="I79" s="24">
        <f t="shared" si="15"/>
        <v>1</v>
      </c>
      <c r="J79" s="711"/>
      <c r="K79" s="24">
        <f t="shared" si="16"/>
        <v>1</v>
      </c>
      <c r="L79" s="711"/>
      <c r="M79" s="24">
        <f t="shared" si="17"/>
        <v>1</v>
      </c>
      <c r="N79" s="711"/>
      <c r="O79" s="24">
        <f t="shared" si="18"/>
        <v>1</v>
      </c>
      <c r="P79" s="711"/>
      <c r="Q79" s="24">
        <f t="shared" si="19"/>
        <v>1</v>
      </c>
      <c r="R79" s="707">
        <f t="shared" si="20"/>
        <v>0</v>
      </c>
      <c r="S79" s="352">
        <f t="shared" si="22"/>
        <v>0</v>
      </c>
    </row>
    <row r="80" spans="1:19">
      <c r="A80" s="150"/>
      <c r="B80" s="58"/>
      <c r="C80" s="24">
        <f t="shared" si="12"/>
        <v>1</v>
      </c>
      <c r="D80" s="711"/>
      <c r="E80" s="24">
        <f t="shared" si="13"/>
        <v>1</v>
      </c>
      <c r="F80" s="711"/>
      <c r="G80" s="24">
        <f t="shared" si="14"/>
        <v>1</v>
      </c>
      <c r="H80" s="711"/>
      <c r="I80" s="24">
        <f t="shared" si="15"/>
        <v>1</v>
      </c>
      <c r="J80" s="711"/>
      <c r="K80" s="24">
        <f t="shared" si="16"/>
        <v>1</v>
      </c>
      <c r="L80" s="711"/>
      <c r="M80" s="24">
        <f t="shared" si="17"/>
        <v>1</v>
      </c>
      <c r="N80" s="711"/>
      <c r="O80" s="24">
        <f t="shared" si="18"/>
        <v>1</v>
      </c>
      <c r="P80" s="711"/>
      <c r="Q80" s="24">
        <f t="shared" si="19"/>
        <v>1</v>
      </c>
      <c r="R80" s="707">
        <f t="shared" si="20"/>
        <v>0</v>
      </c>
      <c r="S80" s="352">
        <f t="shared" si="22"/>
        <v>0</v>
      </c>
    </row>
    <row r="81" spans="1:19">
      <c r="A81" s="150"/>
      <c r="B81" s="58"/>
      <c r="C81" s="24">
        <f t="shared" si="12"/>
        <v>1</v>
      </c>
      <c r="D81" s="711"/>
      <c r="E81" s="24">
        <f t="shared" si="13"/>
        <v>1</v>
      </c>
      <c r="F81" s="711"/>
      <c r="G81" s="24">
        <f t="shared" si="14"/>
        <v>1</v>
      </c>
      <c r="H81" s="711"/>
      <c r="I81" s="24">
        <f t="shared" si="15"/>
        <v>1</v>
      </c>
      <c r="J81" s="711"/>
      <c r="K81" s="24">
        <f t="shared" si="16"/>
        <v>1</v>
      </c>
      <c r="L81" s="711"/>
      <c r="M81" s="24">
        <f t="shared" si="17"/>
        <v>1</v>
      </c>
      <c r="N81" s="711"/>
      <c r="O81" s="24">
        <f t="shared" si="18"/>
        <v>1</v>
      </c>
      <c r="P81" s="711"/>
      <c r="Q81" s="24">
        <f t="shared" si="19"/>
        <v>1</v>
      </c>
      <c r="R81" s="707">
        <f t="shared" si="20"/>
        <v>0</v>
      </c>
      <c r="S81" s="352">
        <f t="shared" si="22"/>
        <v>0</v>
      </c>
    </row>
    <row r="82" spans="1:19">
      <c r="A82" s="150"/>
      <c r="B82" s="58"/>
      <c r="C82" s="24">
        <f t="shared" si="12"/>
        <v>1</v>
      </c>
      <c r="D82" s="711"/>
      <c r="E82" s="24">
        <f t="shared" si="13"/>
        <v>1</v>
      </c>
      <c r="F82" s="711"/>
      <c r="G82" s="24">
        <f t="shared" si="14"/>
        <v>1</v>
      </c>
      <c r="H82" s="711"/>
      <c r="I82" s="24">
        <f t="shared" si="15"/>
        <v>1</v>
      </c>
      <c r="J82" s="711"/>
      <c r="K82" s="24">
        <f t="shared" si="16"/>
        <v>1</v>
      </c>
      <c r="L82" s="711"/>
      <c r="M82" s="24">
        <f t="shared" si="17"/>
        <v>1</v>
      </c>
      <c r="N82" s="711"/>
      <c r="O82" s="24">
        <f t="shared" si="18"/>
        <v>1</v>
      </c>
      <c r="P82" s="711"/>
      <c r="Q82" s="24">
        <f t="shared" si="19"/>
        <v>1</v>
      </c>
      <c r="R82" s="707">
        <f t="shared" si="20"/>
        <v>0</v>
      </c>
      <c r="S82" s="352">
        <f t="shared" si="22"/>
        <v>0</v>
      </c>
    </row>
    <row r="83" spans="1:19">
      <c r="A83" s="150"/>
      <c r="B83" s="58"/>
      <c r="C83" s="24">
        <f t="shared" si="12"/>
        <v>1</v>
      </c>
      <c r="D83" s="711"/>
      <c r="E83" s="24">
        <f t="shared" si="13"/>
        <v>1</v>
      </c>
      <c r="F83" s="711"/>
      <c r="G83" s="24">
        <f t="shared" si="14"/>
        <v>1</v>
      </c>
      <c r="H83" s="711"/>
      <c r="I83" s="24">
        <f t="shared" si="15"/>
        <v>1</v>
      </c>
      <c r="J83" s="711"/>
      <c r="K83" s="24">
        <f t="shared" si="16"/>
        <v>1</v>
      </c>
      <c r="L83" s="711"/>
      <c r="M83" s="24">
        <f t="shared" si="17"/>
        <v>1</v>
      </c>
      <c r="N83" s="711"/>
      <c r="O83" s="24">
        <f t="shared" si="18"/>
        <v>1</v>
      </c>
      <c r="P83" s="711"/>
      <c r="Q83" s="24">
        <f t="shared" si="19"/>
        <v>1</v>
      </c>
      <c r="R83" s="707">
        <f t="shared" si="20"/>
        <v>0</v>
      </c>
      <c r="S83" s="352">
        <f t="shared" si="22"/>
        <v>0</v>
      </c>
    </row>
    <row r="84" spans="1:19">
      <c r="A84" s="150"/>
      <c r="B84" s="58"/>
      <c r="C84" s="24">
        <f t="shared" si="12"/>
        <v>1</v>
      </c>
      <c r="D84" s="711"/>
      <c r="E84" s="24">
        <f t="shared" si="13"/>
        <v>1</v>
      </c>
      <c r="F84" s="711"/>
      <c r="G84" s="24">
        <f t="shared" si="14"/>
        <v>1</v>
      </c>
      <c r="H84" s="711"/>
      <c r="I84" s="24">
        <f t="shared" si="15"/>
        <v>1</v>
      </c>
      <c r="J84" s="711"/>
      <c r="K84" s="24">
        <f t="shared" si="16"/>
        <v>1</v>
      </c>
      <c r="L84" s="711"/>
      <c r="M84" s="24">
        <f t="shared" si="17"/>
        <v>1</v>
      </c>
      <c r="N84" s="711"/>
      <c r="O84" s="24">
        <f t="shared" si="18"/>
        <v>1</v>
      </c>
      <c r="P84" s="711"/>
      <c r="Q84" s="24">
        <f t="shared" si="19"/>
        <v>1</v>
      </c>
      <c r="R84" s="707">
        <f t="shared" si="20"/>
        <v>0</v>
      </c>
      <c r="S84" s="352">
        <f t="shared" si="22"/>
        <v>0</v>
      </c>
    </row>
    <row r="85" spans="1:19">
      <c r="A85" s="150"/>
      <c r="B85" s="58"/>
      <c r="C85" s="24">
        <f t="shared" si="12"/>
        <v>1</v>
      </c>
      <c r="D85" s="711"/>
      <c r="E85" s="24">
        <f t="shared" si="13"/>
        <v>1</v>
      </c>
      <c r="F85" s="711"/>
      <c r="G85" s="24">
        <f t="shared" si="14"/>
        <v>1</v>
      </c>
      <c r="H85" s="711"/>
      <c r="I85" s="24">
        <f t="shared" si="15"/>
        <v>1</v>
      </c>
      <c r="J85" s="711"/>
      <c r="K85" s="24">
        <f t="shared" si="16"/>
        <v>1</v>
      </c>
      <c r="L85" s="711"/>
      <c r="M85" s="24">
        <f t="shared" si="17"/>
        <v>1</v>
      </c>
      <c r="N85" s="711"/>
      <c r="O85" s="24">
        <f t="shared" si="18"/>
        <v>1</v>
      </c>
      <c r="P85" s="711"/>
      <c r="Q85" s="24">
        <f t="shared" si="19"/>
        <v>1</v>
      </c>
      <c r="R85" s="707">
        <f t="shared" si="20"/>
        <v>0</v>
      </c>
      <c r="S85" s="352">
        <f t="shared" si="22"/>
        <v>0</v>
      </c>
    </row>
    <row r="86" spans="1:19">
      <c r="A86" s="150"/>
      <c r="B86" s="58"/>
      <c r="C86" s="24">
        <f t="shared" si="12"/>
        <v>1</v>
      </c>
      <c r="D86" s="711"/>
      <c r="E86" s="24">
        <f t="shared" si="13"/>
        <v>1</v>
      </c>
      <c r="F86" s="711"/>
      <c r="G86" s="24">
        <f t="shared" si="14"/>
        <v>1</v>
      </c>
      <c r="H86" s="711"/>
      <c r="I86" s="24">
        <f t="shared" si="15"/>
        <v>1</v>
      </c>
      <c r="J86" s="711"/>
      <c r="K86" s="24">
        <f t="shared" si="16"/>
        <v>1</v>
      </c>
      <c r="L86" s="711"/>
      <c r="M86" s="24">
        <f t="shared" si="17"/>
        <v>1</v>
      </c>
      <c r="N86" s="711"/>
      <c r="O86" s="24">
        <f t="shared" si="18"/>
        <v>1</v>
      </c>
      <c r="P86" s="711"/>
      <c r="Q86" s="24">
        <f t="shared" si="19"/>
        <v>1</v>
      </c>
      <c r="R86" s="707">
        <f t="shared" si="20"/>
        <v>0</v>
      </c>
      <c r="S86" s="352">
        <f t="shared" si="22"/>
        <v>0</v>
      </c>
    </row>
    <row r="87" spans="1:19">
      <c r="A87" s="150"/>
      <c r="B87" s="58"/>
      <c r="C87" s="24">
        <f t="shared" si="12"/>
        <v>1</v>
      </c>
      <c r="D87" s="711"/>
      <c r="E87" s="24">
        <f t="shared" si="13"/>
        <v>1</v>
      </c>
      <c r="F87" s="711"/>
      <c r="G87" s="24">
        <f t="shared" si="14"/>
        <v>1</v>
      </c>
      <c r="H87" s="711"/>
      <c r="I87" s="24">
        <f t="shared" si="15"/>
        <v>1</v>
      </c>
      <c r="J87" s="711"/>
      <c r="K87" s="24">
        <f t="shared" si="16"/>
        <v>1</v>
      </c>
      <c r="L87" s="711"/>
      <c r="M87" s="24">
        <f t="shared" si="17"/>
        <v>1</v>
      </c>
      <c r="N87" s="711"/>
      <c r="O87" s="24">
        <f t="shared" si="18"/>
        <v>1</v>
      </c>
      <c r="P87" s="711"/>
      <c r="Q87" s="24">
        <f t="shared" si="19"/>
        <v>1</v>
      </c>
      <c r="R87" s="707">
        <f t="shared" si="20"/>
        <v>0</v>
      </c>
      <c r="S87" s="352">
        <f t="shared" si="22"/>
        <v>0</v>
      </c>
    </row>
    <row r="88" spans="1:19">
      <c r="A88" s="150"/>
      <c r="B88" s="58"/>
      <c r="C88" s="24">
        <f t="shared" si="12"/>
        <v>1</v>
      </c>
      <c r="D88" s="711"/>
      <c r="E88" s="24">
        <f t="shared" si="13"/>
        <v>1</v>
      </c>
      <c r="F88" s="711"/>
      <c r="G88" s="24">
        <f t="shared" si="14"/>
        <v>1</v>
      </c>
      <c r="H88" s="711"/>
      <c r="I88" s="24">
        <f t="shared" si="15"/>
        <v>1</v>
      </c>
      <c r="J88" s="711"/>
      <c r="K88" s="24">
        <f t="shared" si="16"/>
        <v>1</v>
      </c>
      <c r="L88" s="711"/>
      <c r="M88" s="24">
        <f t="shared" si="17"/>
        <v>1</v>
      </c>
      <c r="N88" s="711"/>
      <c r="O88" s="24">
        <f t="shared" si="18"/>
        <v>1</v>
      </c>
      <c r="P88" s="711"/>
      <c r="Q88" s="24">
        <f t="shared" si="19"/>
        <v>1</v>
      </c>
      <c r="R88" s="707">
        <f t="shared" si="20"/>
        <v>0</v>
      </c>
      <c r="S88" s="352">
        <f t="shared" si="22"/>
        <v>0</v>
      </c>
    </row>
    <row r="89" spans="1:19">
      <c r="A89" s="150"/>
      <c r="B89" s="58"/>
      <c r="C89" s="24">
        <f t="shared" si="12"/>
        <v>1</v>
      </c>
      <c r="D89" s="711"/>
      <c r="E89" s="24">
        <f t="shared" si="13"/>
        <v>1</v>
      </c>
      <c r="F89" s="711"/>
      <c r="G89" s="24">
        <f t="shared" si="14"/>
        <v>1</v>
      </c>
      <c r="H89" s="711"/>
      <c r="I89" s="24">
        <f t="shared" si="15"/>
        <v>1</v>
      </c>
      <c r="J89" s="711"/>
      <c r="K89" s="24">
        <f t="shared" si="16"/>
        <v>1</v>
      </c>
      <c r="L89" s="711"/>
      <c r="M89" s="24">
        <f t="shared" si="17"/>
        <v>1</v>
      </c>
      <c r="N89" s="711"/>
      <c r="O89" s="24">
        <f t="shared" si="18"/>
        <v>1</v>
      </c>
      <c r="P89" s="711"/>
      <c r="Q89" s="24">
        <f t="shared" si="19"/>
        <v>1</v>
      </c>
      <c r="R89" s="707">
        <f t="shared" si="20"/>
        <v>0</v>
      </c>
      <c r="S89" s="352">
        <f t="shared" si="22"/>
        <v>0</v>
      </c>
    </row>
    <row r="90" spans="1:19">
      <c r="A90" s="150"/>
      <c r="B90" s="58"/>
      <c r="C90" s="24">
        <f t="shared" ref="C90:C153" si="23">IF(B90="",1,(LOOKUP(B90,$3:$3,$4:$4)-LOOKUP($B$24,$3:$3,$4:$4)+100)/100)</f>
        <v>1</v>
      </c>
      <c r="D90" s="711"/>
      <c r="E90" s="24">
        <f t="shared" ref="E90:E153" si="24">(SUMIF($5:$5,D90,$6:$6)-SUMIF($5:$5,$D$24,$6:$6)+100)/100</f>
        <v>1</v>
      </c>
      <c r="F90" s="711"/>
      <c r="G90" s="24">
        <f t="shared" ref="G90:G153" si="25">(SUMIF($7:$7,F90,$8:$8)-SUMIF($7:$7,$F$24,$8:$8)+100)/100</f>
        <v>1</v>
      </c>
      <c r="H90" s="711"/>
      <c r="I90" s="24">
        <f t="shared" ref="I90:I153" si="26">(SUMIF($9:$9,H90,$10:$10)-SUMIF($9:$9,$H$24,$10:$10)+100)/100</f>
        <v>1</v>
      </c>
      <c r="J90" s="711"/>
      <c r="K90" s="24">
        <f t="shared" ref="K90:K153" si="27">(SUMIF($11:$11,J90,$12:$12)-SUMIF($11:$11,$J$24,$12:$12)+100)/100</f>
        <v>1</v>
      </c>
      <c r="L90" s="711"/>
      <c r="M90" s="24">
        <f t="shared" ref="M90:M153" si="28">(SUMIF($13:$13,L90,$14:$14)-SUMIF($13:$13,$L$24,$14:$14)+100)/100</f>
        <v>1</v>
      </c>
      <c r="N90" s="711"/>
      <c r="O90" s="24">
        <f t="shared" ref="O90:O153" si="29">(SUMIF($15:$15,N90,$16:$16)-SUMIF($15:$15,$N$24,$16:$16)+100)/100</f>
        <v>1</v>
      </c>
      <c r="P90" s="711"/>
      <c r="Q90" s="24">
        <f t="shared" ref="Q90:Q153" si="30">(SUMIF($17:$17,P90,$18:$18)-SUMIF($17:$17,$P$24,$18:$18)+100)/100</f>
        <v>1</v>
      </c>
      <c r="R90" s="707">
        <f t="shared" ref="R90:R153" si="31">IF(B90="",0,ROUND($R$24*C90*E90*G90*I90*K90*M90*O90*Q90,0))</f>
        <v>0</v>
      </c>
      <c r="S90" s="352">
        <f t="shared" si="22"/>
        <v>0</v>
      </c>
    </row>
    <row r="91" spans="1:19">
      <c r="A91" s="150"/>
      <c r="B91" s="58"/>
      <c r="C91" s="24">
        <f t="shared" si="23"/>
        <v>1</v>
      </c>
      <c r="D91" s="711"/>
      <c r="E91" s="24">
        <f t="shared" si="24"/>
        <v>1</v>
      </c>
      <c r="F91" s="711"/>
      <c r="G91" s="24">
        <f t="shared" si="25"/>
        <v>1</v>
      </c>
      <c r="H91" s="711"/>
      <c r="I91" s="24">
        <f t="shared" si="26"/>
        <v>1</v>
      </c>
      <c r="J91" s="711"/>
      <c r="K91" s="24">
        <f t="shared" si="27"/>
        <v>1</v>
      </c>
      <c r="L91" s="711"/>
      <c r="M91" s="24">
        <f t="shared" si="28"/>
        <v>1</v>
      </c>
      <c r="N91" s="711"/>
      <c r="O91" s="24">
        <f t="shared" si="29"/>
        <v>1</v>
      </c>
      <c r="P91" s="711"/>
      <c r="Q91" s="24">
        <f t="shared" si="30"/>
        <v>1</v>
      </c>
      <c r="R91" s="707">
        <f t="shared" si="31"/>
        <v>0</v>
      </c>
      <c r="S91" s="352">
        <f t="shared" si="22"/>
        <v>0</v>
      </c>
    </row>
    <row r="92" spans="1:19">
      <c r="A92" s="150"/>
      <c r="B92" s="58"/>
      <c r="C92" s="24">
        <f t="shared" si="23"/>
        <v>1</v>
      </c>
      <c r="D92" s="711"/>
      <c r="E92" s="24">
        <f t="shared" si="24"/>
        <v>1</v>
      </c>
      <c r="F92" s="711"/>
      <c r="G92" s="24">
        <f t="shared" si="25"/>
        <v>1</v>
      </c>
      <c r="H92" s="711"/>
      <c r="I92" s="24">
        <f t="shared" si="26"/>
        <v>1</v>
      </c>
      <c r="J92" s="711"/>
      <c r="K92" s="24">
        <f t="shared" si="27"/>
        <v>1</v>
      </c>
      <c r="L92" s="711"/>
      <c r="M92" s="24">
        <f t="shared" si="28"/>
        <v>1</v>
      </c>
      <c r="N92" s="711"/>
      <c r="O92" s="24">
        <f t="shared" si="29"/>
        <v>1</v>
      </c>
      <c r="P92" s="711"/>
      <c r="Q92" s="24">
        <f t="shared" si="30"/>
        <v>1</v>
      </c>
      <c r="R92" s="707">
        <f t="shared" si="31"/>
        <v>0</v>
      </c>
      <c r="S92" s="352">
        <f t="shared" si="22"/>
        <v>0</v>
      </c>
    </row>
    <row r="93" spans="1:19">
      <c r="A93" s="150"/>
      <c r="B93" s="58"/>
      <c r="C93" s="24">
        <f t="shared" si="23"/>
        <v>1</v>
      </c>
      <c r="D93" s="711"/>
      <c r="E93" s="24">
        <f t="shared" si="24"/>
        <v>1</v>
      </c>
      <c r="F93" s="711"/>
      <c r="G93" s="24">
        <f t="shared" si="25"/>
        <v>1</v>
      </c>
      <c r="H93" s="711"/>
      <c r="I93" s="24">
        <f t="shared" si="26"/>
        <v>1</v>
      </c>
      <c r="J93" s="711"/>
      <c r="K93" s="24">
        <f t="shared" si="27"/>
        <v>1</v>
      </c>
      <c r="L93" s="711"/>
      <c r="M93" s="24">
        <f t="shared" si="28"/>
        <v>1</v>
      </c>
      <c r="N93" s="711"/>
      <c r="O93" s="24">
        <f t="shared" si="29"/>
        <v>1</v>
      </c>
      <c r="P93" s="711"/>
      <c r="Q93" s="24">
        <f t="shared" si="30"/>
        <v>1</v>
      </c>
      <c r="R93" s="707">
        <f t="shared" si="31"/>
        <v>0</v>
      </c>
      <c r="S93" s="352">
        <f t="shared" si="22"/>
        <v>0</v>
      </c>
    </row>
    <row r="94" spans="1:19">
      <c r="A94" s="150"/>
      <c r="B94" s="58"/>
      <c r="C94" s="24">
        <f t="shared" si="23"/>
        <v>1</v>
      </c>
      <c r="D94" s="711"/>
      <c r="E94" s="24">
        <f t="shared" si="24"/>
        <v>1</v>
      </c>
      <c r="F94" s="711"/>
      <c r="G94" s="24">
        <f t="shared" si="25"/>
        <v>1</v>
      </c>
      <c r="H94" s="711"/>
      <c r="I94" s="24">
        <f t="shared" si="26"/>
        <v>1</v>
      </c>
      <c r="J94" s="711"/>
      <c r="K94" s="24">
        <f t="shared" si="27"/>
        <v>1</v>
      </c>
      <c r="L94" s="711"/>
      <c r="M94" s="24">
        <f t="shared" si="28"/>
        <v>1</v>
      </c>
      <c r="N94" s="711"/>
      <c r="O94" s="24">
        <f t="shared" si="29"/>
        <v>1</v>
      </c>
      <c r="P94" s="711"/>
      <c r="Q94" s="24">
        <f t="shared" si="30"/>
        <v>1</v>
      </c>
      <c r="R94" s="707">
        <f t="shared" si="31"/>
        <v>0</v>
      </c>
      <c r="S94" s="352">
        <f t="shared" si="22"/>
        <v>0</v>
      </c>
    </row>
    <row r="95" spans="1:19">
      <c r="A95" s="150"/>
      <c r="B95" s="58"/>
      <c r="C95" s="24">
        <f t="shared" si="23"/>
        <v>1</v>
      </c>
      <c r="D95" s="711"/>
      <c r="E95" s="24">
        <f t="shared" si="24"/>
        <v>1</v>
      </c>
      <c r="F95" s="711"/>
      <c r="G95" s="24">
        <f t="shared" si="25"/>
        <v>1</v>
      </c>
      <c r="H95" s="711"/>
      <c r="I95" s="24">
        <f t="shared" si="26"/>
        <v>1</v>
      </c>
      <c r="J95" s="711"/>
      <c r="K95" s="24">
        <f t="shared" si="27"/>
        <v>1</v>
      </c>
      <c r="L95" s="711"/>
      <c r="M95" s="24">
        <f t="shared" si="28"/>
        <v>1</v>
      </c>
      <c r="N95" s="711"/>
      <c r="O95" s="24">
        <f t="shared" si="29"/>
        <v>1</v>
      </c>
      <c r="P95" s="711"/>
      <c r="Q95" s="24">
        <f t="shared" si="30"/>
        <v>1</v>
      </c>
      <c r="R95" s="707">
        <f t="shared" si="31"/>
        <v>0</v>
      </c>
      <c r="S95" s="352">
        <f t="shared" si="22"/>
        <v>0</v>
      </c>
    </row>
    <row r="96" spans="1:19">
      <c r="A96" s="150"/>
      <c r="B96" s="58"/>
      <c r="C96" s="24">
        <f t="shared" si="23"/>
        <v>1</v>
      </c>
      <c r="D96" s="711"/>
      <c r="E96" s="24">
        <f t="shared" si="24"/>
        <v>1</v>
      </c>
      <c r="F96" s="711"/>
      <c r="G96" s="24">
        <f t="shared" si="25"/>
        <v>1</v>
      </c>
      <c r="H96" s="711"/>
      <c r="I96" s="24">
        <f t="shared" si="26"/>
        <v>1</v>
      </c>
      <c r="J96" s="711"/>
      <c r="K96" s="24">
        <f t="shared" si="27"/>
        <v>1</v>
      </c>
      <c r="L96" s="711"/>
      <c r="M96" s="24">
        <f t="shared" si="28"/>
        <v>1</v>
      </c>
      <c r="N96" s="711"/>
      <c r="O96" s="24">
        <f t="shared" si="29"/>
        <v>1</v>
      </c>
      <c r="P96" s="711"/>
      <c r="Q96" s="24">
        <f t="shared" si="30"/>
        <v>1</v>
      </c>
      <c r="R96" s="707">
        <f t="shared" si="31"/>
        <v>0</v>
      </c>
      <c r="S96" s="352">
        <f t="shared" si="22"/>
        <v>0</v>
      </c>
    </row>
    <row r="97" spans="1:19">
      <c r="A97" s="150"/>
      <c r="B97" s="58"/>
      <c r="C97" s="24">
        <f t="shared" si="23"/>
        <v>1</v>
      </c>
      <c r="D97" s="711"/>
      <c r="E97" s="24">
        <f t="shared" si="24"/>
        <v>1</v>
      </c>
      <c r="F97" s="711"/>
      <c r="G97" s="24">
        <f t="shared" si="25"/>
        <v>1</v>
      </c>
      <c r="H97" s="711"/>
      <c r="I97" s="24">
        <f t="shared" si="26"/>
        <v>1</v>
      </c>
      <c r="J97" s="711"/>
      <c r="K97" s="24">
        <f t="shared" si="27"/>
        <v>1</v>
      </c>
      <c r="L97" s="711"/>
      <c r="M97" s="24">
        <f t="shared" si="28"/>
        <v>1</v>
      </c>
      <c r="N97" s="711"/>
      <c r="O97" s="24">
        <f t="shared" si="29"/>
        <v>1</v>
      </c>
      <c r="P97" s="711"/>
      <c r="Q97" s="24">
        <f t="shared" si="30"/>
        <v>1</v>
      </c>
      <c r="R97" s="707">
        <f t="shared" si="31"/>
        <v>0</v>
      </c>
      <c r="S97" s="352">
        <f t="shared" si="22"/>
        <v>0</v>
      </c>
    </row>
    <row r="98" spans="1:19">
      <c r="A98" s="150"/>
      <c r="B98" s="58"/>
      <c r="C98" s="24">
        <f t="shared" si="23"/>
        <v>1</v>
      </c>
      <c r="D98" s="711"/>
      <c r="E98" s="24">
        <f t="shared" si="24"/>
        <v>1</v>
      </c>
      <c r="F98" s="711"/>
      <c r="G98" s="24">
        <f t="shared" si="25"/>
        <v>1</v>
      </c>
      <c r="H98" s="711"/>
      <c r="I98" s="24">
        <f t="shared" si="26"/>
        <v>1</v>
      </c>
      <c r="J98" s="711"/>
      <c r="K98" s="24">
        <f t="shared" si="27"/>
        <v>1</v>
      </c>
      <c r="L98" s="711"/>
      <c r="M98" s="24">
        <f t="shared" si="28"/>
        <v>1</v>
      </c>
      <c r="N98" s="711"/>
      <c r="O98" s="24">
        <f t="shared" si="29"/>
        <v>1</v>
      </c>
      <c r="P98" s="711"/>
      <c r="Q98" s="24">
        <f t="shared" si="30"/>
        <v>1</v>
      </c>
      <c r="R98" s="707">
        <f t="shared" si="31"/>
        <v>0</v>
      </c>
      <c r="S98" s="352">
        <f t="shared" si="22"/>
        <v>0</v>
      </c>
    </row>
    <row r="99" spans="1:19">
      <c r="A99" s="150"/>
      <c r="B99" s="58"/>
      <c r="C99" s="24">
        <f t="shared" si="23"/>
        <v>1</v>
      </c>
      <c r="D99" s="711"/>
      <c r="E99" s="24">
        <f t="shared" si="24"/>
        <v>1</v>
      </c>
      <c r="F99" s="711"/>
      <c r="G99" s="24">
        <f t="shared" si="25"/>
        <v>1</v>
      </c>
      <c r="H99" s="711"/>
      <c r="I99" s="24">
        <f t="shared" si="26"/>
        <v>1</v>
      </c>
      <c r="J99" s="711"/>
      <c r="K99" s="24">
        <f t="shared" si="27"/>
        <v>1</v>
      </c>
      <c r="L99" s="711"/>
      <c r="M99" s="24">
        <f t="shared" si="28"/>
        <v>1</v>
      </c>
      <c r="N99" s="711"/>
      <c r="O99" s="24">
        <f t="shared" si="29"/>
        <v>1</v>
      </c>
      <c r="P99" s="711"/>
      <c r="Q99" s="24">
        <f t="shared" si="30"/>
        <v>1</v>
      </c>
      <c r="R99" s="707">
        <f t="shared" si="31"/>
        <v>0</v>
      </c>
      <c r="S99" s="352">
        <f t="shared" si="22"/>
        <v>0</v>
      </c>
    </row>
    <row r="100" spans="1:19">
      <c r="A100" s="150"/>
      <c r="B100" s="58"/>
      <c r="C100" s="24">
        <f t="shared" si="23"/>
        <v>1</v>
      </c>
      <c r="D100" s="711"/>
      <c r="E100" s="24">
        <f t="shared" si="24"/>
        <v>1</v>
      </c>
      <c r="F100" s="711"/>
      <c r="G100" s="24">
        <f t="shared" si="25"/>
        <v>1</v>
      </c>
      <c r="H100" s="711"/>
      <c r="I100" s="24">
        <f t="shared" si="26"/>
        <v>1</v>
      </c>
      <c r="J100" s="711"/>
      <c r="K100" s="24">
        <f t="shared" si="27"/>
        <v>1</v>
      </c>
      <c r="L100" s="711"/>
      <c r="M100" s="24">
        <f t="shared" si="28"/>
        <v>1</v>
      </c>
      <c r="N100" s="711"/>
      <c r="O100" s="24">
        <f t="shared" si="29"/>
        <v>1</v>
      </c>
      <c r="P100" s="711"/>
      <c r="Q100" s="24">
        <f t="shared" si="30"/>
        <v>1</v>
      </c>
      <c r="R100" s="707">
        <f t="shared" si="31"/>
        <v>0</v>
      </c>
      <c r="S100" s="352">
        <f t="shared" si="22"/>
        <v>0</v>
      </c>
    </row>
    <row r="101" spans="1:19">
      <c r="A101" s="150"/>
      <c r="B101" s="58"/>
      <c r="C101" s="24">
        <f t="shared" si="23"/>
        <v>1</v>
      </c>
      <c r="D101" s="711"/>
      <c r="E101" s="24">
        <f t="shared" si="24"/>
        <v>1</v>
      </c>
      <c r="F101" s="711"/>
      <c r="G101" s="24">
        <f t="shared" si="25"/>
        <v>1</v>
      </c>
      <c r="H101" s="711"/>
      <c r="I101" s="24">
        <f t="shared" si="26"/>
        <v>1</v>
      </c>
      <c r="J101" s="711"/>
      <c r="K101" s="24">
        <f t="shared" si="27"/>
        <v>1</v>
      </c>
      <c r="L101" s="711"/>
      <c r="M101" s="24">
        <f t="shared" si="28"/>
        <v>1</v>
      </c>
      <c r="N101" s="711"/>
      <c r="O101" s="24">
        <f t="shared" si="29"/>
        <v>1</v>
      </c>
      <c r="P101" s="711"/>
      <c r="Q101" s="24">
        <f t="shared" si="30"/>
        <v>1</v>
      </c>
      <c r="R101" s="707">
        <f t="shared" si="31"/>
        <v>0</v>
      </c>
      <c r="S101" s="352">
        <f t="shared" si="22"/>
        <v>0</v>
      </c>
    </row>
    <row r="102" spans="1:19">
      <c r="A102" s="150"/>
      <c r="B102" s="58"/>
      <c r="C102" s="24">
        <f t="shared" si="23"/>
        <v>1</v>
      </c>
      <c r="D102" s="711"/>
      <c r="E102" s="24">
        <f t="shared" si="24"/>
        <v>1</v>
      </c>
      <c r="F102" s="711"/>
      <c r="G102" s="24">
        <f t="shared" si="25"/>
        <v>1</v>
      </c>
      <c r="H102" s="711"/>
      <c r="I102" s="24">
        <f t="shared" si="26"/>
        <v>1</v>
      </c>
      <c r="J102" s="711"/>
      <c r="K102" s="24">
        <f t="shared" si="27"/>
        <v>1</v>
      </c>
      <c r="L102" s="711"/>
      <c r="M102" s="24">
        <f t="shared" si="28"/>
        <v>1</v>
      </c>
      <c r="N102" s="711"/>
      <c r="O102" s="24">
        <f t="shared" si="29"/>
        <v>1</v>
      </c>
      <c r="P102" s="711"/>
      <c r="Q102" s="24">
        <f t="shared" si="30"/>
        <v>1</v>
      </c>
      <c r="R102" s="707">
        <f t="shared" si="31"/>
        <v>0</v>
      </c>
      <c r="S102" s="352">
        <f t="shared" si="22"/>
        <v>0</v>
      </c>
    </row>
    <row r="103" spans="1:19">
      <c r="A103" s="150"/>
      <c r="B103" s="58"/>
      <c r="C103" s="24">
        <f t="shared" si="23"/>
        <v>1</v>
      </c>
      <c r="D103" s="711"/>
      <c r="E103" s="24">
        <f t="shared" si="24"/>
        <v>1</v>
      </c>
      <c r="F103" s="711"/>
      <c r="G103" s="24">
        <f t="shared" si="25"/>
        <v>1</v>
      </c>
      <c r="H103" s="711"/>
      <c r="I103" s="24">
        <f t="shared" si="26"/>
        <v>1</v>
      </c>
      <c r="J103" s="711"/>
      <c r="K103" s="24">
        <f t="shared" si="27"/>
        <v>1</v>
      </c>
      <c r="L103" s="711"/>
      <c r="M103" s="24">
        <f t="shared" si="28"/>
        <v>1</v>
      </c>
      <c r="N103" s="711"/>
      <c r="O103" s="24">
        <f t="shared" si="29"/>
        <v>1</v>
      </c>
      <c r="P103" s="711"/>
      <c r="Q103" s="24">
        <f t="shared" si="30"/>
        <v>1</v>
      </c>
      <c r="R103" s="707">
        <f t="shared" si="31"/>
        <v>0</v>
      </c>
      <c r="S103" s="352">
        <f t="shared" si="22"/>
        <v>0</v>
      </c>
    </row>
    <row r="104" spans="1:19">
      <c r="A104" s="150"/>
      <c r="B104" s="58"/>
      <c r="C104" s="24">
        <f t="shared" si="23"/>
        <v>1</v>
      </c>
      <c r="D104" s="711"/>
      <c r="E104" s="24">
        <f t="shared" si="24"/>
        <v>1</v>
      </c>
      <c r="F104" s="711"/>
      <c r="G104" s="24">
        <f t="shared" si="25"/>
        <v>1</v>
      </c>
      <c r="H104" s="711"/>
      <c r="I104" s="24">
        <f t="shared" si="26"/>
        <v>1</v>
      </c>
      <c r="J104" s="711"/>
      <c r="K104" s="24">
        <f t="shared" si="27"/>
        <v>1</v>
      </c>
      <c r="L104" s="711"/>
      <c r="M104" s="24">
        <f t="shared" si="28"/>
        <v>1</v>
      </c>
      <c r="N104" s="711"/>
      <c r="O104" s="24">
        <f t="shared" si="29"/>
        <v>1</v>
      </c>
      <c r="P104" s="711"/>
      <c r="Q104" s="24">
        <f t="shared" si="30"/>
        <v>1</v>
      </c>
      <c r="R104" s="707">
        <f t="shared" si="31"/>
        <v>0</v>
      </c>
      <c r="S104" s="352">
        <f t="shared" si="22"/>
        <v>0</v>
      </c>
    </row>
    <row r="105" spans="1:19">
      <c r="A105" s="150"/>
      <c r="B105" s="58"/>
      <c r="C105" s="24">
        <f t="shared" si="23"/>
        <v>1</v>
      </c>
      <c r="D105" s="711"/>
      <c r="E105" s="24">
        <f t="shared" si="24"/>
        <v>1</v>
      </c>
      <c r="F105" s="711"/>
      <c r="G105" s="24">
        <f t="shared" si="25"/>
        <v>1</v>
      </c>
      <c r="H105" s="711"/>
      <c r="I105" s="24">
        <f t="shared" si="26"/>
        <v>1</v>
      </c>
      <c r="J105" s="711"/>
      <c r="K105" s="24">
        <f t="shared" si="27"/>
        <v>1</v>
      </c>
      <c r="L105" s="711"/>
      <c r="M105" s="24">
        <f t="shared" si="28"/>
        <v>1</v>
      </c>
      <c r="N105" s="711"/>
      <c r="O105" s="24">
        <f t="shared" si="29"/>
        <v>1</v>
      </c>
      <c r="P105" s="711"/>
      <c r="Q105" s="24">
        <f t="shared" si="30"/>
        <v>1</v>
      </c>
      <c r="R105" s="707">
        <f t="shared" si="31"/>
        <v>0</v>
      </c>
      <c r="S105" s="352">
        <f t="shared" si="22"/>
        <v>0</v>
      </c>
    </row>
    <row r="106" spans="1:19">
      <c r="A106" s="150"/>
      <c r="B106" s="58"/>
      <c r="C106" s="24">
        <f t="shared" si="23"/>
        <v>1</v>
      </c>
      <c r="D106" s="711"/>
      <c r="E106" s="24">
        <f t="shared" si="24"/>
        <v>1</v>
      </c>
      <c r="F106" s="711"/>
      <c r="G106" s="24">
        <f t="shared" si="25"/>
        <v>1</v>
      </c>
      <c r="H106" s="711"/>
      <c r="I106" s="24">
        <f t="shared" si="26"/>
        <v>1</v>
      </c>
      <c r="J106" s="711"/>
      <c r="K106" s="24">
        <f t="shared" si="27"/>
        <v>1</v>
      </c>
      <c r="L106" s="711"/>
      <c r="M106" s="24">
        <f t="shared" si="28"/>
        <v>1</v>
      </c>
      <c r="N106" s="711"/>
      <c r="O106" s="24">
        <f t="shared" si="29"/>
        <v>1</v>
      </c>
      <c r="P106" s="711"/>
      <c r="Q106" s="24">
        <f t="shared" si="30"/>
        <v>1</v>
      </c>
      <c r="R106" s="707">
        <f t="shared" si="31"/>
        <v>0</v>
      </c>
      <c r="S106" s="352">
        <f t="shared" si="22"/>
        <v>0</v>
      </c>
    </row>
    <row r="107" spans="1:19">
      <c r="A107" s="150"/>
      <c r="B107" s="58"/>
      <c r="C107" s="24">
        <f t="shared" si="23"/>
        <v>1</v>
      </c>
      <c r="D107" s="711"/>
      <c r="E107" s="24">
        <f t="shared" si="24"/>
        <v>1</v>
      </c>
      <c r="F107" s="711"/>
      <c r="G107" s="24">
        <f t="shared" si="25"/>
        <v>1</v>
      </c>
      <c r="H107" s="711"/>
      <c r="I107" s="24">
        <f t="shared" si="26"/>
        <v>1</v>
      </c>
      <c r="J107" s="711"/>
      <c r="K107" s="24">
        <f t="shared" si="27"/>
        <v>1</v>
      </c>
      <c r="L107" s="711"/>
      <c r="M107" s="24">
        <f t="shared" si="28"/>
        <v>1</v>
      </c>
      <c r="N107" s="711"/>
      <c r="O107" s="24">
        <f t="shared" si="29"/>
        <v>1</v>
      </c>
      <c r="P107" s="711"/>
      <c r="Q107" s="24">
        <f t="shared" si="30"/>
        <v>1</v>
      </c>
      <c r="R107" s="707">
        <f t="shared" si="31"/>
        <v>0</v>
      </c>
      <c r="S107" s="352">
        <f t="shared" si="22"/>
        <v>0</v>
      </c>
    </row>
    <row r="108" spans="1:19">
      <c r="A108" s="150"/>
      <c r="B108" s="58"/>
      <c r="C108" s="24">
        <f t="shared" si="23"/>
        <v>1</v>
      </c>
      <c r="D108" s="711"/>
      <c r="E108" s="24">
        <f t="shared" si="24"/>
        <v>1</v>
      </c>
      <c r="F108" s="711"/>
      <c r="G108" s="24">
        <f t="shared" si="25"/>
        <v>1</v>
      </c>
      <c r="H108" s="711"/>
      <c r="I108" s="24">
        <f t="shared" si="26"/>
        <v>1</v>
      </c>
      <c r="J108" s="711"/>
      <c r="K108" s="24">
        <f t="shared" si="27"/>
        <v>1</v>
      </c>
      <c r="L108" s="711"/>
      <c r="M108" s="24">
        <f t="shared" si="28"/>
        <v>1</v>
      </c>
      <c r="N108" s="711"/>
      <c r="O108" s="24">
        <f t="shared" si="29"/>
        <v>1</v>
      </c>
      <c r="P108" s="711"/>
      <c r="Q108" s="24">
        <f t="shared" si="30"/>
        <v>1</v>
      </c>
      <c r="R108" s="707">
        <f t="shared" si="31"/>
        <v>0</v>
      </c>
      <c r="S108" s="352">
        <f t="shared" si="22"/>
        <v>0</v>
      </c>
    </row>
    <row r="109" spans="1:19">
      <c r="A109" s="150"/>
      <c r="B109" s="58"/>
      <c r="C109" s="24">
        <f t="shared" si="23"/>
        <v>1</v>
      </c>
      <c r="D109" s="711"/>
      <c r="E109" s="24">
        <f t="shared" si="24"/>
        <v>1</v>
      </c>
      <c r="F109" s="711"/>
      <c r="G109" s="24">
        <f t="shared" si="25"/>
        <v>1</v>
      </c>
      <c r="H109" s="711"/>
      <c r="I109" s="24">
        <f t="shared" si="26"/>
        <v>1</v>
      </c>
      <c r="J109" s="711"/>
      <c r="K109" s="24">
        <f t="shared" si="27"/>
        <v>1</v>
      </c>
      <c r="L109" s="711"/>
      <c r="M109" s="24">
        <f t="shared" si="28"/>
        <v>1</v>
      </c>
      <c r="N109" s="711"/>
      <c r="O109" s="24">
        <f t="shared" si="29"/>
        <v>1</v>
      </c>
      <c r="P109" s="711"/>
      <c r="Q109" s="24">
        <f t="shared" si="30"/>
        <v>1</v>
      </c>
      <c r="R109" s="707">
        <f t="shared" si="31"/>
        <v>0</v>
      </c>
      <c r="S109" s="352">
        <f t="shared" si="22"/>
        <v>0</v>
      </c>
    </row>
    <row r="110" spans="1:19">
      <c r="A110" s="150"/>
      <c r="B110" s="58"/>
      <c r="C110" s="24">
        <f t="shared" si="23"/>
        <v>1</v>
      </c>
      <c r="D110" s="711"/>
      <c r="E110" s="24">
        <f t="shared" si="24"/>
        <v>1</v>
      </c>
      <c r="F110" s="711"/>
      <c r="G110" s="24">
        <f t="shared" si="25"/>
        <v>1</v>
      </c>
      <c r="H110" s="711"/>
      <c r="I110" s="24">
        <f t="shared" si="26"/>
        <v>1</v>
      </c>
      <c r="J110" s="711"/>
      <c r="K110" s="24">
        <f t="shared" si="27"/>
        <v>1</v>
      </c>
      <c r="L110" s="711"/>
      <c r="M110" s="24">
        <f t="shared" si="28"/>
        <v>1</v>
      </c>
      <c r="N110" s="711"/>
      <c r="O110" s="24">
        <f t="shared" si="29"/>
        <v>1</v>
      </c>
      <c r="P110" s="711"/>
      <c r="Q110" s="24">
        <f t="shared" si="30"/>
        <v>1</v>
      </c>
      <c r="R110" s="707">
        <f t="shared" si="31"/>
        <v>0</v>
      </c>
      <c r="S110" s="352">
        <f t="shared" si="22"/>
        <v>0</v>
      </c>
    </row>
    <row r="111" spans="1:19">
      <c r="A111" s="150"/>
      <c r="B111" s="58"/>
      <c r="C111" s="24">
        <f t="shared" si="23"/>
        <v>1</v>
      </c>
      <c r="D111" s="711"/>
      <c r="E111" s="24">
        <f t="shared" si="24"/>
        <v>1</v>
      </c>
      <c r="F111" s="711"/>
      <c r="G111" s="24">
        <f t="shared" si="25"/>
        <v>1</v>
      </c>
      <c r="H111" s="711"/>
      <c r="I111" s="24">
        <f t="shared" si="26"/>
        <v>1</v>
      </c>
      <c r="J111" s="711"/>
      <c r="K111" s="24">
        <f t="shared" si="27"/>
        <v>1</v>
      </c>
      <c r="L111" s="711"/>
      <c r="M111" s="24">
        <f t="shared" si="28"/>
        <v>1</v>
      </c>
      <c r="N111" s="711"/>
      <c r="O111" s="24">
        <f t="shared" si="29"/>
        <v>1</v>
      </c>
      <c r="P111" s="711"/>
      <c r="Q111" s="24">
        <f t="shared" si="30"/>
        <v>1</v>
      </c>
      <c r="R111" s="707">
        <f t="shared" si="31"/>
        <v>0</v>
      </c>
      <c r="S111" s="352">
        <f t="shared" si="22"/>
        <v>0</v>
      </c>
    </row>
    <row r="112" spans="1:19">
      <c r="A112" s="150"/>
      <c r="B112" s="58"/>
      <c r="C112" s="24">
        <f t="shared" si="23"/>
        <v>1</v>
      </c>
      <c r="D112" s="711"/>
      <c r="E112" s="24">
        <f t="shared" si="24"/>
        <v>1</v>
      </c>
      <c r="F112" s="711"/>
      <c r="G112" s="24">
        <f t="shared" si="25"/>
        <v>1</v>
      </c>
      <c r="H112" s="711"/>
      <c r="I112" s="24">
        <f t="shared" si="26"/>
        <v>1</v>
      </c>
      <c r="J112" s="711"/>
      <c r="K112" s="24">
        <f t="shared" si="27"/>
        <v>1</v>
      </c>
      <c r="L112" s="711"/>
      <c r="M112" s="24">
        <f t="shared" si="28"/>
        <v>1</v>
      </c>
      <c r="N112" s="711"/>
      <c r="O112" s="24">
        <f t="shared" si="29"/>
        <v>1</v>
      </c>
      <c r="P112" s="711"/>
      <c r="Q112" s="24">
        <f t="shared" si="30"/>
        <v>1</v>
      </c>
      <c r="R112" s="707">
        <f t="shared" si="31"/>
        <v>0</v>
      </c>
      <c r="S112" s="352">
        <f t="shared" si="22"/>
        <v>0</v>
      </c>
    </row>
    <row r="113" spans="1:19">
      <c r="A113" s="150"/>
      <c r="B113" s="58"/>
      <c r="C113" s="24">
        <f t="shared" si="23"/>
        <v>1</v>
      </c>
      <c r="D113" s="711"/>
      <c r="E113" s="24">
        <f t="shared" si="24"/>
        <v>1</v>
      </c>
      <c r="F113" s="711"/>
      <c r="G113" s="24">
        <f t="shared" si="25"/>
        <v>1</v>
      </c>
      <c r="H113" s="711"/>
      <c r="I113" s="24">
        <f t="shared" si="26"/>
        <v>1</v>
      </c>
      <c r="J113" s="711"/>
      <c r="K113" s="24">
        <f t="shared" si="27"/>
        <v>1</v>
      </c>
      <c r="L113" s="711"/>
      <c r="M113" s="24">
        <f t="shared" si="28"/>
        <v>1</v>
      </c>
      <c r="N113" s="711"/>
      <c r="O113" s="24">
        <f t="shared" si="29"/>
        <v>1</v>
      </c>
      <c r="P113" s="711"/>
      <c r="Q113" s="24">
        <f t="shared" si="30"/>
        <v>1</v>
      </c>
      <c r="R113" s="707">
        <f t="shared" si="31"/>
        <v>0</v>
      </c>
      <c r="S113" s="352">
        <f t="shared" si="22"/>
        <v>0</v>
      </c>
    </row>
    <row r="114" spans="1:19">
      <c r="A114" s="150"/>
      <c r="B114" s="58"/>
      <c r="C114" s="24">
        <f t="shared" si="23"/>
        <v>1</v>
      </c>
      <c r="D114" s="711"/>
      <c r="E114" s="24">
        <f t="shared" si="24"/>
        <v>1</v>
      </c>
      <c r="F114" s="711"/>
      <c r="G114" s="24">
        <f t="shared" si="25"/>
        <v>1</v>
      </c>
      <c r="H114" s="711"/>
      <c r="I114" s="24">
        <f t="shared" si="26"/>
        <v>1</v>
      </c>
      <c r="J114" s="711"/>
      <c r="K114" s="24">
        <f t="shared" si="27"/>
        <v>1</v>
      </c>
      <c r="L114" s="711"/>
      <c r="M114" s="24">
        <f t="shared" si="28"/>
        <v>1</v>
      </c>
      <c r="N114" s="711"/>
      <c r="O114" s="24">
        <f t="shared" si="29"/>
        <v>1</v>
      </c>
      <c r="P114" s="711"/>
      <c r="Q114" s="24">
        <f t="shared" si="30"/>
        <v>1</v>
      </c>
      <c r="R114" s="707">
        <f t="shared" si="31"/>
        <v>0</v>
      </c>
      <c r="S114" s="352">
        <f t="shared" si="22"/>
        <v>0</v>
      </c>
    </row>
    <row r="115" spans="1:19">
      <c r="A115" s="150"/>
      <c r="B115" s="58"/>
      <c r="C115" s="24">
        <f t="shared" si="23"/>
        <v>1</v>
      </c>
      <c r="D115" s="711"/>
      <c r="E115" s="24">
        <f t="shared" si="24"/>
        <v>1</v>
      </c>
      <c r="F115" s="711"/>
      <c r="G115" s="24">
        <f t="shared" si="25"/>
        <v>1</v>
      </c>
      <c r="H115" s="711"/>
      <c r="I115" s="24">
        <f t="shared" si="26"/>
        <v>1</v>
      </c>
      <c r="J115" s="711"/>
      <c r="K115" s="24">
        <f t="shared" si="27"/>
        <v>1</v>
      </c>
      <c r="L115" s="711"/>
      <c r="M115" s="24">
        <f t="shared" si="28"/>
        <v>1</v>
      </c>
      <c r="N115" s="711"/>
      <c r="O115" s="24">
        <f t="shared" si="29"/>
        <v>1</v>
      </c>
      <c r="P115" s="711"/>
      <c r="Q115" s="24">
        <f t="shared" si="30"/>
        <v>1</v>
      </c>
      <c r="R115" s="707">
        <f t="shared" si="31"/>
        <v>0</v>
      </c>
      <c r="S115" s="352">
        <f t="shared" si="22"/>
        <v>0</v>
      </c>
    </row>
    <row r="116" spans="1:19">
      <c r="A116" s="150"/>
      <c r="B116" s="58"/>
      <c r="C116" s="24">
        <f t="shared" si="23"/>
        <v>1</v>
      </c>
      <c r="D116" s="711"/>
      <c r="E116" s="24">
        <f t="shared" si="24"/>
        <v>1</v>
      </c>
      <c r="F116" s="711"/>
      <c r="G116" s="24">
        <f t="shared" si="25"/>
        <v>1</v>
      </c>
      <c r="H116" s="711"/>
      <c r="I116" s="24">
        <f t="shared" si="26"/>
        <v>1</v>
      </c>
      <c r="J116" s="711"/>
      <c r="K116" s="24">
        <f t="shared" si="27"/>
        <v>1</v>
      </c>
      <c r="L116" s="711"/>
      <c r="M116" s="24">
        <f t="shared" si="28"/>
        <v>1</v>
      </c>
      <c r="N116" s="711"/>
      <c r="O116" s="24">
        <f t="shared" si="29"/>
        <v>1</v>
      </c>
      <c r="P116" s="711"/>
      <c r="Q116" s="24">
        <f t="shared" si="30"/>
        <v>1</v>
      </c>
      <c r="R116" s="707">
        <f t="shared" si="31"/>
        <v>0</v>
      </c>
      <c r="S116" s="352">
        <f t="shared" si="22"/>
        <v>0</v>
      </c>
    </row>
    <row r="117" spans="1:19">
      <c r="A117" s="150"/>
      <c r="B117" s="58"/>
      <c r="C117" s="24">
        <f t="shared" si="23"/>
        <v>1</v>
      </c>
      <c r="D117" s="711"/>
      <c r="E117" s="24">
        <f t="shared" si="24"/>
        <v>1</v>
      </c>
      <c r="F117" s="711"/>
      <c r="G117" s="24">
        <f t="shared" si="25"/>
        <v>1</v>
      </c>
      <c r="H117" s="711"/>
      <c r="I117" s="24">
        <f t="shared" si="26"/>
        <v>1</v>
      </c>
      <c r="J117" s="711"/>
      <c r="K117" s="24">
        <f t="shared" si="27"/>
        <v>1</v>
      </c>
      <c r="L117" s="711"/>
      <c r="M117" s="24">
        <f t="shared" si="28"/>
        <v>1</v>
      </c>
      <c r="N117" s="711"/>
      <c r="O117" s="24">
        <f t="shared" si="29"/>
        <v>1</v>
      </c>
      <c r="P117" s="711"/>
      <c r="Q117" s="24">
        <f t="shared" si="30"/>
        <v>1</v>
      </c>
      <c r="R117" s="707">
        <f t="shared" si="31"/>
        <v>0</v>
      </c>
      <c r="S117" s="352">
        <f t="shared" si="22"/>
        <v>0</v>
      </c>
    </row>
    <row r="118" spans="1:19">
      <c r="A118" s="150"/>
      <c r="B118" s="58"/>
      <c r="C118" s="24">
        <f t="shared" si="23"/>
        <v>1</v>
      </c>
      <c r="D118" s="711"/>
      <c r="E118" s="24">
        <f t="shared" si="24"/>
        <v>1</v>
      </c>
      <c r="F118" s="711"/>
      <c r="G118" s="24">
        <f t="shared" si="25"/>
        <v>1</v>
      </c>
      <c r="H118" s="711"/>
      <c r="I118" s="24">
        <f t="shared" si="26"/>
        <v>1</v>
      </c>
      <c r="J118" s="711"/>
      <c r="K118" s="24">
        <f t="shared" si="27"/>
        <v>1</v>
      </c>
      <c r="L118" s="711"/>
      <c r="M118" s="24">
        <f t="shared" si="28"/>
        <v>1</v>
      </c>
      <c r="N118" s="711"/>
      <c r="O118" s="24">
        <f t="shared" si="29"/>
        <v>1</v>
      </c>
      <c r="P118" s="711"/>
      <c r="Q118" s="24">
        <f t="shared" si="30"/>
        <v>1</v>
      </c>
      <c r="R118" s="707">
        <f t="shared" si="31"/>
        <v>0</v>
      </c>
      <c r="S118" s="352">
        <f t="shared" si="22"/>
        <v>0</v>
      </c>
    </row>
    <row r="119" spans="1:19">
      <c r="A119" s="150"/>
      <c r="B119" s="58"/>
      <c r="C119" s="24">
        <f t="shared" si="23"/>
        <v>1</v>
      </c>
      <c r="D119" s="711"/>
      <c r="E119" s="24">
        <f t="shared" si="24"/>
        <v>1</v>
      </c>
      <c r="F119" s="711"/>
      <c r="G119" s="24">
        <f t="shared" si="25"/>
        <v>1</v>
      </c>
      <c r="H119" s="711"/>
      <c r="I119" s="24">
        <f t="shared" si="26"/>
        <v>1</v>
      </c>
      <c r="J119" s="711"/>
      <c r="K119" s="24">
        <f t="shared" si="27"/>
        <v>1</v>
      </c>
      <c r="L119" s="711"/>
      <c r="M119" s="24">
        <f t="shared" si="28"/>
        <v>1</v>
      </c>
      <c r="N119" s="711"/>
      <c r="O119" s="24">
        <f t="shared" si="29"/>
        <v>1</v>
      </c>
      <c r="P119" s="711"/>
      <c r="Q119" s="24">
        <f t="shared" si="30"/>
        <v>1</v>
      </c>
      <c r="R119" s="707">
        <f t="shared" si="31"/>
        <v>0</v>
      </c>
      <c r="S119" s="352">
        <f t="shared" si="22"/>
        <v>0</v>
      </c>
    </row>
    <row r="120" spans="1:19">
      <c r="A120" s="150"/>
      <c r="B120" s="58"/>
      <c r="C120" s="24">
        <f t="shared" si="23"/>
        <v>1</v>
      </c>
      <c r="D120" s="711"/>
      <c r="E120" s="24">
        <f t="shared" si="24"/>
        <v>1</v>
      </c>
      <c r="F120" s="711"/>
      <c r="G120" s="24">
        <f t="shared" si="25"/>
        <v>1</v>
      </c>
      <c r="H120" s="711"/>
      <c r="I120" s="24">
        <f t="shared" si="26"/>
        <v>1</v>
      </c>
      <c r="J120" s="711"/>
      <c r="K120" s="24">
        <f t="shared" si="27"/>
        <v>1</v>
      </c>
      <c r="L120" s="711"/>
      <c r="M120" s="24">
        <f t="shared" si="28"/>
        <v>1</v>
      </c>
      <c r="N120" s="711"/>
      <c r="O120" s="24">
        <f t="shared" si="29"/>
        <v>1</v>
      </c>
      <c r="P120" s="711"/>
      <c r="Q120" s="24">
        <f t="shared" si="30"/>
        <v>1</v>
      </c>
      <c r="R120" s="707">
        <f t="shared" si="31"/>
        <v>0</v>
      </c>
      <c r="S120" s="352">
        <f t="shared" si="22"/>
        <v>0</v>
      </c>
    </row>
    <row r="121" spans="1:19">
      <c r="A121" s="150"/>
      <c r="B121" s="58"/>
      <c r="C121" s="24">
        <f t="shared" si="23"/>
        <v>1</v>
      </c>
      <c r="D121" s="711"/>
      <c r="E121" s="24">
        <f t="shared" si="24"/>
        <v>1</v>
      </c>
      <c r="F121" s="711"/>
      <c r="G121" s="24">
        <f t="shared" si="25"/>
        <v>1</v>
      </c>
      <c r="H121" s="711"/>
      <c r="I121" s="24">
        <f t="shared" si="26"/>
        <v>1</v>
      </c>
      <c r="J121" s="711"/>
      <c r="K121" s="24">
        <f t="shared" si="27"/>
        <v>1</v>
      </c>
      <c r="L121" s="711"/>
      <c r="M121" s="24">
        <f t="shared" si="28"/>
        <v>1</v>
      </c>
      <c r="N121" s="711"/>
      <c r="O121" s="24">
        <f t="shared" si="29"/>
        <v>1</v>
      </c>
      <c r="P121" s="711"/>
      <c r="Q121" s="24">
        <f t="shared" si="30"/>
        <v>1</v>
      </c>
      <c r="R121" s="707">
        <f t="shared" si="31"/>
        <v>0</v>
      </c>
      <c r="S121" s="352">
        <f t="shared" si="22"/>
        <v>0</v>
      </c>
    </row>
    <row r="122" spans="1:19">
      <c r="A122" s="150"/>
      <c r="B122" s="58"/>
      <c r="C122" s="24">
        <f t="shared" si="23"/>
        <v>1</v>
      </c>
      <c r="D122" s="711"/>
      <c r="E122" s="24">
        <f t="shared" si="24"/>
        <v>1</v>
      </c>
      <c r="F122" s="711"/>
      <c r="G122" s="24">
        <f t="shared" si="25"/>
        <v>1</v>
      </c>
      <c r="H122" s="711"/>
      <c r="I122" s="24">
        <f t="shared" si="26"/>
        <v>1</v>
      </c>
      <c r="J122" s="711"/>
      <c r="K122" s="24">
        <f t="shared" si="27"/>
        <v>1</v>
      </c>
      <c r="L122" s="711"/>
      <c r="M122" s="24">
        <f t="shared" si="28"/>
        <v>1</v>
      </c>
      <c r="N122" s="711"/>
      <c r="O122" s="24">
        <f t="shared" si="29"/>
        <v>1</v>
      </c>
      <c r="P122" s="711"/>
      <c r="Q122" s="24">
        <f t="shared" si="30"/>
        <v>1</v>
      </c>
      <c r="R122" s="707">
        <f t="shared" si="31"/>
        <v>0</v>
      </c>
      <c r="S122" s="352">
        <f t="shared" si="22"/>
        <v>0</v>
      </c>
    </row>
    <row r="123" spans="1:19">
      <c r="A123" s="150"/>
      <c r="B123" s="58"/>
      <c r="C123" s="24">
        <f t="shared" si="23"/>
        <v>1</v>
      </c>
      <c r="D123" s="711"/>
      <c r="E123" s="24">
        <f t="shared" si="24"/>
        <v>1</v>
      </c>
      <c r="F123" s="711"/>
      <c r="G123" s="24">
        <f t="shared" si="25"/>
        <v>1</v>
      </c>
      <c r="H123" s="711"/>
      <c r="I123" s="24">
        <f t="shared" si="26"/>
        <v>1</v>
      </c>
      <c r="J123" s="711"/>
      <c r="K123" s="24">
        <f t="shared" si="27"/>
        <v>1</v>
      </c>
      <c r="L123" s="711"/>
      <c r="M123" s="24">
        <f t="shared" si="28"/>
        <v>1</v>
      </c>
      <c r="N123" s="711"/>
      <c r="O123" s="24">
        <f t="shared" si="29"/>
        <v>1</v>
      </c>
      <c r="P123" s="711"/>
      <c r="Q123" s="24">
        <f t="shared" si="30"/>
        <v>1</v>
      </c>
      <c r="R123" s="707">
        <f t="shared" si="31"/>
        <v>0</v>
      </c>
      <c r="S123" s="352">
        <f t="shared" ref="S123:S186" si="32">ROUND(R123*B123/10000,0)</f>
        <v>0</v>
      </c>
    </row>
    <row r="124" spans="1:19">
      <c r="A124" s="150"/>
      <c r="B124" s="58"/>
      <c r="C124" s="24">
        <f t="shared" si="23"/>
        <v>1</v>
      </c>
      <c r="D124" s="711"/>
      <c r="E124" s="24">
        <f t="shared" si="24"/>
        <v>1</v>
      </c>
      <c r="F124" s="711"/>
      <c r="G124" s="24">
        <f t="shared" si="25"/>
        <v>1</v>
      </c>
      <c r="H124" s="711"/>
      <c r="I124" s="24">
        <f t="shared" si="26"/>
        <v>1</v>
      </c>
      <c r="J124" s="711"/>
      <c r="K124" s="24">
        <f t="shared" si="27"/>
        <v>1</v>
      </c>
      <c r="L124" s="711"/>
      <c r="M124" s="24">
        <f t="shared" si="28"/>
        <v>1</v>
      </c>
      <c r="N124" s="711"/>
      <c r="O124" s="24">
        <f t="shared" si="29"/>
        <v>1</v>
      </c>
      <c r="P124" s="711"/>
      <c r="Q124" s="24">
        <f t="shared" si="30"/>
        <v>1</v>
      </c>
      <c r="R124" s="707">
        <f t="shared" si="31"/>
        <v>0</v>
      </c>
      <c r="S124" s="352">
        <f t="shared" si="32"/>
        <v>0</v>
      </c>
    </row>
    <row r="125" spans="1:19">
      <c r="A125" s="150"/>
      <c r="B125" s="58"/>
      <c r="C125" s="24">
        <f t="shared" si="23"/>
        <v>1</v>
      </c>
      <c r="D125" s="711"/>
      <c r="E125" s="24">
        <f t="shared" si="24"/>
        <v>1</v>
      </c>
      <c r="F125" s="711"/>
      <c r="G125" s="24">
        <f t="shared" si="25"/>
        <v>1</v>
      </c>
      <c r="H125" s="711"/>
      <c r="I125" s="24">
        <f t="shared" si="26"/>
        <v>1</v>
      </c>
      <c r="J125" s="711"/>
      <c r="K125" s="24">
        <f t="shared" si="27"/>
        <v>1</v>
      </c>
      <c r="L125" s="711"/>
      <c r="M125" s="24">
        <f t="shared" si="28"/>
        <v>1</v>
      </c>
      <c r="N125" s="711"/>
      <c r="O125" s="24">
        <f t="shared" si="29"/>
        <v>1</v>
      </c>
      <c r="P125" s="711"/>
      <c r="Q125" s="24">
        <f t="shared" si="30"/>
        <v>1</v>
      </c>
      <c r="R125" s="707">
        <f t="shared" si="31"/>
        <v>0</v>
      </c>
      <c r="S125" s="352">
        <f t="shared" si="32"/>
        <v>0</v>
      </c>
    </row>
    <row r="126" spans="1:19">
      <c r="A126" s="150"/>
      <c r="B126" s="58"/>
      <c r="C126" s="24">
        <f t="shared" si="23"/>
        <v>1</v>
      </c>
      <c r="D126" s="711"/>
      <c r="E126" s="24">
        <f t="shared" si="24"/>
        <v>1</v>
      </c>
      <c r="F126" s="711"/>
      <c r="G126" s="24">
        <f t="shared" si="25"/>
        <v>1</v>
      </c>
      <c r="H126" s="711"/>
      <c r="I126" s="24">
        <f t="shared" si="26"/>
        <v>1</v>
      </c>
      <c r="J126" s="711"/>
      <c r="K126" s="24">
        <f t="shared" si="27"/>
        <v>1</v>
      </c>
      <c r="L126" s="711"/>
      <c r="M126" s="24">
        <f t="shared" si="28"/>
        <v>1</v>
      </c>
      <c r="N126" s="711"/>
      <c r="O126" s="24">
        <f t="shared" si="29"/>
        <v>1</v>
      </c>
      <c r="P126" s="711"/>
      <c r="Q126" s="24">
        <f t="shared" si="30"/>
        <v>1</v>
      </c>
      <c r="R126" s="707">
        <f t="shared" si="31"/>
        <v>0</v>
      </c>
      <c r="S126" s="352">
        <f t="shared" si="32"/>
        <v>0</v>
      </c>
    </row>
    <row r="127" spans="1:19">
      <c r="A127" s="150"/>
      <c r="B127" s="58"/>
      <c r="C127" s="24">
        <f t="shared" si="23"/>
        <v>1</v>
      </c>
      <c r="D127" s="711"/>
      <c r="E127" s="24">
        <f t="shared" si="24"/>
        <v>1</v>
      </c>
      <c r="F127" s="711"/>
      <c r="G127" s="24">
        <f t="shared" si="25"/>
        <v>1</v>
      </c>
      <c r="H127" s="711"/>
      <c r="I127" s="24">
        <f t="shared" si="26"/>
        <v>1</v>
      </c>
      <c r="J127" s="711"/>
      <c r="K127" s="24">
        <f t="shared" si="27"/>
        <v>1</v>
      </c>
      <c r="L127" s="711"/>
      <c r="M127" s="24">
        <f t="shared" si="28"/>
        <v>1</v>
      </c>
      <c r="N127" s="711"/>
      <c r="O127" s="24">
        <f t="shared" si="29"/>
        <v>1</v>
      </c>
      <c r="P127" s="711"/>
      <c r="Q127" s="24">
        <f t="shared" si="30"/>
        <v>1</v>
      </c>
      <c r="R127" s="707">
        <f t="shared" si="31"/>
        <v>0</v>
      </c>
      <c r="S127" s="352">
        <f t="shared" si="32"/>
        <v>0</v>
      </c>
    </row>
    <row r="128" spans="1:19">
      <c r="A128" s="150"/>
      <c r="B128" s="58"/>
      <c r="C128" s="24">
        <f t="shared" si="23"/>
        <v>1</v>
      </c>
      <c r="D128" s="711"/>
      <c r="E128" s="24">
        <f t="shared" si="24"/>
        <v>1</v>
      </c>
      <c r="F128" s="711"/>
      <c r="G128" s="24">
        <f t="shared" si="25"/>
        <v>1</v>
      </c>
      <c r="H128" s="711"/>
      <c r="I128" s="24">
        <f t="shared" si="26"/>
        <v>1</v>
      </c>
      <c r="J128" s="711"/>
      <c r="K128" s="24">
        <f t="shared" si="27"/>
        <v>1</v>
      </c>
      <c r="L128" s="711"/>
      <c r="M128" s="24">
        <f t="shared" si="28"/>
        <v>1</v>
      </c>
      <c r="N128" s="711"/>
      <c r="O128" s="24">
        <f t="shared" si="29"/>
        <v>1</v>
      </c>
      <c r="P128" s="711"/>
      <c r="Q128" s="24">
        <f t="shared" si="30"/>
        <v>1</v>
      </c>
      <c r="R128" s="707">
        <f t="shared" si="31"/>
        <v>0</v>
      </c>
      <c r="S128" s="352">
        <f t="shared" si="32"/>
        <v>0</v>
      </c>
    </row>
    <row r="129" spans="1:19">
      <c r="A129" s="150"/>
      <c r="B129" s="58"/>
      <c r="C129" s="24">
        <f t="shared" si="23"/>
        <v>1</v>
      </c>
      <c r="D129" s="711"/>
      <c r="E129" s="24">
        <f t="shared" si="24"/>
        <v>1</v>
      </c>
      <c r="F129" s="711"/>
      <c r="G129" s="24">
        <f t="shared" si="25"/>
        <v>1</v>
      </c>
      <c r="H129" s="711"/>
      <c r="I129" s="24">
        <f t="shared" si="26"/>
        <v>1</v>
      </c>
      <c r="J129" s="711"/>
      <c r="K129" s="24">
        <f t="shared" si="27"/>
        <v>1</v>
      </c>
      <c r="L129" s="711"/>
      <c r="M129" s="24">
        <f t="shared" si="28"/>
        <v>1</v>
      </c>
      <c r="N129" s="711"/>
      <c r="O129" s="24">
        <f t="shared" si="29"/>
        <v>1</v>
      </c>
      <c r="P129" s="711"/>
      <c r="Q129" s="24">
        <f t="shared" si="30"/>
        <v>1</v>
      </c>
      <c r="R129" s="707">
        <f t="shared" si="31"/>
        <v>0</v>
      </c>
      <c r="S129" s="352">
        <f t="shared" si="32"/>
        <v>0</v>
      </c>
    </row>
    <row r="130" spans="1:19">
      <c r="A130" s="150"/>
      <c r="B130" s="58"/>
      <c r="C130" s="24">
        <f t="shared" si="23"/>
        <v>1</v>
      </c>
      <c r="D130" s="711"/>
      <c r="E130" s="24">
        <f t="shared" si="24"/>
        <v>1</v>
      </c>
      <c r="F130" s="711"/>
      <c r="G130" s="24">
        <f t="shared" si="25"/>
        <v>1</v>
      </c>
      <c r="H130" s="711"/>
      <c r="I130" s="24">
        <f t="shared" si="26"/>
        <v>1</v>
      </c>
      <c r="J130" s="711"/>
      <c r="K130" s="24">
        <f t="shared" si="27"/>
        <v>1</v>
      </c>
      <c r="L130" s="711"/>
      <c r="M130" s="24">
        <f t="shared" si="28"/>
        <v>1</v>
      </c>
      <c r="N130" s="711"/>
      <c r="O130" s="24">
        <f t="shared" si="29"/>
        <v>1</v>
      </c>
      <c r="P130" s="711"/>
      <c r="Q130" s="24">
        <f t="shared" si="30"/>
        <v>1</v>
      </c>
      <c r="R130" s="707">
        <f t="shared" si="31"/>
        <v>0</v>
      </c>
      <c r="S130" s="352">
        <f t="shared" si="32"/>
        <v>0</v>
      </c>
    </row>
    <row r="131" spans="1:19">
      <c r="A131" s="150"/>
      <c r="B131" s="58"/>
      <c r="C131" s="24">
        <f t="shared" si="23"/>
        <v>1</v>
      </c>
      <c r="D131" s="711"/>
      <c r="E131" s="24">
        <f t="shared" si="24"/>
        <v>1</v>
      </c>
      <c r="F131" s="711"/>
      <c r="G131" s="24">
        <f t="shared" si="25"/>
        <v>1</v>
      </c>
      <c r="H131" s="711"/>
      <c r="I131" s="24">
        <f t="shared" si="26"/>
        <v>1</v>
      </c>
      <c r="J131" s="711"/>
      <c r="K131" s="24">
        <f t="shared" si="27"/>
        <v>1</v>
      </c>
      <c r="L131" s="711"/>
      <c r="M131" s="24">
        <f t="shared" si="28"/>
        <v>1</v>
      </c>
      <c r="N131" s="711"/>
      <c r="O131" s="24">
        <f t="shared" si="29"/>
        <v>1</v>
      </c>
      <c r="P131" s="711"/>
      <c r="Q131" s="24">
        <f t="shared" si="30"/>
        <v>1</v>
      </c>
      <c r="R131" s="707">
        <f t="shared" si="31"/>
        <v>0</v>
      </c>
      <c r="S131" s="352">
        <f t="shared" si="32"/>
        <v>0</v>
      </c>
    </row>
    <row r="132" spans="1:19">
      <c r="A132" s="150"/>
      <c r="B132" s="58"/>
      <c r="C132" s="24">
        <f t="shared" si="23"/>
        <v>1</v>
      </c>
      <c r="D132" s="711"/>
      <c r="E132" s="24">
        <f t="shared" si="24"/>
        <v>1</v>
      </c>
      <c r="F132" s="711"/>
      <c r="G132" s="24">
        <f t="shared" si="25"/>
        <v>1</v>
      </c>
      <c r="H132" s="711"/>
      <c r="I132" s="24">
        <f t="shared" si="26"/>
        <v>1</v>
      </c>
      <c r="J132" s="711"/>
      <c r="K132" s="24">
        <f t="shared" si="27"/>
        <v>1</v>
      </c>
      <c r="L132" s="711"/>
      <c r="M132" s="24">
        <f t="shared" si="28"/>
        <v>1</v>
      </c>
      <c r="N132" s="711"/>
      <c r="O132" s="24">
        <f t="shared" si="29"/>
        <v>1</v>
      </c>
      <c r="P132" s="711"/>
      <c r="Q132" s="24">
        <f t="shared" si="30"/>
        <v>1</v>
      </c>
      <c r="R132" s="707">
        <f t="shared" si="31"/>
        <v>0</v>
      </c>
      <c r="S132" s="352">
        <f t="shared" si="32"/>
        <v>0</v>
      </c>
    </row>
    <row r="133" spans="1:19">
      <c r="A133" s="150"/>
      <c r="B133" s="58"/>
      <c r="C133" s="24">
        <f t="shared" si="23"/>
        <v>1</v>
      </c>
      <c r="D133" s="711"/>
      <c r="E133" s="24">
        <f t="shared" si="24"/>
        <v>1</v>
      </c>
      <c r="F133" s="711"/>
      <c r="G133" s="24">
        <f t="shared" si="25"/>
        <v>1</v>
      </c>
      <c r="H133" s="711"/>
      <c r="I133" s="24">
        <f t="shared" si="26"/>
        <v>1</v>
      </c>
      <c r="J133" s="711"/>
      <c r="K133" s="24">
        <f t="shared" si="27"/>
        <v>1</v>
      </c>
      <c r="L133" s="711"/>
      <c r="M133" s="24">
        <f t="shared" si="28"/>
        <v>1</v>
      </c>
      <c r="N133" s="711"/>
      <c r="O133" s="24">
        <f t="shared" si="29"/>
        <v>1</v>
      </c>
      <c r="P133" s="711"/>
      <c r="Q133" s="24">
        <f t="shared" si="30"/>
        <v>1</v>
      </c>
      <c r="R133" s="707">
        <f t="shared" si="31"/>
        <v>0</v>
      </c>
      <c r="S133" s="352">
        <f t="shared" si="32"/>
        <v>0</v>
      </c>
    </row>
    <row r="134" spans="1:19">
      <c r="A134" s="150"/>
      <c r="B134" s="58"/>
      <c r="C134" s="24">
        <f t="shared" si="23"/>
        <v>1</v>
      </c>
      <c r="D134" s="711"/>
      <c r="E134" s="24">
        <f t="shared" si="24"/>
        <v>1</v>
      </c>
      <c r="F134" s="711"/>
      <c r="G134" s="24">
        <f t="shared" si="25"/>
        <v>1</v>
      </c>
      <c r="H134" s="711"/>
      <c r="I134" s="24">
        <f t="shared" si="26"/>
        <v>1</v>
      </c>
      <c r="J134" s="711"/>
      <c r="K134" s="24">
        <f t="shared" si="27"/>
        <v>1</v>
      </c>
      <c r="L134" s="711"/>
      <c r="M134" s="24">
        <f t="shared" si="28"/>
        <v>1</v>
      </c>
      <c r="N134" s="711"/>
      <c r="O134" s="24">
        <f t="shared" si="29"/>
        <v>1</v>
      </c>
      <c r="P134" s="711"/>
      <c r="Q134" s="24">
        <f t="shared" si="30"/>
        <v>1</v>
      </c>
      <c r="R134" s="707">
        <f t="shared" si="31"/>
        <v>0</v>
      </c>
      <c r="S134" s="352">
        <f t="shared" si="32"/>
        <v>0</v>
      </c>
    </row>
    <row r="135" spans="1:19">
      <c r="A135" s="150"/>
      <c r="B135" s="58"/>
      <c r="C135" s="24">
        <f t="shared" si="23"/>
        <v>1</v>
      </c>
      <c r="D135" s="711"/>
      <c r="E135" s="24">
        <f t="shared" si="24"/>
        <v>1</v>
      </c>
      <c r="F135" s="711"/>
      <c r="G135" s="24">
        <f t="shared" si="25"/>
        <v>1</v>
      </c>
      <c r="H135" s="711"/>
      <c r="I135" s="24">
        <f t="shared" si="26"/>
        <v>1</v>
      </c>
      <c r="J135" s="711"/>
      <c r="K135" s="24">
        <f t="shared" si="27"/>
        <v>1</v>
      </c>
      <c r="L135" s="711"/>
      <c r="M135" s="24">
        <f t="shared" si="28"/>
        <v>1</v>
      </c>
      <c r="N135" s="711"/>
      <c r="O135" s="24">
        <f t="shared" si="29"/>
        <v>1</v>
      </c>
      <c r="P135" s="711"/>
      <c r="Q135" s="24">
        <f t="shared" si="30"/>
        <v>1</v>
      </c>
      <c r="R135" s="707">
        <f t="shared" si="31"/>
        <v>0</v>
      </c>
      <c r="S135" s="352">
        <f t="shared" si="32"/>
        <v>0</v>
      </c>
    </row>
    <row r="136" spans="1:19">
      <c r="A136" s="150"/>
      <c r="B136" s="58"/>
      <c r="C136" s="24">
        <f t="shared" si="23"/>
        <v>1</v>
      </c>
      <c r="D136" s="711"/>
      <c r="E136" s="24">
        <f t="shared" si="24"/>
        <v>1</v>
      </c>
      <c r="F136" s="711"/>
      <c r="G136" s="24">
        <f t="shared" si="25"/>
        <v>1</v>
      </c>
      <c r="H136" s="711"/>
      <c r="I136" s="24">
        <f t="shared" si="26"/>
        <v>1</v>
      </c>
      <c r="J136" s="711"/>
      <c r="K136" s="24">
        <f t="shared" si="27"/>
        <v>1</v>
      </c>
      <c r="L136" s="711"/>
      <c r="M136" s="24">
        <f t="shared" si="28"/>
        <v>1</v>
      </c>
      <c r="N136" s="711"/>
      <c r="O136" s="24">
        <f t="shared" si="29"/>
        <v>1</v>
      </c>
      <c r="P136" s="711"/>
      <c r="Q136" s="24">
        <f t="shared" si="30"/>
        <v>1</v>
      </c>
      <c r="R136" s="707">
        <f t="shared" si="31"/>
        <v>0</v>
      </c>
      <c r="S136" s="352">
        <f t="shared" si="32"/>
        <v>0</v>
      </c>
    </row>
    <row r="137" spans="1:19">
      <c r="A137" s="150"/>
      <c r="B137" s="58"/>
      <c r="C137" s="24">
        <f t="shared" si="23"/>
        <v>1</v>
      </c>
      <c r="D137" s="711"/>
      <c r="E137" s="24">
        <f t="shared" si="24"/>
        <v>1</v>
      </c>
      <c r="F137" s="711"/>
      <c r="G137" s="24">
        <f t="shared" si="25"/>
        <v>1</v>
      </c>
      <c r="H137" s="711"/>
      <c r="I137" s="24">
        <f t="shared" si="26"/>
        <v>1</v>
      </c>
      <c r="J137" s="711"/>
      <c r="K137" s="24">
        <f t="shared" si="27"/>
        <v>1</v>
      </c>
      <c r="L137" s="711"/>
      <c r="M137" s="24">
        <f t="shared" si="28"/>
        <v>1</v>
      </c>
      <c r="N137" s="711"/>
      <c r="O137" s="24">
        <f t="shared" si="29"/>
        <v>1</v>
      </c>
      <c r="P137" s="711"/>
      <c r="Q137" s="24">
        <f t="shared" si="30"/>
        <v>1</v>
      </c>
      <c r="R137" s="707">
        <f t="shared" si="31"/>
        <v>0</v>
      </c>
      <c r="S137" s="352">
        <f t="shared" si="32"/>
        <v>0</v>
      </c>
    </row>
    <row r="138" spans="1:19">
      <c r="A138" s="150"/>
      <c r="B138" s="58"/>
      <c r="C138" s="24">
        <f t="shared" si="23"/>
        <v>1</v>
      </c>
      <c r="D138" s="711"/>
      <c r="E138" s="24">
        <f t="shared" si="24"/>
        <v>1</v>
      </c>
      <c r="F138" s="711"/>
      <c r="G138" s="24">
        <f t="shared" si="25"/>
        <v>1</v>
      </c>
      <c r="H138" s="711"/>
      <c r="I138" s="24">
        <f t="shared" si="26"/>
        <v>1</v>
      </c>
      <c r="J138" s="711"/>
      <c r="K138" s="24">
        <f t="shared" si="27"/>
        <v>1</v>
      </c>
      <c r="L138" s="711"/>
      <c r="M138" s="24">
        <f t="shared" si="28"/>
        <v>1</v>
      </c>
      <c r="N138" s="711"/>
      <c r="O138" s="24">
        <f t="shared" si="29"/>
        <v>1</v>
      </c>
      <c r="P138" s="711"/>
      <c r="Q138" s="24">
        <f t="shared" si="30"/>
        <v>1</v>
      </c>
      <c r="R138" s="707">
        <f t="shared" si="31"/>
        <v>0</v>
      </c>
      <c r="S138" s="352">
        <f t="shared" si="32"/>
        <v>0</v>
      </c>
    </row>
    <row r="139" spans="1:19">
      <c r="A139" s="150"/>
      <c r="B139" s="58"/>
      <c r="C139" s="24">
        <f t="shared" si="23"/>
        <v>1</v>
      </c>
      <c r="D139" s="711"/>
      <c r="E139" s="24">
        <f t="shared" si="24"/>
        <v>1</v>
      </c>
      <c r="F139" s="711"/>
      <c r="G139" s="24">
        <f t="shared" si="25"/>
        <v>1</v>
      </c>
      <c r="H139" s="711"/>
      <c r="I139" s="24">
        <f t="shared" si="26"/>
        <v>1</v>
      </c>
      <c r="J139" s="711"/>
      <c r="K139" s="24">
        <f t="shared" si="27"/>
        <v>1</v>
      </c>
      <c r="L139" s="711"/>
      <c r="M139" s="24">
        <f t="shared" si="28"/>
        <v>1</v>
      </c>
      <c r="N139" s="711"/>
      <c r="O139" s="24">
        <f t="shared" si="29"/>
        <v>1</v>
      </c>
      <c r="P139" s="711"/>
      <c r="Q139" s="24">
        <f t="shared" si="30"/>
        <v>1</v>
      </c>
      <c r="R139" s="707">
        <f t="shared" si="31"/>
        <v>0</v>
      </c>
      <c r="S139" s="352">
        <f t="shared" si="32"/>
        <v>0</v>
      </c>
    </row>
    <row r="140" spans="1:19">
      <c r="A140" s="150"/>
      <c r="B140" s="58"/>
      <c r="C140" s="24">
        <f t="shared" si="23"/>
        <v>1</v>
      </c>
      <c r="D140" s="711"/>
      <c r="E140" s="24">
        <f t="shared" si="24"/>
        <v>1</v>
      </c>
      <c r="F140" s="711"/>
      <c r="G140" s="24">
        <f t="shared" si="25"/>
        <v>1</v>
      </c>
      <c r="H140" s="711"/>
      <c r="I140" s="24">
        <f t="shared" si="26"/>
        <v>1</v>
      </c>
      <c r="J140" s="711"/>
      <c r="K140" s="24">
        <f t="shared" si="27"/>
        <v>1</v>
      </c>
      <c r="L140" s="711"/>
      <c r="M140" s="24">
        <f t="shared" si="28"/>
        <v>1</v>
      </c>
      <c r="N140" s="711"/>
      <c r="O140" s="24">
        <f t="shared" si="29"/>
        <v>1</v>
      </c>
      <c r="P140" s="711"/>
      <c r="Q140" s="24">
        <f t="shared" si="30"/>
        <v>1</v>
      </c>
      <c r="R140" s="707">
        <f t="shared" si="31"/>
        <v>0</v>
      </c>
      <c r="S140" s="352">
        <f t="shared" si="32"/>
        <v>0</v>
      </c>
    </row>
    <row r="141" spans="1:19">
      <c r="A141" s="150"/>
      <c r="B141" s="58"/>
      <c r="C141" s="24">
        <f t="shared" si="23"/>
        <v>1</v>
      </c>
      <c r="D141" s="711"/>
      <c r="E141" s="24">
        <f t="shared" si="24"/>
        <v>1</v>
      </c>
      <c r="F141" s="711"/>
      <c r="G141" s="24">
        <f t="shared" si="25"/>
        <v>1</v>
      </c>
      <c r="H141" s="711"/>
      <c r="I141" s="24">
        <f t="shared" si="26"/>
        <v>1</v>
      </c>
      <c r="J141" s="711"/>
      <c r="K141" s="24">
        <f t="shared" si="27"/>
        <v>1</v>
      </c>
      <c r="L141" s="711"/>
      <c r="M141" s="24">
        <f t="shared" si="28"/>
        <v>1</v>
      </c>
      <c r="N141" s="711"/>
      <c r="O141" s="24">
        <f t="shared" si="29"/>
        <v>1</v>
      </c>
      <c r="P141" s="711"/>
      <c r="Q141" s="24">
        <f t="shared" si="30"/>
        <v>1</v>
      </c>
      <c r="R141" s="707">
        <f t="shared" si="31"/>
        <v>0</v>
      </c>
      <c r="S141" s="352">
        <f t="shared" si="32"/>
        <v>0</v>
      </c>
    </row>
    <row r="142" spans="1:19">
      <c r="A142" s="150"/>
      <c r="B142" s="58"/>
      <c r="C142" s="24">
        <f t="shared" si="23"/>
        <v>1</v>
      </c>
      <c r="D142" s="711"/>
      <c r="E142" s="24">
        <f t="shared" si="24"/>
        <v>1</v>
      </c>
      <c r="F142" s="711"/>
      <c r="G142" s="24">
        <f t="shared" si="25"/>
        <v>1</v>
      </c>
      <c r="H142" s="711"/>
      <c r="I142" s="24">
        <f t="shared" si="26"/>
        <v>1</v>
      </c>
      <c r="J142" s="711"/>
      <c r="K142" s="24">
        <f t="shared" si="27"/>
        <v>1</v>
      </c>
      <c r="L142" s="711"/>
      <c r="M142" s="24">
        <f t="shared" si="28"/>
        <v>1</v>
      </c>
      <c r="N142" s="711"/>
      <c r="O142" s="24">
        <f t="shared" si="29"/>
        <v>1</v>
      </c>
      <c r="P142" s="711"/>
      <c r="Q142" s="24">
        <f t="shared" si="30"/>
        <v>1</v>
      </c>
      <c r="R142" s="707">
        <f t="shared" si="31"/>
        <v>0</v>
      </c>
      <c r="S142" s="352">
        <f t="shared" si="32"/>
        <v>0</v>
      </c>
    </row>
    <row r="143" spans="1:19">
      <c r="A143" s="150"/>
      <c r="B143" s="58"/>
      <c r="C143" s="24">
        <f t="shared" si="23"/>
        <v>1</v>
      </c>
      <c r="D143" s="711"/>
      <c r="E143" s="24">
        <f t="shared" si="24"/>
        <v>1</v>
      </c>
      <c r="F143" s="711"/>
      <c r="G143" s="24">
        <f t="shared" si="25"/>
        <v>1</v>
      </c>
      <c r="H143" s="711"/>
      <c r="I143" s="24">
        <f t="shared" si="26"/>
        <v>1</v>
      </c>
      <c r="J143" s="711"/>
      <c r="K143" s="24">
        <f t="shared" si="27"/>
        <v>1</v>
      </c>
      <c r="L143" s="711"/>
      <c r="M143" s="24">
        <f t="shared" si="28"/>
        <v>1</v>
      </c>
      <c r="N143" s="711"/>
      <c r="O143" s="24">
        <f t="shared" si="29"/>
        <v>1</v>
      </c>
      <c r="P143" s="711"/>
      <c r="Q143" s="24">
        <f t="shared" si="30"/>
        <v>1</v>
      </c>
      <c r="R143" s="707">
        <f t="shared" si="31"/>
        <v>0</v>
      </c>
      <c r="S143" s="352">
        <f t="shared" si="32"/>
        <v>0</v>
      </c>
    </row>
    <row r="144" spans="1:19">
      <c r="A144" s="150"/>
      <c r="B144" s="58"/>
      <c r="C144" s="24">
        <f t="shared" si="23"/>
        <v>1</v>
      </c>
      <c r="D144" s="711"/>
      <c r="E144" s="24">
        <f t="shared" si="24"/>
        <v>1</v>
      </c>
      <c r="F144" s="711"/>
      <c r="G144" s="24">
        <f t="shared" si="25"/>
        <v>1</v>
      </c>
      <c r="H144" s="711"/>
      <c r="I144" s="24">
        <f t="shared" si="26"/>
        <v>1</v>
      </c>
      <c r="J144" s="711"/>
      <c r="K144" s="24">
        <f t="shared" si="27"/>
        <v>1</v>
      </c>
      <c r="L144" s="711"/>
      <c r="M144" s="24">
        <f t="shared" si="28"/>
        <v>1</v>
      </c>
      <c r="N144" s="711"/>
      <c r="O144" s="24">
        <f t="shared" si="29"/>
        <v>1</v>
      </c>
      <c r="P144" s="711"/>
      <c r="Q144" s="24">
        <f t="shared" si="30"/>
        <v>1</v>
      </c>
      <c r="R144" s="707">
        <f t="shared" si="31"/>
        <v>0</v>
      </c>
      <c r="S144" s="352">
        <f t="shared" si="32"/>
        <v>0</v>
      </c>
    </row>
    <row r="145" spans="1:19">
      <c r="A145" s="150"/>
      <c r="B145" s="58"/>
      <c r="C145" s="24">
        <f t="shared" si="23"/>
        <v>1</v>
      </c>
      <c r="D145" s="711"/>
      <c r="E145" s="24">
        <f t="shared" si="24"/>
        <v>1</v>
      </c>
      <c r="F145" s="711"/>
      <c r="G145" s="24">
        <f t="shared" si="25"/>
        <v>1</v>
      </c>
      <c r="H145" s="711"/>
      <c r="I145" s="24">
        <f t="shared" si="26"/>
        <v>1</v>
      </c>
      <c r="J145" s="711"/>
      <c r="K145" s="24">
        <f t="shared" si="27"/>
        <v>1</v>
      </c>
      <c r="L145" s="711"/>
      <c r="M145" s="24">
        <f t="shared" si="28"/>
        <v>1</v>
      </c>
      <c r="N145" s="711"/>
      <c r="O145" s="24">
        <f t="shared" si="29"/>
        <v>1</v>
      </c>
      <c r="P145" s="711"/>
      <c r="Q145" s="24">
        <f t="shared" si="30"/>
        <v>1</v>
      </c>
      <c r="R145" s="707">
        <f t="shared" si="31"/>
        <v>0</v>
      </c>
      <c r="S145" s="352">
        <f t="shared" si="32"/>
        <v>0</v>
      </c>
    </row>
    <row r="146" spans="1:19">
      <c r="A146" s="150"/>
      <c r="B146" s="58"/>
      <c r="C146" s="24">
        <f t="shared" si="23"/>
        <v>1</v>
      </c>
      <c r="D146" s="711"/>
      <c r="E146" s="24">
        <f t="shared" si="24"/>
        <v>1</v>
      </c>
      <c r="F146" s="711"/>
      <c r="G146" s="24">
        <f t="shared" si="25"/>
        <v>1</v>
      </c>
      <c r="H146" s="711"/>
      <c r="I146" s="24">
        <f t="shared" si="26"/>
        <v>1</v>
      </c>
      <c r="J146" s="711"/>
      <c r="K146" s="24">
        <f t="shared" si="27"/>
        <v>1</v>
      </c>
      <c r="L146" s="711"/>
      <c r="M146" s="24">
        <f t="shared" si="28"/>
        <v>1</v>
      </c>
      <c r="N146" s="711"/>
      <c r="O146" s="24">
        <f t="shared" si="29"/>
        <v>1</v>
      </c>
      <c r="P146" s="711"/>
      <c r="Q146" s="24">
        <f t="shared" si="30"/>
        <v>1</v>
      </c>
      <c r="R146" s="707">
        <f t="shared" si="31"/>
        <v>0</v>
      </c>
      <c r="S146" s="352">
        <f t="shared" si="32"/>
        <v>0</v>
      </c>
    </row>
    <row r="147" spans="1:19">
      <c r="A147" s="150"/>
      <c r="B147" s="58"/>
      <c r="C147" s="24">
        <f t="shared" si="23"/>
        <v>1</v>
      </c>
      <c r="D147" s="711"/>
      <c r="E147" s="24">
        <f t="shared" si="24"/>
        <v>1</v>
      </c>
      <c r="F147" s="711"/>
      <c r="G147" s="24">
        <f t="shared" si="25"/>
        <v>1</v>
      </c>
      <c r="H147" s="711"/>
      <c r="I147" s="24">
        <f t="shared" si="26"/>
        <v>1</v>
      </c>
      <c r="J147" s="711"/>
      <c r="K147" s="24">
        <f t="shared" si="27"/>
        <v>1</v>
      </c>
      <c r="L147" s="711"/>
      <c r="M147" s="24">
        <f t="shared" si="28"/>
        <v>1</v>
      </c>
      <c r="N147" s="711"/>
      <c r="O147" s="24">
        <f t="shared" si="29"/>
        <v>1</v>
      </c>
      <c r="P147" s="711"/>
      <c r="Q147" s="24">
        <f t="shared" si="30"/>
        <v>1</v>
      </c>
      <c r="R147" s="707">
        <f t="shared" si="31"/>
        <v>0</v>
      </c>
      <c r="S147" s="352">
        <f t="shared" si="32"/>
        <v>0</v>
      </c>
    </row>
    <row r="148" spans="1:19">
      <c r="A148" s="150"/>
      <c r="B148" s="58"/>
      <c r="C148" s="24">
        <f t="shared" si="23"/>
        <v>1</v>
      </c>
      <c r="D148" s="711"/>
      <c r="E148" s="24">
        <f t="shared" si="24"/>
        <v>1</v>
      </c>
      <c r="F148" s="711"/>
      <c r="G148" s="24">
        <f t="shared" si="25"/>
        <v>1</v>
      </c>
      <c r="H148" s="711"/>
      <c r="I148" s="24">
        <f t="shared" si="26"/>
        <v>1</v>
      </c>
      <c r="J148" s="711"/>
      <c r="K148" s="24">
        <f t="shared" si="27"/>
        <v>1</v>
      </c>
      <c r="L148" s="711"/>
      <c r="M148" s="24">
        <f t="shared" si="28"/>
        <v>1</v>
      </c>
      <c r="N148" s="711"/>
      <c r="O148" s="24">
        <f t="shared" si="29"/>
        <v>1</v>
      </c>
      <c r="P148" s="711"/>
      <c r="Q148" s="24">
        <f t="shared" si="30"/>
        <v>1</v>
      </c>
      <c r="R148" s="707">
        <f t="shared" si="31"/>
        <v>0</v>
      </c>
      <c r="S148" s="352">
        <f t="shared" si="32"/>
        <v>0</v>
      </c>
    </row>
    <row r="149" spans="1:19">
      <c r="A149" s="150"/>
      <c r="B149" s="58"/>
      <c r="C149" s="24">
        <f t="shared" si="23"/>
        <v>1</v>
      </c>
      <c r="D149" s="711"/>
      <c r="E149" s="24">
        <f t="shared" si="24"/>
        <v>1</v>
      </c>
      <c r="F149" s="711"/>
      <c r="G149" s="24">
        <f t="shared" si="25"/>
        <v>1</v>
      </c>
      <c r="H149" s="711"/>
      <c r="I149" s="24">
        <f t="shared" si="26"/>
        <v>1</v>
      </c>
      <c r="J149" s="711"/>
      <c r="K149" s="24">
        <f t="shared" si="27"/>
        <v>1</v>
      </c>
      <c r="L149" s="711"/>
      <c r="M149" s="24">
        <f t="shared" si="28"/>
        <v>1</v>
      </c>
      <c r="N149" s="711"/>
      <c r="O149" s="24">
        <f t="shared" si="29"/>
        <v>1</v>
      </c>
      <c r="P149" s="711"/>
      <c r="Q149" s="24">
        <f t="shared" si="30"/>
        <v>1</v>
      </c>
      <c r="R149" s="707">
        <f t="shared" si="31"/>
        <v>0</v>
      </c>
      <c r="S149" s="352">
        <f t="shared" si="32"/>
        <v>0</v>
      </c>
    </row>
    <row r="150" spans="1:19">
      <c r="A150" s="150"/>
      <c r="B150" s="58"/>
      <c r="C150" s="24">
        <f t="shared" si="23"/>
        <v>1</v>
      </c>
      <c r="D150" s="711"/>
      <c r="E150" s="24">
        <f t="shared" si="24"/>
        <v>1</v>
      </c>
      <c r="F150" s="711"/>
      <c r="G150" s="24">
        <f t="shared" si="25"/>
        <v>1</v>
      </c>
      <c r="H150" s="711"/>
      <c r="I150" s="24">
        <f t="shared" si="26"/>
        <v>1</v>
      </c>
      <c r="J150" s="711"/>
      <c r="K150" s="24">
        <f t="shared" si="27"/>
        <v>1</v>
      </c>
      <c r="L150" s="711"/>
      <c r="M150" s="24">
        <f t="shared" si="28"/>
        <v>1</v>
      </c>
      <c r="N150" s="711"/>
      <c r="O150" s="24">
        <f t="shared" si="29"/>
        <v>1</v>
      </c>
      <c r="P150" s="711"/>
      <c r="Q150" s="24">
        <f t="shared" si="30"/>
        <v>1</v>
      </c>
      <c r="R150" s="707">
        <f t="shared" si="31"/>
        <v>0</v>
      </c>
      <c r="S150" s="352">
        <f t="shared" si="32"/>
        <v>0</v>
      </c>
    </row>
    <row r="151" spans="1:19">
      <c r="A151" s="150"/>
      <c r="B151" s="58"/>
      <c r="C151" s="24">
        <f t="shared" si="23"/>
        <v>1</v>
      </c>
      <c r="D151" s="711"/>
      <c r="E151" s="24">
        <f t="shared" si="24"/>
        <v>1</v>
      </c>
      <c r="F151" s="711"/>
      <c r="G151" s="24">
        <f t="shared" si="25"/>
        <v>1</v>
      </c>
      <c r="H151" s="711"/>
      <c r="I151" s="24">
        <f t="shared" si="26"/>
        <v>1</v>
      </c>
      <c r="J151" s="711"/>
      <c r="K151" s="24">
        <f t="shared" si="27"/>
        <v>1</v>
      </c>
      <c r="L151" s="711"/>
      <c r="M151" s="24">
        <f t="shared" si="28"/>
        <v>1</v>
      </c>
      <c r="N151" s="711"/>
      <c r="O151" s="24">
        <f t="shared" si="29"/>
        <v>1</v>
      </c>
      <c r="P151" s="711"/>
      <c r="Q151" s="24">
        <f t="shared" si="30"/>
        <v>1</v>
      </c>
      <c r="R151" s="707">
        <f t="shared" si="31"/>
        <v>0</v>
      </c>
      <c r="S151" s="352">
        <f t="shared" si="32"/>
        <v>0</v>
      </c>
    </row>
    <row r="152" spans="1:19">
      <c r="A152" s="150"/>
      <c r="B152" s="58"/>
      <c r="C152" s="24">
        <f t="shared" si="23"/>
        <v>1</v>
      </c>
      <c r="D152" s="711"/>
      <c r="E152" s="24">
        <f t="shared" si="24"/>
        <v>1</v>
      </c>
      <c r="F152" s="711"/>
      <c r="G152" s="24">
        <f t="shared" si="25"/>
        <v>1</v>
      </c>
      <c r="H152" s="711"/>
      <c r="I152" s="24">
        <f t="shared" si="26"/>
        <v>1</v>
      </c>
      <c r="J152" s="711"/>
      <c r="K152" s="24">
        <f t="shared" si="27"/>
        <v>1</v>
      </c>
      <c r="L152" s="711"/>
      <c r="M152" s="24">
        <f t="shared" si="28"/>
        <v>1</v>
      </c>
      <c r="N152" s="711"/>
      <c r="O152" s="24">
        <f t="shared" si="29"/>
        <v>1</v>
      </c>
      <c r="P152" s="711"/>
      <c r="Q152" s="24">
        <f t="shared" si="30"/>
        <v>1</v>
      </c>
      <c r="R152" s="707">
        <f t="shared" si="31"/>
        <v>0</v>
      </c>
      <c r="S152" s="352">
        <f t="shared" si="32"/>
        <v>0</v>
      </c>
    </row>
    <row r="153" spans="1:19">
      <c r="A153" s="150"/>
      <c r="B153" s="58"/>
      <c r="C153" s="24">
        <f t="shared" si="23"/>
        <v>1</v>
      </c>
      <c r="D153" s="711"/>
      <c r="E153" s="24">
        <f t="shared" si="24"/>
        <v>1</v>
      </c>
      <c r="F153" s="711"/>
      <c r="G153" s="24">
        <f t="shared" si="25"/>
        <v>1</v>
      </c>
      <c r="H153" s="711"/>
      <c r="I153" s="24">
        <f t="shared" si="26"/>
        <v>1</v>
      </c>
      <c r="J153" s="711"/>
      <c r="K153" s="24">
        <f t="shared" si="27"/>
        <v>1</v>
      </c>
      <c r="L153" s="711"/>
      <c r="M153" s="24">
        <f t="shared" si="28"/>
        <v>1</v>
      </c>
      <c r="N153" s="711"/>
      <c r="O153" s="24">
        <f t="shared" si="29"/>
        <v>1</v>
      </c>
      <c r="P153" s="711"/>
      <c r="Q153" s="24">
        <f t="shared" si="30"/>
        <v>1</v>
      </c>
      <c r="R153" s="707">
        <f t="shared" si="31"/>
        <v>0</v>
      </c>
      <c r="S153" s="352">
        <f t="shared" si="32"/>
        <v>0</v>
      </c>
    </row>
    <row r="154" spans="1:19">
      <c r="A154" s="150"/>
      <c r="B154" s="58"/>
      <c r="C154" s="24">
        <f t="shared" ref="C154:C217" si="33">IF(B154="",1,(LOOKUP(B154,$3:$3,$4:$4)-LOOKUP($B$24,$3:$3,$4:$4)+100)/100)</f>
        <v>1</v>
      </c>
      <c r="D154" s="711"/>
      <c r="E154" s="24">
        <f t="shared" ref="E154:E217" si="34">(SUMIF($5:$5,D154,$6:$6)-SUMIF($5:$5,$D$24,$6:$6)+100)/100</f>
        <v>1</v>
      </c>
      <c r="F154" s="711"/>
      <c r="G154" s="24">
        <f t="shared" ref="G154:G217" si="35">(SUMIF($7:$7,F154,$8:$8)-SUMIF($7:$7,$F$24,$8:$8)+100)/100</f>
        <v>1</v>
      </c>
      <c r="H154" s="711"/>
      <c r="I154" s="24">
        <f t="shared" ref="I154:I217" si="36">(SUMIF($9:$9,H154,$10:$10)-SUMIF($9:$9,$H$24,$10:$10)+100)/100</f>
        <v>1</v>
      </c>
      <c r="J154" s="711"/>
      <c r="K154" s="24">
        <f t="shared" ref="K154:K217" si="37">(SUMIF($11:$11,J154,$12:$12)-SUMIF($11:$11,$J$24,$12:$12)+100)/100</f>
        <v>1</v>
      </c>
      <c r="L154" s="711"/>
      <c r="M154" s="24">
        <f t="shared" ref="M154:M217" si="38">(SUMIF($13:$13,L154,$14:$14)-SUMIF($13:$13,$L$24,$14:$14)+100)/100</f>
        <v>1</v>
      </c>
      <c r="N154" s="711"/>
      <c r="O154" s="24">
        <f t="shared" ref="O154:O217" si="39">(SUMIF($15:$15,N154,$16:$16)-SUMIF($15:$15,$N$24,$16:$16)+100)/100</f>
        <v>1</v>
      </c>
      <c r="P154" s="711"/>
      <c r="Q154" s="24">
        <f t="shared" ref="Q154:Q217" si="40">(SUMIF($17:$17,P154,$18:$18)-SUMIF($17:$17,$P$24,$18:$18)+100)/100</f>
        <v>1</v>
      </c>
      <c r="R154" s="707">
        <f t="shared" ref="R154:R217" si="41">IF(B154="",0,ROUND($R$24*C154*E154*G154*I154*K154*M154*O154*Q154,0))</f>
        <v>0</v>
      </c>
      <c r="S154" s="352">
        <f t="shared" si="32"/>
        <v>0</v>
      </c>
    </row>
    <row r="155" spans="1:19">
      <c r="A155" s="150"/>
      <c r="B155" s="58"/>
      <c r="C155" s="24">
        <f t="shared" si="33"/>
        <v>1</v>
      </c>
      <c r="D155" s="711"/>
      <c r="E155" s="24">
        <f t="shared" si="34"/>
        <v>1</v>
      </c>
      <c r="F155" s="711"/>
      <c r="G155" s="24">
        <f t="shared" si="35"/>
        <v>1</v>
      </c>
      <c r="H155" s="711"/>
      <c r="I155" s="24">
        <f t="shared" si="36"/>
        <v>1</v>
      </c>
      <c r="J155" s="711"/>
      <c r="K155" s="24">
        <f t="shared" si="37"/>
        <v>1</v>
      </c>
      <c r="L155" s="711"/>
      <c r="M155" s="24">
        <f t="shared" si="38"/>
        <v>1</v>
      </c>
      <c r="N155" s="711"/>
      <c r="O155" s="24">
        <f t="shared" si="39"/>
        <v>1</v>
      </c>
      <c r="P155" s="711"/>
      <c r="Q155" s="24">
        <f t="shared" si="40"/>
        <v>1</v>
      </c>
      <c r="R155" s="707">
        <f t="shared" si="41"/>
        <v>0</v>
      </c>
      <c r="S155" s="352">
        <f t="shared" si="32"/>
        <v>0</v>
      </c>
    </row>
    <row r="156" spans="1:19">
      <c r="A156" s="150"/>
      <c r="B156" s="58"/>
      <c r="C156" s="24">
        <f t="shared" si="33"/>
        <v>1</v>
      </c>
      <c r="D156" s="711"/>
      <c r="E156" s="24">
        <f t="shared" si="34"/>
        <v>1</v>
      </c>
      <c r="F156" s="711"/>
      <c r="G156" s="24">
        <f t="shared" si="35"/>
        <v>1</v>
      </c>
      <c r="H156" s="711"/>
      <c r="I156" s="24">
        <f t="shared" si="36"/>
        <v>1</v>
      </c>
      <c r="J156" s="711"/>
      <c r="K156" s="24">
        <f t="shared" si="37"/>
        <v>1</v>
      </c>
      <c r="L156" s="711"/>
      <c r="M156" s="24">
        <f t="shared" si="38"/>
        <v>1</v>
      </c>
      <c r="N156" s="711"/>
      <c r="O156" s="24">
        <f t="shared" si="39"/>
        <v>1</v>
      </c>
      <c r="P156" s="711"/>
      <c r="Q156" s="24">
        <f t="shared" si="40"/>
        <v>1</v>
      </c>
      <c r="R156" s="707">
        <f t="shared" si="41"/>
        <v>0</v>
      </c>
      <c r="S156" s="352">
        <f t="shared" si="32"/>
        <v>0</v>
      </c>
    </row>
    <row r="157" spans="1:19">
      <c r="A157" s="150"/>
      <c r="B157" s="58"/>
      <c r="C157" s="24">
        <f t="shared" si="33"/>
        <v>1</v>
      </c>
      <c r="D157" s="711"/>
      <c r="E157" s="24">
        <f t="shared" si="34"/>
        <v>1</v>
      </c>
      <c r="F157" s="711"/>
      <c r="G157" s="24">
        <f t="shared" si="35"/>
        <v>1</v>
      </c>
      <c r="H157" s="711"/>
      <c r="I157" s="24">
        <f t="shared" si="36"/>
        <v>1</v>
      </c>
      <c r="J157" s="711"/>
      <c r="K157" s="24">
        <f t="shared" si="37"/>
        <v>1</v>
      </c>
      <c r="L157" s="711"/>
      <c r="M157" s="24">
        <f t="shared" si="38"/>
        <v>1</v>
      </c>
      <c r="N157" s="711"/>
      <c r="O157" s="24">
        <f t="shared" si="39"/>
        <v>1</v>
      </c>
      <c r="P157" s="711"/>
      <c r="Q157" s="24">
        <f t="shared" si="40"/>
        <v>1</v>
      </c>
      <c r="R157" s="707">
        <f t="shared" si="41"/>
        <v>0</v>
      </c>
      <c r="S157" s="352">
        <f t="shared" si="32"/>
        <v>0</v>
      </c>
    </row>
    <row r="158" spans="1:19">
      <c r="A158" s="150"/>
      <c r="B158" s="58"/>
      <c r="C158" s="24">
        <f t="shared" si="33"/>
        <v>1</v>
      </c>
      <c r="D158" s="711"/>
      <c r="E158" s="24">
        <f t="shared" si="34"/>
        <v>1</v>
      </c>
      <c r="F158" s="711"/>
      <c r="G158" s="24">
        <f t="shared" si="35"/>
        <v>1</v>
      </c>
      <c r="H158" s="711"/>
      <c r="I158" s="24">
        <f t="shared" si="36"/>
        <v>1</v>
      </c>
      <c r="J158" s="711"/>
      <c r="K158" s="24">
        <f t="shared" si="37"/>
        <v>1</v>
      </c>
      <c r="L158" s="711"/>
      <c r="M158" s="24">
        <f t="shared" si="38"/>
        <v>1</v>
      </c>
      <c r="N158" s="711"/>
      <c r="O158" s="24">
        <f t="shared" si="39"/>
        <v>1</v>
      </c>
      <c r="P158" s="711"/>
      <c r="Q158" s="24">
        <f t="shared" si="40"/>
        <v>1</v>
      </c>
      <c r="R158" s="707">
        <f t="shared" si="41"/>
        <v>0</v>
      </c>
      <c r="S158" s="352">
        <f t="shared" si="32"/>
        <v>0</v>
      </c>
    </row>
    <row r="159" spans="1:19">
      <c r="A159" s="150"/>
      <c r="B159" s="58"/>
      <c r="C159" s="24">
        <f t="shared" si="33"/>
        <v>1</v>
      </c>
      <c r="D159" s="711"/>
      <c r="E159" s="24">
        <f t="shared" si="34"/>
        <v>1</v>
      </c>
      <c r="F159" s="711"/>
      <c r="G159" s="24">
        <f t="shared" si="35"/>
        <v>1</v>
      </c>
      <c r="H159" s="711"/>
      <c r="I159" s="24">
        <f t="shared" si="36"/>
        <v>1</v>
      </c>
      <c r="J159" s="711"/>
      <c r="K159" s="24">
        <f t="shared" si="37"/>
        <v>1</v>
      </c>
      <c r="L159" s="711"/>
      <c r="M159" s="24">
        <f t="shared" si="38"/>
        <v>1</v>
      </c>
      <c r="N159" s="711"/>
      <c r="O159" s="24">
        <f t="shared" si="39"/>
        <v>1</v>
      </c>
      <c r="P159" s="711"/>
      <c r="Q159" s="24">
        <f t="shared" si="40"/>
        <v>1</v>
      </c>
      <c r="R159" s="707">
        <f t="shared" si="41"/>
        <v>0</v>
      </c>
      <c r="S159" s="352">
        <f t="shared" si="32"/>
        <v>0</v>
      </c>
    </row>
    <row r="160" spans="1:19">
      <c r="A160" s="150"/>
      <c r="B160" s="58"/>
      <c r="C160" s="24">
        <f t="shared" si="33"/>
        <v>1</v>
      </c>
      <c r="D160" s="711"/>
      <c r="E160" s="24">
        <f t="shared" si="34"/>
        <v>1</v>
      </c>
      <c r="F160" s="711"/>
      <c r="G160" s="24">
        <f t="shared" si="35"/>
        <v>1</v>
      </c>
      <c r="H160" s="711"/>
      <c r="I160" s="24">
        <f t="shared" si="36"/>
        <v>1</v>
      </c>
      <c r="J160" s="711"/>
      <c r="K160" s="24">
        <f t="shared" si="37"/>
        <v>1</v>
      </c>
      <c r="L160" s="711"/>
      <c r="M160" s="24">
        <f t="shared" si="38"/>
        <v>1</v>
      </c>
      <c r="N160" s="711"/>
      <c r="O160" s="24">
        <f t="shared" si="39"/>
        <v>1</v>
      </c>
      <c r="P160" s="711"/>
      <c r="Q160" s="24">
        <f t="shared" si="40"/>
        <v>1</v>
      </c>
      <c r="R160" s="707">
        <f t="shared" si="41"/>
        <v>0</v>
      </c>
      <c r="S160" s="352">
        <f t="shared" si="32"/>
        <v>0</v>
      </c>
    </row>
    <row r="161" spans="1:19">
      <c r="A161" s="150"/>
      <c r="B161" s="58"/>
      <c r="C161" s="24">
        <f t="shared" si="33"/>
        <v>1</v>
      </c>
      <c r="D161" s="711"/>
      <c r="E161" s="24">
        <f t="shared" si="34"/>
        <v>1</v>
      </c>
      <c r="F161" s="711"/>
      <c r="G161" s="24">
        <f t="shared" si="35"/>
        <v>1</v>
      </c>
      <c r="H161" s="711"/>
      <c r="I161" s="24">
        <f t="shared" si="36"/>
        <v>1</v>
      </c>
      <c r="J161" s="711"/>
      <c r="K161" s="24">
        <f t="shared" si="37"/>
        <v>1</v>
      </c>
      <c r="L161" s="711"/>
      <c r="M161" s="24">
        <f t="shared" si="38"/>
        <v>1</v>
      </c>
      <c r="N161" s="711"/>
      <c r="O161" s="24">
        <f t="shared" si="39"/>
        <v>1</v>
      </c>
      <c r="P161" s="711"/>
      <c r="Q161" s="24">
        <f t="shared" si="40"/>
        <v>1</v>
      </c>
      <c r="R161" s="707">
        <f t="shared" si="41"/>
        <v>0</v>
      </c>
      <c r="S161" s="352">
        <f t="shared" si="32"/>
        <v>0</v>
      </c>
    </row>
    <row r="162" spans="1:19">
      <c r="A162" s="150"/>
      <c r="B162" s="58"/>
      <c r="C162" s="24">
        <f t="shared" si="33"/>
        <v>1</v>
      </c>
      <c r="D162" s="711"/>
      <c r="E162" s="24">
        <f t="shared" si="34"/>
        <v>1</v>
      </c>
      <c r="F162" s="711"/>
      <c r="G162" s="24">
        <f t="shared" si="35"/>
        <v>1</v>
      </c>
      <c r="H162" s="711"/>
      <c r="I162" s="24">
        <f t="shared" si="36"/>
        <v>1</v>
      </c>
      <c r="J162" s="711"/>
      <c r="K162" s="24">
        <f t="shared" si="37"/>
        <v>1</v>
      </c>
      <c r="L162" s="711"/>
      <c r="M162" s="24">
        <f t="shared" si="38"/>
        <v>1</v>
      </c>
      <c r="N162" s="711"/>
      <c r="O162" s="24">
        <f t="shared" si="39"/>
        <v>1</v>
      </c>
      <c r="P162" s="711"/>
      <c r="Q162" s="24">
        <f t="shared" si="40"/>
        <v>1</v>
      </c>
      <c r="R162" s="707">
        <f t="shared" si="41"/>
        <v>0</v>
      </c>
      <c r="S162" s="352">
        <f t="shared" si="32"/>
        <v>0</v>
      </c>
    </row>
    <row r="163" spans="1:19">
      <c r="A163" s="150"/>
      <c r="B163" s="58"/>
      <c r="C163" s="24">
        <f t="shared" si="33"/>
        <v>1</v>
      </c>
      <c r="D163" s="711"/>
      <c r="E163" s="24">
        <f t="shared" si="34"/>
        <v>1</v>
      </c>
      <c r="F163" s="711"/>
      <c r="G163" s="24">
        <f t="shared" si="35"/>
        <v>1</v>
      </c>
      <c r="H163" s="711"/>
      <c r="I163" s="24">
        <f t="shared" si="36"/>
        <v>1</v>
      </c>
      <c r="J163" s="711"/>
      <c r="K163" s="24">
        <f t="shared" si="37"/>
        <v>1</v>
      </c>
      <c r="L163" s="711"/>
      <c r="M163" s="24">
        <f t="shared" si="38"/>
        <v>1</v>
      </c>
      <c r="N163" s="711"/>
      <c r="O163" s="24">
        <f t="shared" si="39"/>
        <v>1</v>
      </c>
      <c r="P163" s="711"/>
      <c r="Q163" s="24">
        <f t="shared" si="40"/>
        <v>1</v>
      </c>
      <c r="R163" s="707">
        <f t="shared" si="41"/>
        <v>0</v>
      </c>
      <c r="S163" s="352">
        <f t="shared" si="32"/>
        <v>0</v>
      </c>
    </row>
    <row r="164" spans="1:19">
      <c r="A164" s="150"/>
      <c r="B164" s="58"/>
      <c r="C164" s="24">
        <f t="shared" si="33"/>
        <v>1</v>
      </c>
      <c r="D164" s="711"/>
      <c r="E164" s="24">
        <f t="shared" si="34"/>
        <v>1</v>
      </c>
      <c r="F164" s="711"/>
      <c r="G164" s="24">
        <f t="shared" si="35"/>
        <v>1</v>
      </c>
      <c r="H164" s="711"/>
      <c r="I164" s="24">
        <f t="shared" si="36"/>
        <v>1</v>
      </c>
      <c r="J164" s="711"/>
      <c r="K164" s="24">
        <f t="shared" si="37"/>
        <v>1</v>
      </c>
      <c r="L164" s="711"/>
      <c r="M164" s="24">
        <f t="shared" si="38"/>
        <v>1</v>
      </c>
      <c r="N164" s="711"/>
      <c r="O164" s="24">
        <f t="shared" si="39"/>
        <v>1</v>
      </c>
      <c r="P164" s="711"/>
      <c r="Q164" s="24">
        <f t="shared" si="40"/>
        <v>1</v>
      </c>
      <c r="R164" s="707">
        <f t="shared" si="41"/>
        <v>0</v>
      </c>
      <c r="S164" s="352">
        <f t="shared" si="32"/>
        <v>0</v>
      </c>
    </row>
    <row r="165" spans="1:19">
      <c r="A165" s="150"/>
      <c r="B165" s="58"/>
      <c r="C165" s="24">
        <f t="shared" si="33"/>
        <v>1</v>
      </c>
      <c r="D165" s="711"/>
      <c r="E165" s="24">
        <f t="shared" si="34"/>
        <v>1</v>
      </c>
      <c r="F165" s="711"/>
      <c r="G165" s="24">
        <f t="shared" si="35"/>
        <v>1</v>
      </c>
      <c r="H165" s="711"/>
      <c r="I165" s="24">
        <f t="shared" si="36"/>
        <v>1</v>
      </c>
      <c r="J165" s="711"/>
      <c r="K165" s="24">
        <f t="shared" si="37"/>
        <v>1</v>
      </c>
      <c r="L165" s="711"/>
      <c r="M165" s="24">
        <f t="shared" si="38"/>
        <v>1</v>
      </c>
      <c r="N165" s="711"/>
      <c r="O165" s="24">
        <f t="shared" si="39"/>
        <v>1</v>
      </c>
      <c r="P165" s="711"/>
      <c r="Q165" s="24">
        <f t="shared" si="40"/>
        <v>1</v>
      </c>
      <c r="R165" s="707">
        <f t="shared" si="41"/>
        <v>0</v>
      </c>
      <c r="S165" s="352">
        <f t="shared" si="32"/>
        <v>0</v>
      </c>
    </row>
    <row r="166" spans="1:19">
      <c r="A166" s="150"/>
      <c r="B166" s="58"/>
      <c r="C166" s="24">
        <f t="shared" si="33"/>
        <v>1</v>
      </c>
      <c r="D166" s="711"/>
      <c r="E166" s="24">
        <f t="shared" si="34"/>
        <v>1</v>
      </c>
      <c r="F166" s="711"/>
      <c r="G166" s="24">
        <f t="shared" si="35"/>
        <v>1</v>
      </c>
      <c r="H166" s="711"/>
      <c r="I166" s="24">
        <f t="shared" si="36"/>
        <v>1</v>
      </c>
      <c r="J166" s="711"/>
      <c r="K166" s="24">
        <f t="shared" si="37"/>
        <v>1</v>
      </c>
      <c r="L166" s="711"/>
      <c r="M166" s="24">
        <f t="shared" si="38"/>
        <v>1</v>
      </c>
      <c r="N166" s="711"/>
      <c r="O166" s="24">
        <f t="shared" si="39"/>
        <v>1</v>
      </c>
      <c r="P166" s="711"/>
      <c r="Q166" s="24">
        <f t="shared" si="40"/>
        <v>1</v>
      </c>
      <c r="R166" s="707">
        <f t="shared" si="41"/>
        <v>0</v>
      </c>
      <c r="S166" s="352">
        <f t="shared" si="32"/>
        <v>0</v>
      </c>
    </row>
    <row r="167" spans="1:19">
      <c r="A167" s="150"/>
      <c r="B167" s="58"/>
      <c r="C167" s="24">
        <f t="shared" si="33"/>
        <v>1</v>
      </c>
      <c r="D167" s="711"/>
      <c r="E167" s="24">
        <f t="shared" si="34"/>
        <v>1</v>
      </c>
      <c r="F167" s="711"/>
      <c r="G167" s="24">
        <f t="shared" si="35"/>
        <v>1</v>
      </c>
      <c r="H167" s="711"/>
      <c r="I167" s="24">
        <f t="shared" si="36"/>
        <v>1</v>
      </c>
      <c r="J167" s="711"/>
      <c r="K167" s="24">
        <f t="shared" si="37"/>
        <v>1</v>
      </c>
      <c r="L167" s="711"/>
      <c r="M167" s="24">
        <f t="shared" si="38"/>
        <v>1</v>
      </c>
      <c r="N167" s="711"/>
      <c r="O167" s="24">
        <f t="shared" si="39"/>
        <v>1</v>
      </c>
      <c r="P167" s="711"/>
      <c r="Q167" s="24">
        <f t="shared" si="40"/>
        <v>1</v>
      </c>
      <c r="R167" s="707">
        <f t="shared" si="41"/>
        <v>0</v>
      </c>
      <c r="S167" s="352">
        <f t="shared" si="32"/>
        <v>0</v>
      </c>
    </row>
    <row r="168" spans="1:19">
      <c r="A168" s="150"/>
      <c r="B168" s="58"/>
      <c r="C168" s="24">
        <f t="shared" si="33"/>
        <v>1</v>
      </c>
      <c r="D168" s="711"/>
      <c r="E168" s="24">
        <f t="shared" si="34"/>
        <v>1</v>
      </c>
      <c r="F168" s="711"/>
      <c r="G168" s="24">
        <f t="shared" si="35"/>
        <v>1</v>
      </c>
      <c r="H168" s="711"/>
      <c r="I168" s="24">
        <f t="shared" si="36"/>
        <v>1</v>
      </c>
      <c r="J168" s="711"/>
      <c r="K168" s="24">
        <f t="shared" si="37"/>
        <v>1</v>
      </c>
      <c r="L168" s="711"/>
      <c r="M168" s="24">
        <f t="shared" si="38"/>
        <v>1</v>
      </c>
      <c r="N168" s="711"/>
      <c r="O168" s="24">
        <f t="shared" si="39"/>
        <v>1</v>
      </c>
      <c r="P168" s="711"/>
      <c r="Q168" s="24">
        <f t="shared" si="40"/>
        <v>1</v>
      </c>
      <c r="R168" s="707">
        <f t="shared" si="41"/>
        <v>0</v>
      </c>
      <c r="S168" s="352">
        <f t="shared" si="32"/>
        <v>0</v>
      </c>
    </row>
    <row r="169" spans="1:19">
      <c r="A169" s="150"/>
      <c r="B169" s="58"/>
      <c r="C169" s="24">
        <f t="shared" si="33"/>
        <v>1</v>
      </c>
      <c r="D169" s="711"/>
      <c r="E169" s="24">
        <f t="shared" si="34"/>
        <v>1</v>
      </c>
      <c r="F169" s="711"/>
      <c r="G169" s="24">
        <f t="shared" si="35"/>
        <v>1</v>
      </c>
      <c r="H169" s="711"/>
      <c r="I169" s="24">
        <f t="shared" si="36"/>
        <v>1</v>
      </c>
      <c r="J169" s="711"/>
      <c r="K169" s="24">
        <f t="shared" si="37"/>
        <v>1</v>
      </c>
      <c r="L169" s="711"/>
      <c r="M169" s="24">
        <f t="shared" si="38"/>
        <v>1</v>
      </c>
      <c r="N169" s="711"/>
      <c r="O169" s="24">
        <f t="shared" si="39"/>
        <v>1</v>
      </c>
      <c r="P169" s="711"/>
      <c r="Q169" s="24">
        <f t="shared" si="40"/>
        <v>1</v>
      </c>
      <c r="R169" s="707">
        <f t="shared" si="41"/>
        <v>0</v>
      </c>
      <c r="S169" s="352">
        <f t="shared" si="32"/>
        <v>0</v>
      </c>
    </row>
    <row r="170" spans="1:19">
      <c r="A170" s="150"/>
      <c r="B170" s="58"/>
      <c r="C170" s="24">
        <f t="shared" si="33"/>
        <v>1</v>
      </c>
      <c r="D170" s="711"/>
      <c r="E170" s="24">
        <f t="shared" si="34"/>
        <v>1</v>
      </c>
      <c r="F170" s="711"/>
      <c r="G170" s="24">
        <f t="shared" si="35"/>
        <v>1</v>
      </c>
      <c r="H170" s="711"/>
      <c r="I170" s="24">
        <f t="shared" si="36"/>
        <v>1</v>
      </c>
      <c r="J170" s="711"/>
      <c r="K170" s="24">
        <f t="shared" si="37"/>
        <v>1</v>
      </c>
      <c r="L170" s="711"/>
      <c r="M170" s="24">
        <f t="shared" si="38"/>
        <v>1</v>
      </c>
      <c r="N170" s="711"/>
      <c r="O170" s="24">
        <f t="shared" si="39"/>
        <v>1</v>
      </c>
      <c r="P170" s="711"/>
      <c r="Q170" s="24">
        <f t="shared" si="40"/>
        <v>1</v>
      </c>
      <c r="R170" s="707">
        <f t="shared" si="41"/>
        <v>0</v>
      </c>
      <c r="S170" s="352">
        <f t="shared" si="32"/>
        <v>0</v>
      </c>
    </row>
    <row r="171" spans="1:19">
      <c r="A171" s="150"/>
      <c r="B171" s="58"/>
      <c r="C171" s="24">
        <f t="shared" si="33"/>
        <v>1</v>
      </c>
      <c r="D171" s="711"/>
      <c r="E171" s="24">
        <f t="shared" si="34"/>
        <v>1</v>
      </c>
      <c r="F171" s="711"/>
      <c r="G171" s="24">
        <f t="shared" si="35"/>
        <v>1</v>
      </c>
      <c r="H171" s="711"/>
      <c r="I171" s="24">
        <f t="shared" si="36"/>
        <v>1</v>
      </c>
      <c r="J171" s="711"/>
      <c r="K171" s="24">
        <f t="shared" si="37"/>
        <v>1</v>
      </c>
      <c r="L171" s="711"/>
      <c r="M171" s="24">
        <f t="shared" si="38"/>
        <v>1</v>
      </c>
      <c r="N171" s="711"/>
      <c r="O171" s="24">
        <f t="shared" si="39"/>
        <v>1</v>
      </c>
      <c r="P171" s="711"/>
      <c r="Q171" s="24">
        <f t="shared" si="40"/>
        <v>1</v>
      </c>
      <c r="R171" s="707">
        <f t="shared" si="41"/>
        <v>0</v>
      </c>
      <c r="S171" s="352">
        <f t="shared" si="32"/>
        <v>0</v>
      </c>
    </row>
    <row r="172" spans="1:19">
      <c r="A172" s="150"/>
      <c r="B172" s="58"/>
      <c r="C172" s="24">
        <f t="shared" si="33"/>
        <v>1</v>
      </c>
      <c r="D172" s="711"/>
      <c r="E172" s="24">
        <f t="shared" si="34"/>
        <v>1</v>
      </c>
      <c r="F172" s="711"/>
      <c r="G172" s="24">
        <f t="shared" si="35"/>
        <v>1</v>
      </c>
      <c r="H172" s="711"/>
      <c r="I172" s="24">
        <f t="shared" si="36"/>
        <v>1</v>
      </c>
      <c r="J172" s="711"/>
      <c r="K172" s="24">
        <f t="shared" si="37"/>
        <v>1</v>
      </c>
      <c r="L172" s="711"/>
      <c r="M172" s="24">
        <f t="shared" si="38"/>
        <v>1</v>
      </c>
      <c r="N172" s="711"/>
      <c r="O172" s="24">
        <f t="shared" si="39"/>
        <v>1</v>
      </c>
      <c r="P172" s="711"/>
      <c r="Q172" s="24">
        <f t="shared" si="40"/>
        <v>1</v>
      </c>
      <c r="R172" s="707">
        <f t="shared" si="41"/>
        <v>0</v>
      </c>
      <c r="S172" s="352">
        <f t="shared" si="32"/>
        <v>0</v>
      </c>
    </row>
    <row r="173" spans="1:19">
      <c r="A173" s="150"/>
      <c r="B173" s="58"/>
      <c r="C173" s="24">
        <f t="shared" si="33"/>
        <v>1</v>
      </c>
      <c r="D173" s="711"/>
      <c r="E173" s="24">
        <f t="shared" si="34"/>
        <v>1</v>
      </c>
      <c r="F173" s="711"/>
      <c r="G173" s="24">
        <f t="shared" si="35"/>
        <v>1</v>
      </c>
      <c r="H173" s="711"/>
      <c r="I173" s="24">
        <f t="shared" si="36"/>
        <v>1</v>
      </c>
      <c r="J173" s="711"/>
      <c r="K173" s="24">
        <f t="shared" si="37"/>
        <v>1</v>
      </c>
      <c r="L173" s="711"/>
      <c r="M173" s="24">
        <f t="shared" si="38"/>
        <v>1</v>
      </c>
      <c r="N173" s="711"/>
      <c r="O173" s="24">
        <f t="shared" si="39"/>
        <v>1</v>
      </c>
      <c r="P173" s="711"/>
      <c r="Q173" s="24">
        <f t="shared" si="40"/>
        <v>1</v>
      </c>
      <c r="R173" s="707">
        <f t="shared" si="41"/>
        <v>0</v>
      </c>
      <c r="S173" s="352">
        <f t="shared" si="32"/>
        <v>0</v>
      </c>
    </row>
    <row r="174" spans="1:19">
      <c r="A174" s="150"/>
      <c r="B174" s="58"/>
      <c r="C174" s="24">
        <f t="shared" si="33"/>
        <v>1</v>
      </c>
      <c r="D174" s="711"/>
      <c r="E174" s="24">
        <f t="shared" si="34"/>
        <v>1</v>
      </c>
      <c r="F174" s="711"/>
      <c r="G174" s="24">
        <f t="shared" si="35"/>
        <v>1</v>
      </c>
      <c r="H174" s="711"/>
      <c r="I174" s="24">
        <f t="shared" si="36"/>
        <v>1</v>
      </c>
      <c r="J174" s="711"/>
      <c r="K174" s="24">
        <f t="shared" si="37"/>
        <v>1</v>
      </c>
      <c r="L174" s="711"/>
      <c r="M174" s="24">
        <f t="shared" si="38"/>
        <v>1</v>
      </c>
      <c r="N174" s="711"/>
      <c r="O174" s="24">
        <f t="shared" si="39"/>
        <v>1</v>
      </c>
      <c r="P174" s="711"/>
      <c r="Q174" s="24">
        <f t="shared" si="40"/>
        <v>1</v>
      </c>
      <c r="R174" s="707">
        <f t="shared" si="41"/>
        <v>0</v>
      </c>
      <c r="S174" s="352">
        <f t="shared" si="32"/>
        <v>0</v>
      </c>
    </row>
    <row r="175" spans="1:19">
      <c r="A175" s="150"/>
      <c r="B175" s="58"/>
      <c r="C175" s="24">
        <f t="shared" si="33"/>
        <v>1</v>
      </c>
      <c r="D175" s="711"/>
      <c r="E175" s="24">
        <f t="shared" si="34"/>
        <v>1</v>
      </c>
      <c r="F175" s="711"/>
      <c r="G175" s="24">
        <f t="shared" si="35"/>
        <v>1</v>
      </c>
      <c r="H175" s="711"/>
      <c r="I175" s="24">
        <f t="shared" si="36"/>
        <v>1</v>
      </c>
      <c r="J175" s="711"/>
      <c r="K175" s="24">
        <f t="shared" si="37"/>
        <v>1</v>
      </c>
      <c r="L175" s="711"/>
      <c r="M175" s="24">
        <f t="shared" si="38"/>
        <v>1</v>
      </c>
      <c r="N175" s="711"/>
      <c r="O175" s="24">
        <f t="shared" si="39"/>
        <v>1</v>
      </c>
      <c r="P175" s="711"/>
      <c r="Q175" s="24">
        <f t="shared" si="40"/>
        <v>1</v>
      </c>
      <c r="R175" s="707">
        <f t="shared" si="41"/>
        <v>0</v>
      </c>
      <c r="S175" s="352">
        <f t="shared" si="32"/>
        <v>0</v>
      </c>
    </row>
    <row r="176" spans="1:19">
      <c r="A176" s="150"/>
      <c r="B176" s="58"/>
      <c r="C176" s="24">
        <f t="shared" si="33"/>
        <v>1</v>
      </c>
      <c r="D176" s="711"/>
      <c r="E176" s="24">
        <f t="shared" si="34"/>
        <v>1</v>
      </c>
      <c r="F176" s="711"/>
      <c r="G176" s="24">
        <f t="shared" si="35"/>
        <v>1</v>
      </c>
      <c r="H176" s="711"/>
      <c r="I176" s="24">
        <f t="shared" si="36"/>
        <v>1</v>
      </c>
      <c r="J176" s="711"/>
      <c r="K176" s="24">
        <f t="shared" si="37"/>
        <v>1</v>
      </c>
      <c r="L176" s="711"/>
      <c r="M176" s="24">
        <f t="shared" si="38"/>
        <v>1</v>
      </c>
      <c r="N176" s="711"/>
      <c r="O176" s="24">
        <f t="shared" si="39"/>
        <v>1</v>
      </c>
      <c r="P176" s="711"/>
      <c r="Q176" s="24">
        <f t="shared" si="40"/>
        <v>1</v>
      </c>
      <c r="R176" s="707">
        <f t="shared" si="41"/>
        <v>0</v>
      </c>
      <c r="S176" s="352">
        <f t="shared" si="32"/>
        <v>0</v>
      </c>
    </row>
    <row r="177" spans="1:19">
      <c r="A177" s="150"/>
      <c r="B177" s="58"/>
      <c r="C177" s="24">
        <f t="shared" si="33"/>
        <v>1</v>
      </c>
      <c r="D177" s="711"/>
      <c r="E177" s="24">
        <f t="shared" si="34"/>
        <v>1</v>
      </c>
      <c r="F177" s="711"/>
      <c r="G177" s="24">
        <f t="shared" si="35"/>
        <v>1</v>
      </c>
      <c r="H177" s="711"/>
      <c r="I177" s="24">
        <f t="shared" si="36"/>
        <v>1</v>
      </c>
      <c r="J177" s="711"/>
      <c r="K177" s="24">
        <f t="shared" si="37"/>
        <v>1</v>
      </c>
      <c r="L177" s="711"/>
      <c r="M177" s="24">
        <f t="shared" si="38"/>
        <v>1</v>
      </c>
      <c r="N177" s="711"/>
      <c r="O177" s="24">
        <f t="shared" si="39"/>
        <v>1</v>
      </c>
      <c r="P177" s="711"/>
      <c r="Q177" s="24">
        <f t="shared" si="40"/>
        <v>1</v>
      </c>
      <c r="R177" s="707">
        <f t="shared" si="41"/>
        <v>0</v>
      </c>
      <c r="S177" s="352">
        <f t="shared" si="32"/>
        <v>0</v>
      </c>
    </row>
    <row r="178" spans="1:19">
      <c r="A178" s="150"/>
      <c r="B178" s="58"/>
      <c r="C178" s="24">
        <f t="shared" si="33"/>
        <v>1</v>
      </c>
      <c r="D178" s="711"/>
      <c r="E178" s="24">
        <f t="shared" si="34"/>
        <v>1</v>
      </c>
      <c r="F178" s="711"/>
      <c r="G178" s="24">
        <f t="shared" si="35"/>
        <v>1</v>
      </c>
      <c r="H178" s="711"/>
      <c r="I178" s="24">
        <f t="shared" si="36"/>
        <v>1</v>
      </c>
      <c r="J178" s="711"/>
      <c r="K178" s="24">
        <f t="shared" si="37"/>
        <v>1</v>
      </c>
      <c r="L178" s="711"/>
      <c r="M178" s="24">
        <f t="shared" si="38"/>
        <v>1</v>
      </c>
      <c r="N178" s="711"/>
      <c r="O178" s="24">
        <f t="shared" si="39"/>
        <v>1</v>
      </c>
      <c r="P178" s="711"/>
      <c r="Q178" s="24">
        <f t="shared" si="40"/>
        <v>1</v>
      </c>
      <c r="R178" s="707">
        <f t="shared" si="41"/>
        <v>0</v>
      </c>
      <c r="S178" s="352">
        <f t="shared" si="32"/>
        <v>0</v>
      </c>
    </row>
    <row r="179" spans="1:19">
      <c r="A179" s="150"/>
      <c r="B179" s="58"/>
      <c r="C179" s="24">
        <f t="shared" si="33"/>
        <v>1</v>
      </c>
      <c r="D179" s="711"/>
      <c r="E179" s="24">
        <f t="shared" si="34"/>
        <v>1</v>
      </c>
      <c r="F179" s="711"/>
      <c r="G179" s="24">
        <f t="shared" si="35"/>
        <v>1</v>
      </c>
      <c r="H179" s="711"/>
      <c r="I179" s="24">
        <f t="shared" si="36"/>
        <v>1</v>
      </c>
      <c r="J179" s="711"/>
      <c r="K179" s="24">
        <f t="shared" si="37"/>
        <v>1</v>
      </c>
      <c r="L179" s="711"/>
      <c r="M179" s="24">
        <f t="shared" si="38"/>
        <v>1</v>
      </c>
      <c r="N179" s="711"/>
      <c r="O179" s="24">
        <f t="shared" si="39"/>
        <v>1</v>
      </c>
      <c r="P179" s="711"/>
      <c r="Q179" s="24">
        <f t="shared" si="40"/>
        <v>1</v>
      </c>
      <c r="R179" s="707">
        <f t="shared" si="41"/>
        <v>0</v>
      </c>
      <c r="S179" s="352">
        <f t="shared" si="32"/>
        <v>0</v>
      </c>
    </row>
    <row r="180" spans="1:19">
      <c r="A180" s="150"/>
      <c r="B180" s="58"/>
      <c r="C180" s="24">
        <f t="shared" si="33"/>
        <v>1</v>
      </c>
      <c r="D180" s="711"/>
      <c r="E180" s="24">
        <f t="shared" si="34"/>
        <v>1</v>
      </c>
      <c r="F180" s="711"/>
      <c r="G180" s="24">
        <f t="shared" si="35"/>
        <v>1</v>
      </c>
      <c r="H180" s="711"/>
      <c r="I180" s="24">
        <f t="shared" si="36"/>
        <v>1</v>
      </c>
      <c r="J180" s="711"/>
      <c r="K180" s="24">
        <f t="shared" si="37"/>
        <v>1</v>
      </c>
      <c r="L180" s="711"/>
      <c r="M180" s="24">
        <f t="shared" si="38"/>
        <v>1</v>
      </c>
      <c r="N180" s="711"/>
      <c r="O180" s="24">
        <f t="shared" si="39"/>
        <v>1</v>
      </c>
      <c r="P180" s="711"/>
      <c r="Q180" s="24">
        <f t="shared" si="40"/>
        <v>1</v>
      </c>
      <c r="R180" s="707">
        <f t="shared" si="41"/>
        <v>0</v>
      </c>
      <c r="S180" s="352">
        <f t="shared" si="32"/>
        <v>0</v>
      </c>
    </row>
    <row r="181" spans="1:19">
      <c r="A181" s="150"/>
      <c r="B181" s="58"/>
      <c r="C181" s="24">
        <f t="shared" si="33"/>
        <v>1</v>
      </c>
      <c r="D181" s="711"/>
      <c r="E181" s="24">
        <f t="shared" si="34"/>
        <v>1</v>
      </c>
      <c r="F181" s="711"/>
      <c r="G181" s="24">
        <f t="shared" si="35"/>
        <v>1</v>
      </c>
      <c r="H181" s="711"/>
      <c r="I181" s="24">
        <f t="shared" si="36"/>
        <v>1</v>
      </c>
      <c r="J181" s="711"/>
      <c r="K181" s="24">
        <f t="shared" si="37"/>
        <v>1</v>
      </c>
      <c r="L181" s="711"/>
      <c r="M181" s="24">
        <f t="shared" si="38"/>
        <v>1</v>
      </c>
      <c r="N181" s="711"/>
      <c r="O181" s="24">
        <f t="shared" si="39"/>
        <v>1</v>
      </c>
      <c r="P181" s="711"/>
      <c r="Q181" s="24">
        <f t="shared" si="40"/>
        <v>1</v>
      </c>
      <c r="R181" s="707">
        <f t="shared" si="41"/>
        <v>0</v>
      </c>
      <c r="S181" s="352">
        <f t="shared" si="32"/>
        <v>0</v>
      </c>
    </row>
    <row r="182" spans="1:19">
      <c r="A182" s="150"/>
      <c r="B182" s="58"/>
      <c r="C182" s="24">
        <f t="shared" si="33"/>
        <v>1</v>
      </c>
      <c r="D182" s="711"/>
      <c r="E182" s="24">
        <f t="shared" si="34"/>
        <v>1</v>
      </c>
      <c r="F182" s="711"/>
      <c r="G182" s="24">
        <f t="shared" si="35"/>
        <v>1</v>
      </c>
      <c r="H182" s="711"/>
      <c r="I182" s="24">
        <f t="shared" si="36"/>
        <v>1</v>
      </c>
      <c r="J182" s="711"/>
      <c r="K182" s="24">
        <f t="shared" si="37"/>
        <v>1</v>
      </c>
      <c r="L182" s="711"/>
      <c r="M182" s="24">
        <f t="shared" si="38"/>
        <v>1</v>
      </c>
      <c r="N182" s="711"/>
      <c r="O182" s="24">
        <f t="shared" si="39"/>
        <v>1</v>
      </c>
      <c r="P182" s="711"/>
      <c r="Q182" s="24">
        <f t="shared" si="40"/>
        <v>1</v>
      </c>
      <c r="R182" s="707">
        <f t="shared" si="41"/>
        <v>0</v>
      </c>
      <c r="S182" s="352">
        <f t="shared" si="32"/>
        <v>0</v>
      </c>
    </row>
    <row r="183" spans="1:19">
      <c r="A183" s="150"/>
      <c r="B183" s="58"/>
      <c r="C183" s="24">
        <f t="shared" si="33"/>
        <v>1</v>
      </c>
      <c r="D183" s="711"/>
      <c r="E183" s="24">
        <f t="shared" si="34"/>
        <v>1</v>
      </c>
      <c r="F183" s="711"/>
      <c r="G183" s="24">
        <f t="shared" si="35"/>
        <v>1</v>
      </c>
      <c r="H183" s="711"/>
      <c r="I183" s="24">
        <f t="shared" si="36"/>
        <v>1</v>
      </c>
      <c r="J183" s="711"/>
      <c r="K183" s="24">
        <f t="shared" si="37"/>
        <v>1</v>
      </c>
      <c r="L183" s="711"/>
      <c r="M183" s="24">
        <f t="shared" si="38"/>
        <v>1</v>
      </c>
      <c r="N183" s="711"/>
      <c r="O183" s="24">
        <f t="shared" si="39"/>
        <v>1</v>
      </c>
      <c r="P183" s="711"/>
      <c r="Q183" s="24">
        <f t="shared" si="40"/>
        <v>1</v>
      </c>
      <c r="R183" s="707">
        <f t="shared" si="41"/>
        <v>0</v>
      </c>
      <c r="S183" s="352">
        <f t="shared" si="32"/>
        <v>0</v>
      </c>
    </row>
    <row r="184" spans="1:19">
      <c r="A184" s="150"/>
      <c r="B184" s="58"/>
      <c r="C184" s="24">
        <f t="shared" si="33"/>
        <v>1</v>
      </c>
      <c r="D184" s="711"/>
      <c r="E184" s="24">
        <f t="shared" si="34"/>
        <v>1</v>
      </c>
      <c r="F184" s="711"/>
      <c r="G184" s="24">
        <f t="shared" si="35"/>
        <v>1</v>
      </c>
      <c r="H184" s="711"/>
      <c r="I184" s="24">
        <f t="shared" si="36"/>
        <v>1</v>
      </c>
      <c r="J184" s="711"/>
      <c r="K184" s="24">
        <f t="shared" si="37"/>
        <v>1</v>
      </c>
      <c r="L184" s="711"/>
      <c r="M184" s="24">
        <f t="shared" si="38"/>
        <v>1</v>
      </c>
      <c r="N184" s="711"/>
      <c r="O184" s="24">
        <f t="shared" si="39"/>
        <v>1</v>
      </c>
      <c r="P184" s="711"/>
      <c r="Q184" s="24">
        <f t="shared" si="40"/>
        <v>1</v>
      </c>
      <c r="R184" s="707">
        <f t="shared" si="41"/>
        <v>0</v>
      </c>
      <c r="S184" s="352">
        <f t="shared" si="32"/>
        <v>0</v>
      </c>
    </row>
    <row r="185" spans="1:19">
      <c r="A185" s="150"/>
      <c r="B185" s="58"/>
      <c r="C185" s="24">
        <f t="shared" si="33"/>
        <v>1</v>
      </c>
      <c r="D185" s="711"/>
      <c r="E185" s="24">
        <f t="shared" si="34"/>
        <v>1</v>
      </c>
      <c r="F185" s="711"/>
      <c r="G185" s="24">
        <f t="shared" si="35"/>
        <v>1</v>
      </c>
      <c r="H185" s="711"/>
      <c r="I185" s="24">
        <f t="shared" si="36"/>
        <v>1</v>
      </c>
      <c r="J185" s="711"/>
      <c r="K185" s="24">
        <f t="shared" si="37"/>
        <v>1</v>
      </c>
      <c r="L185" s="711"/>
      <c r="M185" s="24">
        <f t="shared" si="38"/>
        <v>1</v>
      </c>
      <c r="N185" s="711"/>
      <c r="O185" s="24">
        <f t="shared" si="39"/>
        <v>1</v>
      </c>
      <c r="P185" s="711"/>
      <c r="Q185" s="24">
        <f t="shared" si="40"/>
        <v>1</v>
      </c>
      <c r="R185" s="707">
        <f t="shared" si="41"/>
        <v>0</v>
      </c>
      <c r="S185" s="352">
        <f t="shared" si="32"/>
        <v>0</v>
      </c>
    </row>
    <row r="186" spans="1:19">
      <c r="A186" s="150"/>
      <c r="B186" s="58"/>
      <c r="C186" s="24">
        <f t="shared" si="33"/>
        <v>1</v>
      </c>
      <c r="D186" s="711"/>
      <c r="E186" s="24">
        <f t="shared" si="34"/>
        <v>1</v>
      </c>
      <c r="F186" s="711"/>
      <c r="G186" s="24">
        <f t="shared" si="35"/>
        <v>1</v>
      </c>
      <c r="H186" s="711"/>
      <c r="I186" s="24">
        <f t="shared" si="36"/>
        <v>1</v>
      </c>
      <c r="J186" s="711"/>
      <c r="K186" s="24">
        <f t="shared" si="37"/>
        <v>1</v>
      </c>
      <c r="L186" s="711"/>
      <c r="M186" s="24">
        <f t="shared" si="38"/>
        <v>1</v>
      </c>
      <c r="N186" s="711"/>
      <c r="O186" s="24">
        <f t="shared" si="39"/>
        <v>1</v>
      </c>
      <c r="P186" s="711"/>
      <c r="Q186" s="24">
        <f t="shared" si="40"/>
        <v>1</v>
      </c>
      <c r="R186" s="707">
        <f t="shared" si="41"/>
        <v>0</v>
      </c>
      <c r="S186" s="352">
        <f t="shared" si="32"/>
        <v>0</v>
      </c>
    </row>
    <row r="187" spans="1:19">
      <c r="A187" s="150"/>
      <c r="B187" s="58"/>
      <c r="C187" s="24">
        <f t="shared" si="33"/>
        <v>1</v>
      </c>
      <c r="D187" s="711"/>
      <c r="E187" s="24">
        <f t="shared" si="34"/>
        <v>1</v>
      </c>
      <c r="F187" s="711"/>
      <c r="G187" s="24">
        <f t="shared" si="35"/>
        <v>1</v>
      </c>
      <c r="H187" s="711"/>
      <c r="I187" s="24">
        <f t="shared" si="36"/>
        <v>1</v>
      </c>
      <c r="J187" s="711"/>
      <c r="K187" s="24">
        <f t="shared" si="37"/>
        <v>1</v>
      </c>
      <c r="L187" s="711"/>
      <c r="M187" s="24">
        <f t="shared" si="38"/>
        <v>1</v>
      </c>
      <c r="N187" s="711"/>
      <c r="O187" s="24">
        <f t="shared" si="39"/>
        <v>1</v>
      </c>
      <c r="P187" s="711"/>
      <c r="Q187" s="24">
        <f t="shared" si="40"/>
        <v>1</v>
      </c>
      <c r="R187" s="707">
        <f t="shared" si="41"/>
        <v>0</v>
      </c>
      <c r="S187" s="352">
        <f t="shared" ref="S187:S222" si="42">ROUND(R187*B187/10000,0)</f>
        <v>0</v>
      </c>
    </row>
    <row r="188" spans="1:19">
      <c r="A188" s="150"/>
      <c r="B188" s="58"/>
      <c r="C188" s="24">
        <f t="shared" si="33"/>
        <v>1</v>
      </c>
      <c r="D188" s="711"/>
      <c r="E188" s="24">
        <f t="shared" si="34"/>
        <v>1</v>
      </c>
      <c r="F188" s="711"/>
      <c r="G188" s="24">
        <f t="shared" si="35"/>
        <v>1</v>
      </c>
      <c r="H188" s="711"/>
      <c r="I188" s="24">
        <f t="shared" si="36"/>
        <v>1</v>
      </c>
      <c r="J188" s="711"/>
      <c r="K188" s="24">
        <f t="shared" si="37"/>
        <v>1</v>
      </c>
      <c r="L188" s="711"/>
      <c r="M188" s="24">
        <f t="shared" si="38"/>
        <v>1</v>
      </c>
      <c r="N188" s="711"/>
      <c r="O188" s="24">
        <f t="shared" si="39"/>
        <v>1</v>
      </c>
      <c r="P188" s="711"/>
      <c r="Q188" s="24">
        <f t="shared" si="40"/>
        <v>1</v>
      </c>
      <c r="R188" s="707">
        <f t="shared" si="41"/>
        <v>0</v>
      </c>
      <c r="S188" s="352">
        <f t="shared" si="42"/>
        <v>0</v>
      </c>
    </row>
    <row r="189" spans="1:19">
      <c r="A189" s="150"/>
      <c r="B189" s="58"/>
      <c r="C189" s="24">
        <f t="shared" si="33"/>
        <v>1</v>
      </c>
      <c r="D189" s="711"/>
      <c r="E189" s="24">
        <f t="shared" si="34"/>
        <v>1</v>
      </c>
      <c r="F189" s="711"/>
      <c r="G189" s="24">
        <f t="shared" si="35"/>
        <v>1</v>
      </c>
      <c r="H189" s="711"/>
      <c r="I189" s="24">
        <f t="shared" si="36"/>
        <v>1</v>
      </c>
      <c r="J189" s="711"/>
      <c r="K189" s="24">
        <f t="shared" si="37"/>
        <v>1</v>
      </c>
      <c r="L189" s="711"/>
      <c r="M189" s="24">
        <f t="shared" si="38"/>
        <v>1</v>
      </c>
      <c r="N189" s="711"/>
      <c r="O189" s="24">
        <f t="shared" si="39"/>
        <v>1</v>
      </c>
      <c r="P189" s="711"/>
      <c r="Q189" s="24">
        <f t="shared" si="40"/>
        <v>1</v>
      </c>
      <c r="R189" s="707">
        <f t="shared" si="41"/>
        <v>0</v>
      </c>
      <c r="S189" s="352">
        <f t="shared" si="42"/>
        <v>0</v>
      </c>
    </row>
    <row r="190" spans="1:19">
      <c r="A190" s="150"/>
      <c r="B190" s="58"/>
      <c r="C190" s="24">
        <f t="shared" si="33"/>
        <v>1</v>
      </c>
      <c r="D190" s="711"/>
      <c r="E190" s="24">
        <f t="shared" si="34"/>
        <v>1</v>
      </c>
      <c r="F190" s="711"/>
      <c r="G190" s="24">
        <f t="shared" si="35"/>
        <v>1</v>
      </c>
      <c r="H190" s="711"/>
      <c r="I190" s="24">
        <f t="shared" si="36"/>
        <v>1</v>
      </c>
      <c r="J190" s="711"/>
      <c r="K190" s="24">
        <f t="shared" si="37"/>
        <v>1</v>
      </c>
      <c r="L190" s="711"/>
      <c r="M190" s="24">
        <f t="shared" si="38"/>
        <v>1</v>
      </c>
      <c r="N190" s="711"/>
      <c r="O190" s="24">
        <f t="shared" si="39"/>
        <v>1</v>
      </c>
      <c r="P190" s="711"/>
      <c r="Q190" s="24">
        <f t="shared" si="40"/>
        <v>1</v>
      </c>
      <c r="R190" s="707">
        <f t="shared" si="41"/>
        <v>0</v>
      </c>
      <c r="S190" s="352">
        <f t="shared" si="42"/>
        <v>0</v>
      </c>
    </row>
    <row r="191" spans="1:19">
      <c r="A191" s="150"/>
      <c r="B191" s="58"/>
      <c r="C191" s="24">
        <f t="shared" si="33"/>
        <v>1</v>
      </c>
      <c r="D191" s="711"/>
      <c r="E191" s="24">
        <f t="shared" si="34"/>
        <v>1</v>
      </c>
      <c r="F191" s="711"/>
      <c r="G191" s="24">
        <f t="shared" si="35"/>
        <v>1</v>
      </c>
      <c r="H191" s="711"/>
      <c r="I191" s="24">
        <f t="shared" si="36"/>
        <v>1</v>
      </c>
      <c r="J191" s="711"/>
      <c r="K191" s="24">
        <f t="shared" si="37"/>
        <v>1</v>
      </c>
      <c r="L191" s="711"/>
      <c r="M191" s="24">
        <f t="shared" si="38"/>
        <v>1</v>
      </c>
      <c r="N191" s="711"/>
      <c r="O191" s="24">
        <f t="shared" si="39"/>
        <v>1</v>
      </c>
      <c r="P191" s="711"/>
      <c r="Q191" s="24">
        <f t="shared" si="40"/>
        <v>1</v>
      </c>
      <c r="R191" s="707">
        <f t="shared" si="41"/>
        <v>0</v>
      </c>
      <c r="S191" s="352">
        <f t="shared" si="42"/>
        <v>0</v>
      </c>
    </row>
    <row r="192" spans="1:19">
      <c r="A192" s="150"/>
      <c r="B192" s="58"/>
      <c r="C192" s="24">
        <f t="shared" si="33"/>
        <v>1</v>
      </c>
      <c r="D192" s="711"/>
      <c r="E192" s="24">
        <f t="shared" si="34"/>
        <v>1</v>
      </c>
      <c r="F192" s="711"/>
      <c r="G192" s="24">
        <f t="shared" si="35"/>
        <v>1</v>
      </c>
      <c r="H192" s="711"/>
      <c r="I192" s="24">
        <f t="shared" si="36"/>
        <v>1</v>
      </c>
      <c r="J192" s="711"/>
      <c r="K192" s="24">
        <f t="shared" si="37"/>
        <v>1</v>
      </c>
      <c r="L192" s="711"/>
      <c r="M192" s="24">
        <f t="shared" si="38"/>
        <v>1</v>
      </c>
      <c r="N192" s="711"/>
      <c r="O192" s="24">
        <f t="shared" si="39"/>
        <v>1</v>
      </c>
      <c r="P192" s="711"/>
      <c r="Q192" s="24">
        <f t="shared" si="40"/>
        <v>1</v>
      </c>
      <c r="R192" s="707">
        <f t="shared" si="41"/>
        <v>0</v>
      </c>
      <c r="S192" s="352">
        <f t="shared" si="42"/>
        <v>0</v>
      </c>
    </row>
    <row r="193" spans="1:19">
      <c r="A193" s="150"/>
      <c r="B193" s="58"/>
      <c r="C193" s="24">
        <f t="shared" si="33"/>
        <v>1</v>
      </c>
      <c r="D193" s="711"/>
      <c r="E193" s="24">
        <f t="shared" si="34"/>
        <v>1</v>
      </c>
      <c r="F193" s="711"/>
      <c r="G193" s="24">
        <f t="shared" si="35"/>
        <v>1</v>
      </c>
      <c r="H193" s="711"/>
      <c r="I193" s="24">
        <f t="shared" si="36"/>
        <v>1</v>
      </c>
      <c r="J193" s="711"/>
      <c r="K193" s="24">
        <f t="shared" si="37"/>
        <v>1</v>
      </c>
      <c r="L193" s="711"/>
      <c r="M193" s="24">
        <f t="shared" si="38"/>
        <v>1</v>
      </c>
      <c r="N193" s="711"/>
      <c r="O193" s="24">
        <f t="shared" si="39"/>
        <v>1</v>
      </c>
      <c r="P193" s="711"/>
      <c r="Q193" s="24">
        <f t="shared" si="40"/>
        <v>1</v>
      </c>
      <c r="R193" s="707">
        <f t="shared" si="41"/>
        <v>0</v>
      </c>
      <c r="S193" s="352">
        <f t="shared" si="42"/>
        <v>0</v>
      </c>
    </row>
    <row r="194" spans="1:19">
      <c r="A194" s="150"/>
      <c r="B194" s="58"/>
      <c r="C194" s="24">
        <f t="shared" si="33"/>
        <v>1</v>
      </c>
      <c r="D194" s="711"/>
      <c r="E194" s="24">
        <f t="shared" si="34"/>
        <v>1</v>
      </c>
      <c r="F194" s="711"/>
      <c r="G194" s="24">
        <f t="shared" si="35"/>
        <v>1</v>
      </c>
      <c r="H194" s="711"/>
      <c r="I194" s="24">
        <f t="shared" si="36"/>
        <v>1</v>
      </c>
      <c r="J194" s="711"/>
      <c r="K194" s="24">
        <f t="shared" si="37"/>
        <v>1</v>
      </c>
      <c r="L194" s="711"/>
      <c r="M194" s="24">
        <f t="shared" si="38"/>
        <v>1</v>
      </c>
      <c r="N194" s="711"/>
      <c r="O194" s="24">
        <f t="shared" si="39"/>
        <v>1</v>
      </c>
      <c r="P194" s="711"/>
      <c r="Q194" s="24">
        <f t="shared" si="40"/>
        <v>1</v>
      </c>
      <c r="R194" s="707">
        <f t="shared" si="41"/>
        <v>0</v>
      </c>
      <c r="S194" s="352">
        <f t="shared" si="42"/>
        <v>0</v>
      </c>
    </row>
    <row r="195" spans="1:19">
      <c r="A195" s="150"/>
      <c r="B195" s="58"/>
      <c r="C195" s="24">
        <f t="shared" si="33"/>
        <v>1</v>
      </c>
      <c r="D195" s="711"/>
      <c r="E195" s="24">
        <f t="shared" si="34"/>
        <v>1</v>
      </c>
      <c r="F195" s="711"/>
      <c r="G195" s="24">
        <f t="shared" si="35"/>
        <v>1</v>
      </c>
      <c r="H195" s="711"/>
      <c r="I195" s="24">
        <f t="shared" si="36"/>
        <v>1</v>
      </c>
      <c r="J195" s="711"/>
      <c r="K195" s="24">
        <f t="shared" si="37"/>
        <v>1</v>
      </c>
      <c r="L195" s="711"/>
      <c r="M195" s="24">
        <f t="shared" si="38"/>
        <v>1</v>
      </c>
      <c r="N195" s="711"/>
      <c r="O195" s="24">
        <f t="shared" si="39"/>
        <v>1</v>
      </c>
      <c r="P195" s="711"/>
      <c r="Q195" s="24">
        <f t="shared" si="40"/>
        <v>1</v>
      </c>
      <c r="R195" s="707">
        <f t="shared" si="41"/>
        <v>0</v>
      </c>
      <c r="S195" s="352">
        <f t="shared" si="42"/>
        <v>0</v>
      </c>
    </row>
    <row r="196" spans="1:19">
      <c r="A196" s="150"/>
      <c r="B196" s="58"/>
      <c r="C196" s="24">
        <f t="shared" si="33"/>
        <v>1</v>
      </c>
      <c r="D196" s="711"/>
      <c r="E196" s="24">
        <f t="shared" si="34"/>
        <v>1</v>
      </c>
      <c r="F196" s="711"/>
      <c r="G196" s="24">
        <f t="shared" si="35"/>
        <v>1</v>
      </c>
      <c r="H196" s="711"/>
      <c r="I196" s="24">
        <f t="shared" si="36"/>
        <v>1</v>
      </c>
      <c r="J196" s="711"/>
      <c r="K196" s="24">
        <f t="shared" si="37"/>
        <v>1</v>
      </c>
      <c r="L196" s="711"/>
      <c r="M196" s="24">
        <f t="shared" si="38"/>
        <v>1</v>
      </c>
      <c r="N196" s="711"/>
      <c r="O196" s="24">
        <f t="shared" si="39"/>
        <v>1</v>
      </c>
      <c r="P196" s="711"/>
      <c r="Q196" s="24">
        <f t="shared" si="40"/>
        <v>1</v>
      </c>
      <c r="R196" s="707">
        <f t="shared" si="41"/>
        <v>0</v>
      </c>
      <c r="S196" s="352">
        <f t="shared" si="42"/>
        <v>0</v>
      </c>
    </row>
    <row r="197" spans="1:19">
      <c r="A197" s="150"/>
      <c r="B197" s="58"/>
      <c r="C197" s="24">
        <f t="shared" si="33"/>
        <v>1</v>
      </c>
      <c r="D197" s="711"/>
      <c r="E197" s="24">
        <f t="shared" si="34"/>
        <v>1</v>
      </c>
      <c r="F197" s="711"/>
      <c r="G197" s="24">
        <f t="shared" si="35"/>
        <v>1</v>
      </c>
      <c r="H197" s="711"/>
      <c r="I197" s="24">
        <f t="shared" si="36"/>
        <v>1</v>
      </c>
      <c r="J197" s="711"/>
      <c r="K197" s="24">
        <f t="shared" si="37"/>
        <v>1</v>
      </c>
      <c r="L197" s="711"/>
      <c r="M197" s="24">
        <f t="shared" si="38"/>
        <v>1</v>
      </c>
      <c r="N197" s="711"/>
      <c r="O197" s="24">
        <f t="shared" si="39"/>
        <v>1</v>
      </c>
      <c r="P197" s="711"/>
      <c r="Q197" s="24">
        <f t="shared" si="40"/>
        <v>1</v>
      </c>
      <c r="R197" s="707">
        <f t="shared" si="41"/>
        <v>0</v>
      </c>
      <c r="S197" s="352">
        <f t="shared" si="42"/>
        <v>0</v>
      </c>
    </row>
    <row r="198" spans="1:19">
      <c r="A198" s="150"/>
      <c r="B198" s="58"/>
      <c r="C198" s="24">
        <f t="shared" si="33"/>
        <v>1</v>
      </c>
      <c r="D198" s="711"/>
      <c r="E198" s="24">
        <f t="shared" si="34"/>
        <v>1</v>
      </c>
      <c r="F198" s="711"/>
      <c r="G198" s="24">
        <f t="shared" si="35"/>
        <v>1</v>
      </c>
      <c r="H198" s="711"/>
      <c r="I198" s="24">
        <f t="shared" si="36"/>
        <v>1</v>
      </c>
      <c r="J198" s="711"/>
      <c r="K198" s="24">
        <f t="shared" si="37"/>
        <v>1</v>
      </c>
      <c r="L198" s="711"/>
      <c r="M198" s="24">
        <f t="shared" si="38"/>
        <v>1</v>
      </c>
      <c r="N198" s="711"/>
      <c r="O198" s="24">
        <f t="shared" si="39"/>
        <v>1</v>
      </c>
      <c r="P198" s="711"/>
      <c r="Q198" s="24">
        <f t="shared" si="40"/>
        <v>1</v>
      </c>
      <c r="R198" s="707">
        <f t="shared" si="41"/>
        <v>0</v>
      </c>
      <c r="S198" s="352">
        <f t="shared" si="42"/>
        <v>0</v>
      </c>
    </row>
    <row r="199" spans="1:19">
      <c r="A199" s="150"/>
      <c r="B199" s="58"/>
      <c r="C199" s="24">
        <f t="shared" si="33"/>
        <v>1</v>
      </c>
      <c r="D199" s="711"/>
      <c r="E199" s="24">
        <f t="shared" si="34"/>
        <v>1</v>
      </c>
      <c r="F199" s="711"/>
      <c r="G199" s="24">
        <f t="shared" si="35"/>
        <v>1</v>
      </c>
      <c r="H199" s="711"/>
      <c r="I199" s="24">
        <f t="shared" si="36"/>
        <v>1</v>
      </c>
      <c r="J199" s="711"/>
      <c r="K199" s="24">
        <f t="shared" si="37"/>
        <v>1</v>
      </c>
      <c r="L199" s="711"/>
      <c r="M199" s="24">
        <f t="shared" si="38"/>
        <v>1</v>
      </c>
      <c r="N199" s="711"/>
      <c r="O199" s="24">
        <f t="shared" si="39"/>
        <v>1</v>
      </c>
      <c r="P199" s="711"/>
      <c r="Q199" s="24">
        <f t="shared" si="40"/>
        <v>1</v>
      </c>
      <c r="R199" s="707">
        <f t="shared" si="41"/>
        <v>0</v>
      </c>
      <c r="S199" s="352">
        <f t="shared" si="42"/>
        <v>0</v>
      </c>
    </row>
    <row r="200" spans="1:19">
      <c r="A200" s="150"/>
      <c r="B200" s="58"/>
      <c r="C200" s="24">
        <f t="shared" si="33"/>
        <v>1</v>
      </c>
      <c r="D200" s="711"/>
      <c r="E200" s="24">
        <f t="shared" si="34"/>
        <v>1</v>
      </c>
      <c r="F200" s="711"/>
      <c r="G200" s="24">
        <f t="shared" si="35"/>
        <v>1</v>
      </c>
      <c r="H200" s="711"/>
      <c r="I200" s="24">
        <f t="shared" si="36"/>
        <v>1</v>
      </c>
      <c r="J200" s="711"/>
      <c r="K200" s="24">
        <f t="shared" si="37"/>
        <v>1</v>
      </c>
      <c r="L200" s="711"/>
      <c r="M200" s="24">
        <f t="shared" si="38"/>
        <v>1</v>
      </c>
      <c r="N200" s="711"/>
      <c r="O200" s="24">
        <f t="shared" si="39"/>
        <v>1</v>
      </c>
      <c r="P200" s="711"/>
      <c r="Q200" s="24">
        <f t="shared" si="40"/>
        <v>1</v>
      </c>
      <c r="R200" s="707">
        <f t="shared" si="41"/>
        <v>0</v>
      </c>
      <c r="S200" s="352">
        <f t="shared" si="42"/>
        <v>0</v>
      </c>
    </row>
    <row r="201" spans="1:19">
      <c r="A201" s="150"/>
      <c r="B201" s="58"/>
      <c r="C201" s="24">
        <f t="shared" si="33"/>
        <v>1</v>
      </c>
      <c r="D201" s="711"/>
      <c r="E201" s="24">
        <f t="shared" si="34"/>
        <v>1</v>
      </c>
      <c r="F201" s="711"/>
      <c r="G201" s="24">
        <f t="shared" si="35"/>
        <v>1</v>
      </c>
      <c r="H201" s="711"/>
      <c r="I201" s="24">
        <f t="shared" si="36"/>
        <v>1</v>
      </c>
      <c r="J201" s="711"/>
      <c r="K201" s="24">
        <f t="shared" si="37"/>
        <v>1</v>
      </c>
      <c r="L201" s="711"/>
      <c r="M201" s="24">
        <f t="shared" si="38"/>
        <v>1</v>
      </c>
      <c r="N201" s="711"/>
      <c r="O201" s="24">
        <f t="shared" si="39"/>
        <v>1</v>
      </c>
      <c r="P201" s="711"/>
      <c r="Q201" s="24">
        <f t="shared" si="40"/>
        <v>1</v>
      </c>
      <c r="R201" s="707">
        <f t="shared" si="41"/>
        <v>0</v>
      </c>
      <c r="S201" s="352">
        <f t="shared" si="42"/>
        <v>0</v>
      </c>
    </row>
    <row r="202" spans="1:19">
      <c r="A202" s="150"/>
      <c r="B202" s="58"/>
      <c r="C202" s="24">
        <f t="shared" si="33"/>
        <v>1</v>
      </c>
      <c r="D202" s="711"/>
      <c r="E202" s="24">
        <f t="shared" si="34"/>
        <v>1</v>
      </c>
      <c r="F202" s="711"/>
      <c r="G202" s="24">
        <f t="shared" si="35"/>
        <v>1</v>
      </c>
      <c r="H202" s="711"/>
      <c r="I202" s="24">
        <f t="shared" si="36"/>
        <v>1</v>
      </c>
      <c r="J202" s="711"/>
      <c r="K202" s="24">
        <f t="shared" si="37"/>
        <v>1</v>
      </c>
      <c r="L202" s="711"/>
      <c r="M202" s="24">
        <f t="shared" si="38"/>
        <v>1</v>
      </c>
      <c r="N202" s="711"/>
      <c r="O202" s="24">
        <f t="shared" si="39"/>
        <v>1</v>
      </c>
      <c r="P202" s="711"/>
      <c r="Q202" s="24">
        <f t="shared" si="40"/>
        <v>1</v>
      </c>
      <c r="R202" s="707">
        <f t="shared" si="41"/>
        <v>0</v>
      </c>
      <c r="S202" s="352">
        <f t="shared" si="42"/>
        <v>0</v>
      </c>
    </row>
    <row r="203" spans="1:19">
      <c r="A203" s="150"/>
      <c r="B203" s="58"/>
      <c r="C203" s="24">
        <f t="shared" si="33"/>
        <v>1</v>
      </c>
      <c r="D203" s="711"/>
      <c r="E203" s="24">
        <f t="shared" si="34"/>
        <v>1</v>
      </c>
      <c r="F203" s="711"/>
      <c r="G203" s="24">
        <f t="shared" si="35"/>
        <v>1</v>
      </c>
      <c r="H203" s="711"/>
      <c r="I203" s="24">
        <f t="shared" si="36"/>
        <v>1</v>
      </c>
      <c r="J203" s="711"/>
      <c r="K203" s="24">
        <f t="shared" si="37"/>
        <v>1</v>
      </c>
      <c r="L203" s="711"/>
      <c r="M203" s="24">
        <f t="shared" si="38"/>
        <v>1</v>
      </c>
      <c r="N203" s="711"/>
      <c r="O203" s="24">
        <f t="shared" si="39"/>
        <v>1</v>
      </c>
      <c r="P203" s="711"/>
      <c r="Q203" s="24">
        <f t="shared" si="40"/>
        <v>1</v>
      </c>
      <c r="R203" s="707">
        <f t="shared" si="41"/>
        <v>0</v>
      </c>
      <c r="S203" s="352">
        <f t="shared" si="42"/>
        <v>0</v>
      </c>
    </row>
    <row r="204" spans="1:19">
      <c r="A204" s="150"/>
      <c r="B204" s="58"/>
      <c r="C204" s="24">
        <f t="shared" si="33"/>
        <v>1</v>
      </c>
      <c r="D204" s="711"/>
      <c r="E204" s="24">
        <f t="shared" si="34"/>
        <v>1</v>
      </c>
      <c r="F204" s="711"/>
      <c r="G204" s="24">
        <f t="shared" si="35"/>
        <v>1</v>
      </c>
      <c r="H204" s="711"/>
      <c r="I204" s="24">
        <f t="shared" si="36"/>
        <v>1</v>
      </c>
      <c r="J204" s="711"/>
      <c r="K204" s="24">
        <f t="shared" si="37"/>
        <v>1</v>
      </c>
      <c r="L204" s="711"/>
      <c r="M204" s="24">
        <f t="shared" si="38"/>
        <v>1</v>
      </c>
      <c r="N204" s="711"/>
      <c r="O204" s="24">
        <f t="shared" si="39"/>
        <v>1</v>
      </c>
      <c r="P204" s="711"/>
      <c r="Q204" s="24">
        <f t="shared" si="40"/>
        <v>1</v>
      </c>
      <c r="R204" s="707">
        <f t="shared" si="41"/>
        <v>0</v>
      </c>
      <c r="S204" s="352">
        <f t="shared" si="42"/>
        <v>0</v>
      </c>
    </row>
    <row r="205" spans="1:19">
      <c r="A205" s="150"/>
      <c r="B205" s="58"/>
      <c r="C205" s="24">
        <f t="shared" si="33"/>
        <v>1</v>
      </c>
      <c r="D205" s="711"/>
      <c r="E205" s="24">
        <f t="shared" si="34"/>
        <v>1</v>
      </c>
      <c r="F205" s="711"/>
      <c r="G205" s="24">
        <f t="shared" si="35"/>
        <v>1</v>
      </c>
      <c r="H205" s="711"/>
      <c r="I205" s="24">
        <f t="shared" si="36"/>
        <v>1</v>
      </c>
      <c r="J205" s="711"/>
      <c r="K205" s="24">
        <f t="shared" si="37"/>
        <v>1</v>
      </c>
      <c r="L205" s="711"/>
      <c r="M205" s="24">
        <f t="shared" si="38"/>
        <v>1</v>
      </c>
      <c r="N205" s="711"/>
      <c r="O205" s="24">
        <f t="shared" si="39"/>
        <v>1</v>
      </c>
      <c r="P205" s="711"/>
      <c r="Q205" s="24">
        <f t="shared" si="40"/>
        <v>1</v>
      </c>
      <c r="R205" s="707">
        <f t="shared" si="41"/>
        <v>0</v>
      </c>
      <c r="S205" s="352">
        <f t="shared" si="42"/>
        <v>0</v>
      </c>
    </row>
    <row r="206" spans="1:19">
      <c r="A206" s="150"/>
      <c r="B206" s="58"/>
      <c r="C206" s="24">
        <f t="shared" si="33"/>
        <v>1</v>
      </c>
      <c r="D206" s="711"/>
      <c r="E206" s="24">
        <f t="shared" si="34"/>
        <v>1</v>
      </c>
      <c r="F206" s="711"/>
      <c r="G206" s="24">
        <f t="shared" si="35"/>
        <v>1</v>
      </c>
      <c r="H206" s="711"/>
      <c r="I206" s="24">
        <f t="shared" si="36"/>
        <v>1</v>
      </c>
      <c r="J206" s="711"/>
      <c r="K206" s="24">
        <f t="shared" si="37"/>
        <v>1</v>
      </c>
      <c r="L206" s="711"/>
      <c r="M206" s="24">
        <f t="shared" si="38"/>
        <v>1</v>
      </c>
      <c r="N206" s="711"/>
      <c r="O206" s="24">
        <f t="shared" si="39"/>
        <v>1</v>
      </c>
      <c r="P206" s="711"/>
      <c r="Q206" s="24">
        <f t="shared" si="40"/>
        <v>1</v>
      </c>
      <c r="R206" s="707">
        <f t="shared" si="41"/>
        <v>0</v>
      </c>
      <c r="S206" s="352">
        <f t="shared" si="42"/>
        <v>0</v>
      </c>
    </row>
    <row r="207" spans="1:19">
      <c r="A207" s="150"/>
      <c r="B207" s="58"/>
      <c r="C207" s="24">
        <f t="shared" si="33"/>
        <v>1</v>
      </c>
      <c r="D207" s="711"/>
      <c r="E207" s="24">
        <f t="shared" si="34"/>
        <v>1</v>
      </c>
      <c r="F207" s="711"/>
      <c r="G207" s="24">
        <f t="shared" si="35"/>
        <v>1</v>
      </c>
      <c r="H207" s="711"/>
      <c r="I207" s="24">
        <f t="shared" si="36"/>
        <v>1</v>
      </c>
      <c r="J207" s="711"/>
      <c r="K207" s="24">
        <f t="shared" si="37"/>
        <v>1</v>
      </c>
      <c r="L207" s="711"/>
      <c r="M207" s="24">
        <f t="shared" si="38"/>
        <v>1</v>
      </c>
      <c r="N207" s="711"/>
      <c r="O207" s="24">
        <f t="shared" si="39"/>
        <v>1</v>
      </c>
      <c r="P207" s="711"/>
      <c r="Q207" s="24">
        <f t="shared" si="40"/>
        <v>1</v>
      </c>
      <c r="R207" s="707">
        <f t="shared" si="41"/>
        <v>0</v>
      </c>
      <c r="S207" s="352">
        <f t="shared" si="42"/>
        <v>0</v>
      </c>
    </row>
    <row r="208" spans="1:19">
      <c r="A208" s="150"/>
      <c r="B208" s="58"/>
      <c r="C208" s="24">
        <f t="shared" si="33"/>
        <v>1</v>
      </c>
      <c r="D208" s="711"/>
      <c r="E208" s="24">
        <f t="shared" si="34"/>
        <v>1</v>
      </c>
      <c r="F208" s="711"/>
      <c r="G208" s="24">
        <f t="shared" si="35"/>
        <v>1</v>
      </c>
      <c r="H208" s="711"/>
      <c r="I208" s="24">
        <f t="shared" si="36"/>
        <v>1</v>
      </c>
      <c r="J208" s="711"/>
      <c r="K208" s="24">
        <f t="shared" si="37"/>
        <v>1</v>
      </c>
      <c r="L208" s="711"/>
      <c r="M208" s="24">
        <f t="shared" si="38"/>
        <v>1</v>
      </c>
      <c r="N208" s="711"/>
      <c r="O208" s="24">
        <f t="shared" si="39"/>
        <v>1</v>
      </c>
      <c r="P208" s="711"/>
      <c r="Q208" s="24">
        <f t="shared" si="40"/>
        <v>1</v>
      </c>
      <c r="R208" s="707">
        <f t="shared" si="41"/>
        <v>0</v>
      </c>
      <c r="S208" s="352">
        <f t="shared" si="42"/>
        <v>0</v>
      </c>
    </row>
    <row r="209" spans="1:19">
      <c r="A209" s="150"/>
      <c r="B209" s="58"/>
      <c r="C209" s="24">
        <f t="shared" si="33"/>
        <v>1</v>
      </c>
      <c r="D209" s="711"/>
      <c r="E209" s="24">
        <f t="shared" si="34"/>
        <v>1</v>
      </c>
      <c r="F209" s="711"/>
      <c r="G209" s="24">
        <f t="shared" si="35"/>
        <v>1</v>
      </c>
      <c r="H209" s="711"/>
      <c r="I209" s="24">
        <f t="shared" si="36"/>
        <v>1</v>
      </c>
      <c r="J209" s="711"/>
      <c r="K209" s="24">
        <f t="shared" si="37"/>
        <v>1</v>
      </c>
      <c r="L209" s="711"/>
      <c r="M209" s="24">
        <f t="shared" si="38"/>
        <v>1</v>
      </c>
      <c r="N209" s="711"/>
      <c r="O209" s="24">
        <f t="shared" si="39"/>
        <v>1</v>
      </c>
      <c r="P209" s="711"/>
      <c r="Q209" s="24">
        <f t="shared" si="40"/>
        <v>1</v>
      </c>
      <c r="R209" s="707">
        <f t="shared" si="41"/>
        <v>0</v>
      </c>
      <c r="S209" s="352">
        <f t="shared" si="42"/>
        <v>0</v>
      </c>
    </row>
    <row r="210" spans="1:19">
      <c r="A210" s="150"/>
      <c r="B210" s="58"/>
      <c r="C210" s="24">
        <f t="shared" si="33"/>
        <v>1</v>
      </c>
      <c r="D210" s="711"/>
      <c r="E210" s="24">
        <f t="shared" si="34"/>
        <v>1</v>
      </c>
      <c r="F210" s="711"/>
      <c r="G210" s="24">
        <f t="shared" si="35"/>
        <v>1</v>
      </c>
      <c r="H210" s="711"/>
      <c r="I210" s="24">
        <f t="shared" si="36"/>
        <v>1</v>
      </c>
      <c r="J210" s="711"/>
      <c r="K210" s="24">
        <f t="shared" si="37"/>
        <v>1</v>
      </c>
      <c r="L210" s="711"/>
      <c r="M210" s="24">
        <f t="shared" si="38"/>
        <v>1</v>
      </c>
      <c r="N210" s="711"/>
      <c r="O210" s="24">
        <f t="shared" si="39"/>
        <v>1</v>
      </c>
      <c r="P210" s="711"/>
      <c r="Q210" s="24">
        <f t="shared" si="40"/>
        <v>1</v>
      </c>
      <c r="R210" s="707">
        <f t="shared" si="41"/>
        <v>0</v>
      </c>
      <c r="S210" s="352">
        <f t="shared" si="42"/>
        <v>0</v>
      </c>
    </row>
    <row r="211" spans="1:19">
      <c r="A211" s="150"/>
      <c r="B211" s="58"/>
      <c r="C211" s="24">
        <f t="shared" si="33"/>
        <v>1</v>
      </c>
      <c r="D211" s="711"/>
      <c r="E211" s="24">
        <f t="shared" si="34"/>
        <v>1</v>
      </c>
      <c r="F211" s="711"/>
      <c r="G211" s="24">
        <f t="shared" si="35"/>
        <v>1</v>
      </c>
      <c r="H211" s="711"/>
      <c r="I211" s="24">
        <f t="shared" si="36"/>
        <v>1</v>
      </c>
      <c r="J211" s="711"/>
      <c r="K211" s="24">
        <f t="shared" si="37"/>
        <v>1</v>
      </c>
      <c r="L211" s="711"/>
      <c r="M211" s="24">
        <f t="shared" si="38"/>
        <v>1</v>
      </c>
      <c r="N211" s="711"/>
      <c r="O211" s="24">
        <f t="shared" si="39"/>
        <v>1</v>
      </c>
      <c r="P211" s="711"/>
      <c r="Q211" s="24">
        <f t="shared" si="40"/>
        <v>1</v>
      </c>
      <c r="R211" s="707">
        <f t="shared" si="41"/>
        <v>0</v>
      </c>
      <c r="S211" s="352">
        <f t="shared" si="42"/>
        <v>0</v>
      </c>
    </row>
    <row r="212" spans="1:19">
      <c r="A212" s="150"/>
      <c r="B212" s="58"/>
      <c r="C212" s="24">
        <f t="shared" si="33"/>
        <v>1</v>
      </c>
      <c r="D212" s="711"/>
      <c r="E212" s="24">
        <f t="shared" si="34"/>
        <v>1</v>
      </c>
      <c r="F212" s="711"/>
      <c r="G212" s="24">
        <f t="shared" si="35"/>
        <v>1</v>
      </c>
      <c r="H212" s="711"/>
      <c r="I212" s="24">
        <f t="shared" si="36"/>
        <v>1</v>
      </c>
      <c r="J212" s="711"/>
      <c r="K212" s="24">
        <f t="shared" si="37"/>
        <v>1</v>
      </c>
      <c r="L212" s="711"/>
      <c r="M212" s="24">
        <f t="shared" si="38"/>
        <v>1</v>
      </c>
      <c r="N212" s="711"/>
      <c r="O212" s="24">
        <f t="shared" si="39"/>
        <v>1</v>
      </c>
      <c r="P212" s="711"/>
      <c r="Q212" s="24">
        <f t="shared" si="40"/>
        <v>1</v>
      </c>
      <c r="R212" s="707">
        <f t="shared" si="41"/>
        <v>0</v>
      </c>
      <c r="S212" s="352">
        <f t="shared" si="42"/>
        <v>0</v>
      </c>
    </row>
    <row r="213" spans="1:19">
      <c r="A213" s="150"/>
      <c r="B213" s="58"/>
      <c r="C213" s="24">
        <f t="shared" si="33"/>
        <v>1</v>
      </c>
      <c r="D213" s="711"/>
      <c r="E213" s="24">
        <f t="shared" si="34"/>
        <v>1</v>
      </c>
      <c r="F213" s="711"/>
      <c r="G213" s="24">
        <f t="shared" si="35"/>
        <v>1</v>
      </c>
      <c r="H213" s="711"/>
      <c r="I213" s="24">
        <f t="shared" si="36"/>
        <v>1</v>
      </c>
      <c r="J213" s="711"/>
      <c r="K213" s="24">
        <f t="shared" si="37"/>
        <v>1</v>
      </c>
      <c r="L213" s="711"/>
      <c r="M213" s="24">
        <f t="shared" si="38"/>
        <v>1</v>
      </c>
      <c r="N213" s="711"/>
      <c r="O213" s="24">
        <f t="shared" si="39"/>
        <v>1</v>
      </c>
      <c r="P213" s="711"/>
      <c r="Q213" s="24">
        <f t="shared" si="40"/>
        <v>1</v>
      </c>
      <c r="R213" s="707">
        <f t="shared" si="41"/>
        <v>0</v>
      </c>
      <c r="S213" s="352">
        <f t="shared" si="42"/>
        <v>0</v>
      </c>
    </row>
    <row r="214" spans="1:19">
      <c r="A214" s="150"/>
      <c r="B214" s="58"/>
      <c r="C214" s="24">
        <f t="shared" si="33"/>
        <v>1</v>
      </c>
      <c r="D214" s="711"/>
      <c r="E214" s="24">
        <f t="shared" si="34"/>
        <v>1</v>
      </c>
      <c r="F214" s="711"/>
      <c r="G214" s="24">
        <f t="shared" si="35"/>
        <v>1</v>
      </c>
      <c r="H214" s="711"/>
      <c r="I214" s="24">
        <f t="shared" si="36"/>
        <v>1</v>
      </c>
      <c r="J214" s="711"/>
      <c r="K214" s="24">
        <f t="shared" si="37"/>
        <v>1</v>
      </c>
      <c r="L214" s="711"/>
      <c r="M214" s="24">
        <f t="shared" si="38"/>
        <v>1</v>
      </c>
      <c r="N214" s="711"/>
      <c r="O214" s="24">
        <f t="shared" si="39"/>
        <v>1</v>
      </c>
      <c r="P214" s="711"/>
      <c r="Q214" s="24">
        <f t="shared" si="40"/>
        <v>1</v>
      </c>
      <c r="R214" s="707">
        <f t="shared" si="41"/>
        <v>0</v>
      </c>
      <c r="S214" s="352">
        <f t="shared" si="42"/>
        <v>0</v>
      </c>
    </row>
    <row r="215" spans="1:19">
      <c r="A215" s="150"/>
      <c r="B215" s="58"/>
      <c r="C215" s="24">
        <f t="shared" si="33"/>
        <v>1</v>
      </c>
      <c r="D215" s="711"/>
      <c r="E215" s="24">
        <f t="shared" si="34"/>
        <v>1</v>
      </c>
      <c r="F215" s="711"/>
      <c r="G215" s="24">
        <f t="shared" si="35"/>
        <v>1</v>
      </c>
      <c r="H215" s="711"/>
      <c r="I215" s="24">
        <f t="shared" si="36"/>
        <v>1</v>
      </c>
      <c r="J215" s="711"/>
      <c r="K215" s="24">
        <f t="shared" si="37"/>
        <v>1</v>
      </c>
      <c r="L215" s="711"/>
      <c r="M215" s="24">
        <f t="shared" si="38"/>
        <v>1</v>
      </c>
      <c r="N215" s="711"/>
      <c r="O215" s="24">
        <f t="shared" si="39"/>
        <v>1</v>
      </c>
      <c r="P215" s="711"/>
      <c r="Q215" s="24">
        <f t="shared" si="40"/>
        <v>1</v>
      </c>
      <c r="R215" s="707">
        <f t="shared" si="41"/>
        <v>0</v>
      </c>
      <c r="S215" s="352">
        <f t="shared" si="42"/>
        <v>0</v>
      </c>
    </row>
    <row r="216" spans="1:19">
      <c r="A216" s="150"/>
      <c r="B216" s="58"/>
      <c r="C216" s="24">
        <f t="shared" si="33"/>
        <v>1</v>
      </c>
      <c r="D216" s="711"/>
      <c r="E216" s="24">
        <f t="shared" si="34"/>
        <v>1</v>
      </c>
      <c r="F216" s="711"/>
      <c r="G216" s="24">
        <f t="shared" si="35"/>
        <v>1</v>
      </c>
      <c r="H216" s="711"/>
      <c r="I216" s="24">
        <f t="shared" si="36"/>
        <v>1</v>
      </c>
      <c r="J216" s="711"/>
      <c r="K216" s="24">
        <f t="shared" si="37"/>
        <v>1</v>
      </c>
      <c r="L216" s="711"/>
      <c r="M216" s="24">
        <f t="shared" si="38"/>
        <v>1</v>
      </c>
      <c r="N216" s="711"/>
      <c r="O216" s="24">
        <f t="shared" si="39"/>
        <v>1</v>
      </c>
      <c r="P216" s="711"/>
      <c r="Q216" s="24">
        <f t="shared" si="40"/>
        <v>1</v>
      </c>
      <c r="R216" s="707">
        <f t="shared" si="41"/>
        <v>0</v>
      </c>
      <c r="S216" s="352">
        <f t="shared" si="42"/>
        <v>0</v>
      </c>
    </row>
    <row r="217" spans="1:19">
      <c r="A217" s="150"/>
      <c r="B217" s="58"/>
      <c r="C217" s="24">
        <f t="shared" si="33"/>
        <v>1</v>
      </c>
      <c r="D217" s="711"/>
      <c r="E217" s="24">
        <f t="shared" si="34"/>
        <v>1</v>
      </c>
      <c r="F217" s="711"/>
      <c r="G217" s="24">
        <f t="shared" si="35"/>
        <v>1</v>
      </c>
      <c r="H217" s="711"/>
      <c r="I217" s="24">
        <f t="shared" si="36"/>
        <v>1</v>
      </c>
      <c r="J217" s="711"/>
      <c r="K217" s="24">
        <f t="shared" si="37"/>
        <v>1</v>
      </c>
      <c r="L217" s="711"/>
      <c r="M217" s="24">
        <f t="shared" si="38"/>
        <v>1</v>
      </c>
      <c r="N217" s="711"/>
      <c r="O217" s="24">
        <f t="shared" si="39"/>
        <v>1</v>
      </c>
      <c r="P217" s="711"/>
      <c r="Q217" s="24">
        <f t="shared" si="40"/>
        <v>1</v>
      </c>
      <c r="R217" s="707">
        <f t="shared" si="41"/>
        <v>0</v>
      </c>
      <c r="S217" s="352">
        <f t="shared" si="42"/>
        <v>0</v>
      </c>
    </row>
    <row r="218" spans="1:19">
      <c r="A218" s="150"/>
      <c r="B218" s="58"/>
      <c r="C218" s="24">
        <f t="shared" ref="C218:C281" si="43">IF(B218="",1,(LOOKUP(B218,$3:$3,$4:$4)-LOOKUP($B$24,$3:$3,$4:$4)+100)/100)</f>
        <v>1</v>
      </c>
      <c r="D218" s="711"/>
      <c r="E218" s="24">
        <f t="shared" ref="E218:E281" si="44">(SUMIF($5:$5,D218,$6:$6)-SUMIF($5:$5,$D$24,$6:$6)+100)/100</f>
        <v>1</v>
      </c>
      <c r="F218" s="711"/>
      <c r="G218" s="24">
        <f t="shared" ref="G218:G281" si="45">(SUMIF($7:$7,F218,$8:$8)-SUMIF($7:$7,$F$24,$8:$8)+100)/100</f>
        <v>1</v>
      </c>
      <c r="H218" s="711"/>
      <c r="I218" s="24">
        <f t="shared" ref="I218:I281" si="46">(SUMIF($9:$9,H218,$10:$10)-SUMIF($9:$9,$H$24,$10:$10)+100)/100</f>
        <v>1</v>
      </c>
      <c r="J218" s="711"/>
      <c r="K218" s="24">
        <f t="shared" ref="K218:K281" si="47">(SUMIF($11:$11,J218,$12:$12)-SUMIF($11:$11,$J$24,$12:$12)+100)/100</f>
        <v>1</v>
      </c>
      <c r="L218" s="711"/>
      <c r="M218" s="24">
        <f t="shared" ref="M218:M281" si="48">(SUMIF($13:$13,L218,$14:$14)-SUMIF($13:$13,$L$24,$14:$14)+100)/100</f>
        <v>1</v>
      </c>
      <c r="N218" s="711"/>
      <c r="O218" s="24">
        <f t="shared" ref="O218:O281" si="49">(SUMIF($15:$15,N218,$16:$16)-SUMIF($15:$15,$N$24,$16:$16)+100)/100</f>
        <v>1</v>
      </c>
      <c r="P218" s="711"/>
      <c r="Q218" s="24">
        <f t="shared" ref="Q218:Q281" si="50">(SUMIF($17:$17,P218,$18:$18)-SUMIF($17:$17,$P$24,$18:$18)+100)/100</f>
        <v>1</v>
      </c>
      <c r="R218" s="707">
        <f t="shared" ref="R218:R281" si="51">IF(B218="",0,ROUND($R$24*C218*E218*G218*I218*K218*M218*O218*Q218,0))</f>
        <v>0</v>
      </c>
      <c r="S218" s="352">
        <f t="shared" si="42"/>
        <v>0</v>
      </c>
    </row>
    <row r="219" spans="1:19">
      <c r="A219" s="150"/>
      <c r="B219" s="58"/>
      <c r="C219" s="24">
        <f t="shared" si="43"/>
        <v>1</v>
      </c>
      <c r="D219" s="711"/>
      <c r="E219" s="24">
        <f t="shared" si="44"/>
        <v>1</v>
      </c>
      <c r="F219" s="711"/>
      <c r="G219" s="24">
        <f t="shared" si="45"/>
        <v>1</v>
      </c>
      <c r="H219" s="711"/>
      <c r="I219" s="24">
        <f t="shared" si="46"/>
        <v>1</v>
      </c>
      <c r="J219" s="711"/>
      <c r="K219" s="24">
        <f t="shared" si="47"/>
        <v>1</v>
      </c>
      <c r="L219" s="711"/>
      <c r="M219" s="24">
        <f t="shared" si="48"/>
        <v>1</v>
      </c>
      <c r="N219" s="711"/>
      <c r="O219" s="24">
        <f t="shared" si="49"/>
        <v>1</v>
      </c>
      <c r="P219" s="711"/>
      <c r="Q219" s="24">
        <f t="shared" si="50"/>
        <v>1</v>
      </c>
      <c r="R219" s="707">
        <f t="shared" si="51"/>
        <v>0</v>
      </c>
      <c r="S219" s="352">
        <f t="shared" si="42"/>
        <v>0</v>
      </c>
    </row>
    <row r="220" spans="1:19">
      <c r="A220" s="150"/>
      <c r="B220" s="58"/>
      <c r="C220" s="24">
        <f t="shared" si="43"/>
        <v>1</v>
      </c>
      <c r="D220" s="711"/>
      <c r="E220" s="24">
        <f t="shared" si="44"/>
        <v>1</v>
      </c>
      <c r="F220" s="711"/>
      <c r="G220" s="24">
        <f t="shared" si="45"/>
        <v>1</v>
      </c>
      <c r="H220" s="711"/>
      <c r="I220" s="24">
        <f t="shared" si="46"/>
        <v>1</v>
      </c>
      <c r="J220" s="711"/>
      <c r="K220" s="24">
        <f t="shared" si="47"/>
        <v>1</v>
      </c>
      <c r="L220" s="711"/>
      <c r="M220" s="24">
        <f t="shared" si="48"/>
        <v>1</v>
      </c>
      <c r="N220" s="711"/>
      <c r="O220" s="24">
        <f t="shared" si="49"/>
        <v>1</v>
      </c>
      <c r="P220" s="711"/>
      <c r="Q220" s="24">
        <f t="shared" si="50"/>
        <v>1</v>
      </c>
      <c r="R220" s="707">
        <f t="shared" si="51"/>
        <v>0</v>
      </c>
      <c r="S220" s="352">
        <f t="shared" si="42"/>
        <v>0</v>
      </c>
    </row>
    <row r="221" spans="1:19">
      <c r="A221" s="150"/>
      <c r="B221" s="58"/>
      <c r="C221" s="24">
        <f t="shared" si="43"/>
        <v>1</v>
      </c>
      <c r="D221" s="711"/>
      <c r="E221" s="24">
        <f t="shared" si="44"/>
        <v>1</v>
      </c>
      <c r="F221" s="711"/>
      <c r="G221" s="24">
        <f t="shared" si="45"/>
        <v>1</v>
      </c>
      <c r="H221" s="711"/>
      <c r="I221" s="24">
        <f t="shared" si="46"/>
        <v>1</v>
      </c>
      <c r="J221" s="711"/>
      <c r="K221" s="24">
        <f t="shared" si="47"/>
        <v>1</v>
      </c>
      <c r="L221" s="711"/>
      <c r="M221" s="24">
        <f t="shared" si="48"/>
        <v>1</v>
      </c>
      <c r="N221" s="711"/>
      <c r="O221" s="24">
        <f t="shared" si="49"/>
        <v>1</v>
      </c>
      <c r="P221" s="711"/>
      <c r="Q221" s="24">
        <f t="shared" si="50"/>
        <v>1</v>
      </c>
      <c r="R221" s="707">
        <f t="shared" si="51"/>
        <v>0</v>
      </c>
      <c r="S221" s="352">
        <f t="shared" si="42"/>
        <v>0</v>
      </c>
    </row>
    <row r="222" spans="1:19">
      <c r="A222" s="150"/>
      <c r="B222" s="58"/>
      <c r="C222" s="24">
        <f t="shared" si="43"/>
        <v>1</v>
      </c>
      <c r="D222" s="711"/>
      <c r="E222" s="24">
        <f t="shared" si="44"/>
        <v>1</v>
      </c>
      <c r="F222" s="711"/>
      <c r="G222" s="24">
        <f t="shared" si="45"/>
        <v>1</v>
      </c>
      <c r="H222" s="711"/>
      <c r="I222" s="24">
        <f t="shared" si="46"/>
        <v>1</v>
      </c>
      <c r="J222" s="711"/>
      <c r="K222" s="24">
        <f t="shared" si="47"/>
        <v>1</v>
      </c>
      <c r="L222" s="711"/>
      <c r="M222" s="24">
        <f t="shared" si="48"/>
        <v>1</v>
      </c>
      <c r="N222" s="711"/>
      <c r="O222" s="24">
        <f t="shared" si="49"/>
        <v>1</v>
      </c>
      <c r="P222" s="711"/>
      <c r="Q222" s="24">
        <f t="shared" si="50"/>
        <v>1</v>
      </c>
      <c r="R222" s="707">
        <f t="shared" si="51"/>
        <v>0</v>
      </c>
      <c r="S222" s="352">
        <f t="shared" si="42"/>
        <v>0</v>
      </c>
    </row>
    <row r="223" spans="1:19">
      <c r="A223" s="150"/>
      <c r="B223" s="58"/>
      <c r="C223" s="24">
        <f t="shared" si="43"/>
        <v>1</v>
      </c>
      <c r="D223" s="711"/>
      <c r="E223" s="24">
        <f t="shared" si="44"/>
        <v>1</v>
      </c>
      <c r="F223" s="711"/>
      <c r="G223" s="24">
        <f t="shared" si="45"/>
        <v>1</v>
      </c>
      <c r="H223" s="711"/>
      <c r="I223" s="24">
        <f t="shared" si="46"/>
        <v>1</v>
      </c>
      <c r="J223" s="711"/>
      <c r="K223" s="24">
        <f t="shared" si="47"/>
        <v>1</v>
      </c>
      <c r="L223" s="711"/>
      <c r="M223" s="24">
        <f t="shared" si="48"/>
        <v>1</v>
      </c>
      <c r="N223" s="711"/>
      <c r="O223" s="24">
        <f t="shared" si="49"/>
        <v>1</v>
      </c>
      <c r="P223" s="711"/>
      <c r="Q223" s="24">
        <f t="shared" si="50"/>
        <v>1</v>
      </c>
      <c r="R223" s="707">
        <f t="shared" si="51"/>
        <v>0</v>
      </c>
      <c r="S223" s="352">
        <f t="shared" ref="S223:S286" si="52">ROUND(R223*B223/10000,0)</f>
        <v>0</v>
      </c>
    </row>
    <row r="224" spans="1:19">
      <c r="A224" s="150"/>
      <c r="B224" s="58"/>
      <c r="C224" s="24">
        <f t="shared" si="43"/>
        <v>1</v>
      </c>
      <c r="D224" s="711"/>
      <c r="E224" s="24">
        <f t="shared" si="44"/>
        <v>1</v>
      </c>
      <c r="F224" s="711"/>
      <c r="G224" s="24">
        <f t="shared" si="45"/>
        <v>1</v>
      </c>
      <c r="H224" s="711"/>
      <c r="I224" s="24">
        <f t="shared" si="46"/>
        <v>1</v>
      </c>
      <c r="J224" s="711"/>
      <c r="K224" s="24">
        <f t="shared" si="47"/>
        <v>1</v>
      </c>
      <c r="L224" s="711"/>
      <c r="M224" s="24">
        <f t="shared" si="48"/>
        <v>1</v>
      </c>
      <c r="N224" s="711"/>
      <c r="O224" s="24">
        <f t="shared" si="49"/>
        <v>1</v>
      </c>
      <c r="P224" s="711"/>
      <c r="Q224" s="24">
        <f t="shared" si="50"/>
        <v>1</v>
      </c>
      <c r="R224" s="707">
        <f t="shared" si="51"/>
        <v>0</v>
      </c>
      <c r="S224" s="352">
        <f t="shared" si="52"/>
        <v>0</v>
      </c>
    </row>
    <row r="225" spans="1:19">
      <c r="A225" s="150"/>
      <c r="B225" s="58"/>
      <c r="C225" s="24">
        <f t="shared" si="43"/>
        <v>1</v>
      </c>
      <c r="D225" s="711"/>
      <c r="E225" s="24">
        <f t="shared" si="44"/>
        <v>1</v>
      </c>
      <c r="F225" s="711"/>
      <c r="G225" s="24">
        <f t="shared" si="45"/>
        <v>1</v>
      </c>
      <c r="H225" s="711"/>
      <c r="I225" s="24">
        <f t="shared" si="46"/>
        <v>1</v>
      </c>
      <c r="J225" s="711"/>
      <c r="K225" s="24">
        <f t="shared" si="47"/>
        <v>1</v>
      </c>
      <c r="L225" s="711"/>
      <c r="M225" s="24">
        <f t="shared" si="48"/>
        <v>1</v>
      </c>
      <c r="N225" s="711"/>
      <c r="O225" s="24">
        <f t="shared" si="49"/>
        <v>1</v>
      </c>
      <c r="P225" s="711"/>
      <c r="Q225" s="24">
        <f t="shared" si="50"/>
        <v>1</v>
      </c>
      <c r="R225" s="707">
        <f t="shared" si="51"/>
        <v>0</v>
      </c>
      <c r="S225" s="352">
        <f t="shared" si="52"/>
        <v>0</v>
      </c>
    </row>
    <row r="226" spans="1:19">
      <c r="A226" s="150"/>
      <c r="B226" s="58"/>
      <c r="C226" s="24">
        <f t="shared" si="43"/>
        <v>1</v>
      </c>
      <c r="D226" s="711"/>
      <c r="E226" s="24">
        <f t="shared" si="44"/>
        <v>1</v>
      </c>
      <c r="F226" s="711"/>
      <c r="G226" s="24">
        <f t="shared" si="45"/>
        <v>1</v>
      </c>
      <c r="H226" s="711"/>
      <c r="I226" s="24">
        <f t="shared" si="46"/>
        <v>1</v>
      </c>
      <c r="J226" s="711"/>
      <c r="K226" s="24">
        <f t="shared" si="47"/>
        <v>1</v>
      </c>
      <c r="L226" s="711"/>
      <c r="M226" s="24">
        <f t="shared" si="48"/>
        <v>1</v>
      </c>
      <c r="N226" s="711"/>
      <c r="O226" s="24">
        <f t="shared" si="49"/>
        <v>1</v>
      </c>
      <c r="P226" s="711"/>
      <c r="Q226" s="24">
        <f t="shared" si="50"/>
        <v>1</v>
      </c>
      <c r="R226" s="707">
        <f t="shared" si="51"/>
        <v>0</v>
      </c>
      <c r="S226" s="352">
        <f t="shared" si="52"/>
        <v>0</v>
      </c>
    </row>
    <row r="227" spans="1:19">
      <c r="A227" s="150"/>
      <c r="B227" s="58"/>
      <c r="C227" s="24">
        <f t="shared" si="43"/>
        <v>1</v>
      </c>
      <c r="D227" s="711"/>
      <c r="E227" s="24">
        <f t="shared" si="44"/>
        <v>1</v>
      </c>
      <c r="F227" s="711"/>
      <c r="G227" s="24">
        <f t="shared" si="45"/>
        <v>1</v>
      </c>
      <c r="H227" s="711"/>
      <c r="I227" s="24">
        <f t="shared" si="46"/>
        <v>1</v>
      </c>
      <c r="J227" s="711"/>
      <c r="K227" s="24">
        <f t="shared" si="47"/>
        <v>1</v>
      </c>
      <c r="L227" s="711"/>
      <c r="M227" s="24">
        <f t="shared" si="48"/>
        <v>1</v>
      </c>
      <c r="N227" s="711"/>
      <c r="O227" s="24">
        <f t="shared" si="49"/>
        <v>1</v>
      </c>
      <c r="P227" s="711"/>
      <c r="Q227" s="24">
        <f t="shared" si="50"/>
        <v>1</v>
      </c>
      <c r="R227" s="707">
        <f t="shared" si="51"/>
        <v>0</v>
      </c>
      <c r="S227" s="352">
        <f t="shared" si="52"/>
        <v>0</v>
      </c>
    </row>
    <row r="228" spans="1:19">
      <c r="A228" s="150"/>
      <c r="B228" s="58"/>
      <c r="C228" s="24">
        <f t="shared" si="43"/>
        <v>1</v>
      </c>
      <c r="D228" s="711"/>
      <c r="E228" s="24">
        <f t="shared" si="44"/>
        <v>1</v>
      </c>
      <c r="F228" s="711"/>
      <c r="G228" s="24">
        <f t="shared" si="45"/>
        <v>1</v>
      </c>
      <c r="H228" s="711"/>
      <c r="I228" s="24">
        <f t="shared" si="46"/>
        <v>1</v>
      </c>
      <c r="J228" s="711"/>
      <c r="K228" s="24">
        <f t="shared" si="47"/>
        <v>1</v>
      </c>
      <c r="L228" s="711"/>
      <c r="M228" s="24">
        <f t="shared" si="48"/>
        <v>1</v>
      </c>
      <c r="N228" s="711"/>
      <c r="O228" s="24">
        <f t="shared" si="49"/>
        <v>1</v>
      </c>
      <c r="P228" s="711"/>
      <c r="Q228" s="24">
        <f t="shared" si="50"/>
        <v>1</v>
      </c>
      <c r="R228" s="707">
        <f t="shared" si="51"/>
        <v>0</v>
      </c>
      <c r="S228" s="352">
        <f t="shared" si="52"/>
        <v>0</v>
      </c>
    </row>
    <row r="229" spans="1:19">
      <c r="A229" s="150"/>
      <c r="B229" s="58"/>
      <c r="C229" s="24">
        <f t="shared" si="43"/>
        <v>1</v>
      </c>
      <c r="D229" s="711"/>
      <c r="E229" s="24">
        <f t="shared" si="44"/>
        <v>1</v>
      </c>
      <c r="F229" s="711"/>
      <c r="G229" s="24">
        <f t="shared" si="45"/>
        <v>1</v>
      </c>
      <c r="H229" s="711"/>
      <c r="I229" s="24">
        <f t="shared" si="46"/>
        <v>1</v>
      </c>
      <c r="J229" s="711"/>
      <c r="K229" s="24">
        <f t="shared" si="47"/>
        <v>1</v>
      </c>
      <c r="L229" s="711"/>
      <c r="M229" s="24">
        <f t="shared" si="48"/>
        <v>1</v>
      </c>
      <c r="N229" s="711"/>
      <c r="O229" s="24">
        <f t="shared" si="49"/>
        <v>1</v>
      </c>
      <c r="P229" s="711"/>
      <c r="Q229" s="24">
        <f t="shared" si="50"/>
        <v>1</v>
      </c>
      <c r="R229" s="707">
        <f t="shared" si="51"/>
        <v>0</v>
      </c>
      <c r="S229" s="352">
        <f t="shared" si="52"/>
        <v>0</v>
      </c>
    </row>
    <row r="230" spans="1:19">
      <c r="A230" s="150"/>
      <c r="B230" s="58"/>
      <c r="C230" s="24">
        <f t="shared" si="43"/>
        <v>1</v>
      </c>
      <c r="D230" s="711"/>
      <c r="E230" s="24">
        <f t="shared" si="44"/>
        <v>1</v>
      </c>
      <c r="F230" s="711"/>
      <c r="G230" s="24">
        <f t="shared" si="45"/>
        <v>1</v>
      </c>
      <c r="H230" s="711"/>
      <c r="I230" s="24">
        <f t="shared" si="46"/>
        <v>1</v>
      </c>
      <c r="J230" s="711"/>
      <c r="K230" s="24">
        <f t="shared" si="47"/>
        <v>1</v>
      </c>
      <c r="L230" s="711"/>
      <c r="M230" s="24">
        <f t="shared" si="48"/>
        <v>1</v>
      </c>
      <c r="N230" s="711"/>
      <c r="O230" s="24">
        <f t="shared" si="49"/>
        <v>1</v>
      </c>
      <c r="P230" s="711"/>
      <c r="Q230" s="24">
        <f t="shared" si="50"/>
        <v>1</v>
      </c>
      <c r="R230" s="707">
        <f t="shared" si="51"/>
        <v>0</v>
      </c>
      <c r="S230" s="352">
        <f t="shared" si="52"/>
        <v>0</v>
      </c>
    </row>
    <row r="231" spans="1:19">
      <c r="A231" s="150"/>
      <c r="B231" s="58"/>
      <c r="C231" s="24">
        <f t="shared" si="43"/>
        <v>1</v>
      </c>
      <c r="D231" s="711"/>
      <c r="E231" s="24">
        <f t="shared" si="44"/>
        <v>1</v>
      </c>
      <c r="F231" s="711"/>
      <c r="G231" s="24">
        <f t="shared" si="45"/>
        <v>1</v>
      </c>
      <c r="H231" s="711"/>
      <c r="I231" s="24">
        <f t="shared" si="46"/>
        <v>1</v>
      </c>
      <c r="J231" s="711"/>
      <c r="K231" s="24">
        <f t="shared" si="47"/>
        <v>1</v>
      </c>
      <c r="L231" s="711"/>
      <c r="M231" s="24">
        <f t="shared" si="48"/>
        <v>1</v>
      </c>
      <c r="N231" s="711"/>
      <c r="O231" s="24">
        <f t="shared" si="49"/>
        <v>1</v>
      </c>
      <c r="P231" s="711"/>
      <c r="Q231" s="24">
        <f t="shared" si="50"/>
        <v>1</v>
      </c>
      <c r="R231" s="707">
        <f t="shared" si="51"/>
        <v>0</v>
      </c>
      <c r="S231" s="352">
        <f t="shared" si="52"/>
        <v>0</v>
      </c>
    </row>
    <row r="232" spans="1:19">
      <c r="A232" s="150"/>
      <c r="B232" s="58"/>
      <c r="C232" s="24">
        <f t="shared" si="43"/>
        <v>1</v>
      </c>
      <c r="D232" s="711"/>
      <c r="E232" s="24">
        <f t="shared" si="44"/>
        <v>1</v>
      </c>
      <c r="F232" s="711"/>
      <c r="G232" s="24">
        <f t="shared" si="45"/>
        <v>1</v>
      </c>
      <c r="H232" s="711"/>
      <c r="I232" s="24">
        <f t="shared" si="46"/>
        <v>1</v>
      </c>
      <c r="J232" s="711"/>
      <c r="K232" s="24">
        <f t="shared" si="47"/>
        <v>1</v>
      </c>
      <c r="L232" s="711"/>
      <c r="M232" s="24">
        <f t="shared" si="48"/>
        <v>1</v>
      </c>
      <c r="N232" s="711"/>
      <c r="O232" s="24">
        <f t="shared" si="49"/>
        <v>1</v>
      </c>
      <c r="P232" s="711"/>
      <c r="Q232" s="24">
        <f t="shared" si="50"/>
        <v>1</v>
      </c>
      <c r="R232" s="707">
        <f t="shared" si="51"/>
        <v>0</v>
      </c>
      <c r="S232" s="352">
        <f t="shared" si="52"/>
        <v>0</v>
      </c>
    </row>
    <row r="233" spans="1:19">
      <c r="A233" s="150"/>
      <c r="B233" s="58"/>
      <c r="C233" s="24">
        <f t="shared" si="43"/>
        <v>1</v>
      </c>
      <c r="D233" s="711"/>
      <c r="E233" s="24">
        <f t="shared" si="44"/>
        <v>1</v>
      </c>
      <c r="F233" s="711"/>
      <c r="G233" s="24">
        <f t="shared" si="45"/>
        <v>1</v>
      </c>
      <c r="H233" s="711"/>
      <c r="I233" s="24">
        <f t="shared" si="46"/>
        <v>1</v>
      </c>
      <c r="J233" s="711"/>
      <c r="K233" s="24">
        <f t="shared" si="47"/>
        <v>1</v>
      </c>
      <c r="L233" s="711"/>
      <c r="M233" s="24">
        <f t="shared" si="48"/>
        <v>1</v>
      </c>
      <c r="N233" s="711"/>
      <c r="O233" s="24">
        <f t="shared" si="49"/>
        <v>1</v>
      </c>
      <c r="P233" s="711"/>
      <c r="Q233" s="24">
        <f t="shared" si="50"/>
        <v>1</v>
      </c>
      <c r="R233" s="707">
        <f t="shared" si="51"/>
        <v>0</v>
      </c>
      <c r="S233" s="352">
        <f t="shared" si="52"/>
        <v>0</v>
      </c>
    </row>
    <row r="234" spans="1:19">
      <c r="A234" s="150"/>
      <c r="B234" s="58"/>
      <c r="C234" s="24">
        <f t="shared" si="43"/>
        <v>1</v>
      </c>
      <c r="D234" s="711"/>
      <c r="E234" s="24">
        <f t="shared" si="44"/>
        <v>1</v>
      </c>
      <c r="F234" s="711"/>
      <c r="G234" s="24">
        <f t="shared" si="45"/>
        <v>1</v>
      </c>
      <c r="H234" s="711"/>
      <c r="I234" s="24">
        <f t="shared" si="46"/>
        <v>1</v>
      </c>
      <c r="J234" s="711"/>
      <c r="K234" s="24">
        <f t="shared" si="47"/>
        <v>1</v>
      </c>
      <c r="L234" s="711"/>
      <c r="M234" s="24">
        <f t="shared" si="48"/>
        <v>1</v>
      </c>
      <c r="N234" s="711"/>
      <c r="O234" s="24">
        <f t="shared" si="49"/>
        <v>1</v>
      </c>
      <c r="P234" s="711"/>
      <c r="Q234" s="24">
        <f t="shared" si="50"/>
        <v>1</v>
      </c>
      <c r="R234" s="707">
        <f t="shared" si="51"/>
        <v>0</v>
      </c>
      <c r="S234" s="352">
        <f t="shared" si="52"/>
        <v>0</v>
      </c>
    </row>
    <row r="235" spans="1:19">
      <c r="A235" s="150"/>
      <c r="B235" s="58"/>
      <c r="C235" s="24">
        <f t="shared" si="43"/>
        <v>1</v>
      </c>
      <c r="D235" s="711"/>
      <c r="E235" s="24">
        <f t="shared" si="44"/>
        <v>1</v>
      </c>
      <c r="F235" s="711"/>
      <c r="G235" s="24">
        <f t="shared" si="45"/>
        <v>1</v>
      </c>
      <c r="H235" s="711"/>
      <c r="I235" s="24">
        <f t="shared" si="46"/>
        <v>1</v>
      </c>
      <c r="J235" s="711"/>
      <c r="K235" s="24">
        <f t="shared" si="47"/>
        <v>1</v>
      </c>
      <c r="L235" s="711"/>
      <c r="M235" s="24">
        <f t="shared" si="48"/>
        <v>1</v>
      </c>
      <c r="N235" s="711"/>
      <c r="O235" s="24">
        <f t="shared" si="49"/>
        <v>1</v>
      </c>
      <c r="P235" s="711"/>
      <c r="Q235" s="24">
        <f t="shared" si="50"/>
        <v>1</v>
      </c>
      <c r="R235" s="707">
        <f t="shared" si="51"/>
        <v>0</v>
      </c>
      <c r="S235" s="352">
        <f t="shared" si="52"/>
        <v>0</v>
      </c>
    </row>
    <row r="236" spans="1:19">
      <c r="A236" s="150"/>
      <c r="B236" s="58"/>
      <c r="C236" s="24">
        <f t="shared" si="43"/>
        <v>1</v>
      </c>
      <c r="D236" s="711"/>
      <c r="E236" s="24">
        <f t="shared" si="44"/>
        <v>1</v>
      </c>
      <c r="F236" s="711"/>
      <c r="G236" s="24">
        <f t="shared" si="45"/>
        <v>1</v>
      </c>
      <c r="H236" s="711"/>
      <c r="I236" s="24">
        <f t="shared" si="46"/>
        <v>1</v>
      </c>
      <c r="J236" s="711"/>
      <c r="K236" s="24">
        <f t="shared" si="47"/>
        <v>1</v>
      </c>
      <c r="L236" s="711"/>
      <c r="M236" s="24">
        <f t="shared" si="48"/>
        <v>1</v>
      </c>
      <c r="N236" s="711"/>
      <c r="O236" s="24">
        <f t="shared" si="49"/>
        <v>1</v>
      </c>
      <c r="P236" s="711"/>
      <c r="Q236" s="24">
        <f t="shared" si="50"/>
        <v>1</v>
      </c>
      <c r="R236" s="707">
        <f t="shared" si="51"/>
        <v>0</v>
      </c>
      <c r="S236" s="352">
        <f t="shared" si="52"/>
        <v>0</v>
      </c>
    </row>
    <row r="237" spans="1:19">
      <c r="A237" s="150"/>
      <c r="B237" s="58"/>
      <c r="C237" s="24">
        <f t="shared" si="43"/>
        <v>1</v>
      </c>
      <c r="D237" s="711"/>
      <c r="E237" s="24">
        <f t="shared" si="44"/>
        <v>1</v>
      </c>
      <c r="F237" s="711"/>
      <c r="G237" s="24">
        <f t="shared" si="45"/>
        <v>1</v>
      </c>
      <c r="H237" s="711"/>
      <c r="I237" s="24">
        <f t="shared" si="46"/>
        <v>1</v>
      </c>
      <c r="J237" s="711"/>
      <c r="K237" s="24">
        <f t="shared" si="47"/>
        <v>1</v>
      </c>
      <c r="L237" s="711"/>
      <c r="M237" s="24">
        <f t="shared" si="48"/>
        <v>1</v>
      </c>
      <c r="N237" s="711"/>
      <c r="O237" s="24">
        <f t="shared" si="49"/>
        <v>1</v>
      </c>
      <c r="P237" s="711"/>
      <c r="Q237" s="24">
        <f t="shared" si="50"/>
        <v>1</v>
      </c>
      <c r="R237" s="707">
        <f t="shared" si="51"/>
        <v>0</v>
      </c>
      <c r="S237" s="352">
        <f t="shared" si="52"/>
        <v>0</v>
      </c>
    </row>
    <row r="238" spans="1:19">
      <c r="A238" s="150"/>
      <c r="B238" s="58"/>
      <c r="C238" s="24">
        <f t="shared" si="43"/>
        <v>1</v>
      </c>
      <c r="D238" s="711"/>
      <c r="E238" s="24">
        <f t="shared" si="44"/>
        <v>1</v>
      </c>
      <c r="F238" s="711"/>
      <c r="G238" s="24">
        <f t="shared" si="45"/>
        <v>1</v>
      </c>
      <c r="H238" s="711"/>
      <c r="I238" s="24">
        <f t="shared" si="46"/>
        <v>1</v>
      </c>
      <c r="J238" s="711"/>
      <c r="K238" s="24">
        <f t="shared" si="47"/>
        <v>1</v>
      </c>
      <c r="L238" s="711"/>
      <c r="M238" s="24">
        <f t="shared" si="48"/>
        <v>1</v>
      </c>
      <c r="N238" s="711"/>
      <c r="O238" s="24">
        <f t="shared" si="49"/>
        <v>1</v>
      </c>
      <c r="P238" s="711"/>
      <c r="Q238" s="24">
        <f t="shared" si="50"/>
        <v>1</v>
      </c>
      <c r="R238" s="707">
        <f t="shared" si="51"/>
        <v>0</v>
      </c>
      <c r="S238" s="352">
        <f t="shared" si="52"/>
        <v>0</v>
      </c>
    </row>
    <row r="239" spans="1:19">
      <c r="A239" s="150"/>
      <c r="B239" s="58"/>
      <c r="C239" s="24">
        <f t="shared" si="43"/>
        <v>1</v>
      </c>
      <c r="D239" s="711"/>
      <c r="E239" s="24">
        <f t="shared" si="44"/>
        <v>1</v>
      </c>
      <c r="F239" s="711"/>
      <c r="G239" s="24">
        <f t="shared" si="45"/>
        <v>1</v>
      </c>
      <c r="H239" s="711"/>
      <c r="I239" s="24">
        <f t="shared" si="46"/>
        <v>1</v>
      </c>
      <c r="J239" s="711"/>
      <c r="K239" s="24">
        <f t="shared" si="47"/>
        <v>1</v>
      </c>
      <c r="L239" s="711"/>
      <c r="M239" s="24">
        <f t="shared" si="48"/>
        <v>1</v>
      </c>
      <c r="N239" s="711"/>
      <c r="O239" s="24">
        <f t="shared" si="49"/>
        <v>1</v>
      </c>
      <c r="P239" s="711"/>
      <c r="Q239" s="24">
        <f t="shared" si="50"/>
        <v>1</v>
      </c>
      <c r="R239" s="707">
        <f t="shared" si="51"/>
        <v>0</v>
      </c>
      <c r="S239" s="352">
        <f t="shared" si="52"/>
        <v>0</v>
      </c>
    </row>
    <row r="240" spans="1:19">
      <c r="A240" s="150"/>
      <c r="B240" s="58"/>
      <c r="C240" s="24">
        <f t="shared" si="43"/>
        <v>1</v>
      </c>
      <c r="D240" s="711"/>
      <c r="E240" s="24">
        <f t="shared" si="44"/>
        <v>1</v>
      </c>
      <c r="F240" s="711"/>
      <c r="G240" s="24">
        <f t="shared" si="45"/>
        <v>1</v>
      </c>
      <c r="H240" s="711"/>
      <c r="I240" s="24">
        <f t="shared" si="46"/>
        <v>1</v>
      </c>
      <c r="J240" s="711"/>
      <c r="K240" s="24">
        <f t="shared" si="47"/>
        <v>1</v>
      </c>
      <c r="L240" s="711"/>
      <c r="M240" s="24">
        <f t="shared" si="48"/>
        <v>1</v>
      </c>
      <c r="N240" s="711"/>
      <c r="O240" s="24">
        <f t="shared" si="49"/>
        <v>1</v>
      </c>
      <c r="P240" s="711"/>
      <c r="Q240" s="24">
        <f t="shared" si="50"/>
        <v>1</v>
      </c>
      <c r="R240" s="707">
        <f t="shared" si="51"/>
        <v>0</v>
      </c>
      <c r="S240" s="352">
        <f t="shared" si="52"/>
        <v>0</v>
      </c>
    </row>
    <row r="241" spans="1:19">
      <c r="A241" s="150"/>
      <c r="B241" s="58"/>
      <c r="C241" s="24">
        <f t="shared" si="43"/>
        <v>1</v>
      </c>
      <c r="D241" s="711"/>
      <c r="E241" s="24">
        <f t="shared" si="44"/>
        <v>1</v>
      </c>
      <c r="F241" s="711"/>
      <c r="G241" s="24">
        <f t="shared" si="45"/>
        <v>1</v>
      </c>
      <c r="H241" s="711"/>
      <c r="I241" s="24">
        <f t="shared" si="46"/>
        <v>1</v>
      </c>
      <c r="J241" s="711"/>
      <c r="K241" s="24">
        <f t="shared" si="47"/>
        <v>1</v>
      </c>
      <c r="L241" s="711"/>
      <c r="M241" s="24">
        <f t="shared" si="48"/>
        <v>1</v>
      </c>
      <c r="N241" s="711"/>
      <c r="O241" s="24">
        <f t="shared" si="49"/>
        <v>1</v>
      </c>
      <c r="P241" s="711"/>
      <c r="Q241" s="24">
        <f t="shared" si="50"/>
        <v>1</v>
      </c>
      <c r="R241" s="707">
        <f t="shared" si="51"/>
        <v>0</v>
      </c>
      <c r="S241" s="352">
        <f t="shared" si="52"/>
        <v>0</v>
      </c>
    </row>
    <row r="242" spans="1:19">
      <c r="A242" s="150"/>
      <c r="B242" s="58"/>
      <c r="C242" s="24">
        <f t="shared" si="43"/>
        <v>1</v>
      </c>
      <c r="D242" s="711"/>
      <c r="E242" s="24">
        <f t="shared" si="44"/>
        <v>1</v>
      </c>
      <c r="F242" s="711"/>
      <c r="G242" s="24">
        <f t="shared" si="45"/>
        <v>1</v>
      </c>
      <c r="H242" s="711"/>
      <c r="I242" s="24">
        <f t="shared" si="46"/>
        <v>1</v>
      </c>
      <c r="J242" s="711"/>
      <c r="K242" s="24">
        <f t="shared" si="47"/>
        <v>1</v>
      </c>
      <c r="L242" s="711"/>
      <c r="M242" s="24">
        <f t="shared" si="48"/>
        <v>1</v>
      </c>
      <c r="N242" s="711"/>
      <c r="O242" s="24">
        <f t="shared" si="49"/>
        <v>1</v>
      </c>
      <c r="P242" s="711"/>
      <c r="Q242" s="24">
        <f t="shared" si="50"/>
        <v>1</v>
      </c>
      <c r="R242" s="707">
        <f t="shared" si="51"/>
        <v>0</v>
      </c>
      <c r="S242" s="352">
        <f t="shared" si="52"/>
        <v>0</v>
      </c>
    </row>
    <row r="243" spans="1:19">
      <c r="A243" s="150"/>
      <c r="B243" s="58"/>
      <c r="C243" s="24">
        <f t="shared" si="43"/>
        <v>1</v>
      </c>
      <c r="D243" s="711"/>
      <c r="E243" s="24">
        <f t="shared" si="44"/>
        <v>1</v>
      </c>
      <c r="F243" s="711"/>
      <c r="G243" s="24">
        <f t="shared" si="45"/>
        <v>1</v>
      </c>
      <c r="H243" s="711"/>
      <c r="I243" s="24">
        <f t="shared" si="46"/>
        <v>1</v>
      </c>
      <c r="J243" s="711"/>
      <c r="K243" s="24">
        <f t="shared" si="47"/>
        <v>1</v>
      </c>
      <c r="L243" s="711"/>
      <c r="M243" s="24">
        <f t="shared" si="48"/>
        <v>1</v>
      </c>
      <c r="N243" s="711"/>
      <c r="O243" s="24">
        <f t="shared" si="49"/>
        <v>1</v>
      </c>
      <c r="P243" s="711"/>
      <c r="Q243" s="24">
        <f t="shared" si="50"/>
        <v>1</v>
      </c>
      <c r="R243" s="707">
        <f t="shared" si="51"/>
        <v>0</v>
      </c>
      <c r="S243" s="352">
        <f t="shared" si="52"/>
        <v>0</v>
      </c>
    </row>
    <row r="244" spans="1:19">
      <c r="A244" s="150"/>
      <c r="B244" s="58"/>
      <c r="C244" s="24">
        <f t="shared" si="43"/>
        <v>1</v>
      </c>
      <c r="D244" s="711"/>
      <c r="E244" s="24">
        <f t="shared" si="44"/>
        <v>1</v>
      </c>
      <c r="F244" s="711"/>
      <c r="G244" s="24">
        <f t="shared" si="45"/>
        <v>1</v>
      </c>
      <c r="H244" s="711"/>
      <c r="I244" s="24">
        <f t="shared" si="46"/>
        <v>1</v>
      </c>
      <c r="J244" s="711"/>
      <c r="K244" s="24">
        <f t="shared" si="47"/>
        <v>1</v>
      </c>
      <c r="L244" s="711"/>
      <c r="M244" s="24">
        <f t="shared" si="48"/>
        <v>1</v>
      </c>
      <c r="N244" s="711"/>
      <c r="O244" s="24">
        <f t="shared" si="49"/>
        <v>1</v>
      </c>
      <c r="P244" s="711"/>
      <c r="Q244" s="24">
        <f t="shared" si="50"/>
        <v>1</v>
      </c>
      <c r="R244" s="707">
        <f t="shared" si="51"/>
        <v>0</v>
      </c>
      <c r="S244" s="352">
        <f t="shared" si="52"/>
        <v>0</v>
      </c>
    </row>
    <row r="245" spans="1:19">
      <c r="A245" s="150"/>
      <c r="B245" s="58"/>
      <c r="C245" s="24">
        <f t="shared" si="43"/>
        <v>1</v>
      </c>
      <c r="D245" s="711"/>
      <c r="E245" s="24">
        <f t="shared" si="44"/>
        <v>1</v>
      </c>
      <c r="F245" s="711"/>
      <c r="G245" s="24">
        <f t="shared" si="45"/>
        <v>1</v>
      </c>
      <c r="H245" s="711"/>
      <c r="I245" s="24">
        <f t="shared" si="46"/>
        <v>1</v>
      </c>
      <c r="J245" s="711"/>
      <c r="K245" s="24">
        <f t="shared" si="47"/>
        <v>1</v>
      </c>
      <c r="L245" s="711"/>
      <c r="M245" s="24">
        <f t="shared" si="48"/>
        <v>1</v>
      </c>
      <c r="N245" s="711"/>
      <c r="O245" s="24">
        <f t="shared" si="49"/>
        <v>1</v>
      </c>
      <c r="P245" s="711"/>
      <c r="Q245" s="24">
        <f t="shared" si="50"/>
        <v>1</v>
      </c>
      <c r="R245" s="707">
        <f t="shared" si="51"/>
        <v>0</v>
      </c>
      <c r="S245" s="352">
        <f t="shared" si="52"/>
        <v>0</v>
      </c>
    </row>
    <row r="246" spans="1:19">
      <c r="A246" s="150"/>
      <c r="B246" s="58"/>
      <c r="C246" s="24">
        <f t="shared" si="43"/>
        <v>1</v>
      </c>
      <c r="D246" s="711"/>
      <c r="E246" s="24">
        <f t="shared" si="44"/>
        <v>1</v>
      </c>
      <c r="F246" s="711"/>
      <c r="G246" s="24">
        <f t="shared" si="45"/>
        <v>1</v>
      </c>
      <c r="H246" s="711"/>
      <c r="I246" s="24">
        <f t="shared" si="46"/>
        <v>1</v>
      </c>
      <c r="J246" s="711"/>
      <c r="K246" s="24">
        <f t="shared" si="47"/>
        <v>1</v>
      </c>
      <c r="L246" s="711"/>
      <c r="M246" s="24">
        <f t="shared" si="48"/>
        <v>1</v>
      </c>
      <c r="N246" s="711"/>
      <c r="O246" s="24">
        <f t="shared" si="49"/>
        <v>1</v>
      </c>
      <c r="P246" s="711"/>
      <c r="Q246" s="24">
        <f t="shared" si="50"/>
        <v>1</v>
      </c>
      <c r="R246" s="707">
        <f t="shared" si="51"/>
        <v>0</v>
      </c>
      <c r="S246" s="352">
        <f t="shared" si="52"/>
        <v>0</v>
      </c>
    </row>
    <row r="247" spans="1:19">
      <c r="A247" s="150"/>
      <c r="B247" s="58"/>
      <c r="C247" s="24">
        <f t="shared" si="43"/>
        <v>1</v>
      </c>
      <c r="D247" s="711"/>
      <c r="E247" s="24">
        <f t="shared" si="44"/>
        <v>1</v>
      </c>
      <c r="F247" s="711"/>
      <c r="G247" s="24">
        <f t="shared" si="45"/>
        <v>1</v>
      </c>
      <c r="H247" s="711"/>
      <c r="I247" s="24">
        <f t="shared" si="46"/>
        <v>1</v>
      </c>
      <c r="J247" s="711"/>
      <c r="K247" s="24">
        <f t="shared" si="47"/>
        <v>1</v>
      </c>
      <c r="L247" s="711"/>
      <c r="M247" s="24">
        <f t="shared" si="48"/>
        <v>1</v>
      </c>
      <c r="N247" s="711"/>
      <c r="O247" s="24">
        <f t="shared" si="49"/>
        <v>1</v>
      </c>
      <c r="P247" s="711"/>
      <c r="Q247" s="24">
        <f t="shared" si="50"/>
        <v>1</v>
      </c>
      <c r="R247" s="707">
        <f t="shared" si="51"/>
        <v>0</v>
      </c>
      <c r="S247" s="352">
        <f t="shared" si="52"/>
        <v>0</v>
      </c>
    </row>
    <row r="248" spans="1:19">
      <c r="A248" s="150"/>
      <c r="B248" s="58"/>
      <c r="C248" s="24">
        <f t="shared" si="43"/>
        <v>1</v>
      </c>
      <c r="D248" s="711"/>
      <c r="E248" s="24">
        <f t="shared" si="44"/>
        <v>1</v>
      </c>
      <c r="F248" s="711"/>
      <c r="G248" s="24">
        <f t="shared" si="45"/>
        <v>1</v>
      </c>
      <c r="H248" s="711"/>
      <c r="I248" s="24">
        <f t="shared" si="46"/>
        <v>1</v>
      </c>
      <c r="J248" s="711"/>
      <c r="K248" s="24">
        <f t="shared" si="47"/>
        <v>1</v>
      </c>
      <c r="L248" s="711"/>
      <c r="M248" s="24">
        <f t="shared" si="48"/>
        <v>1</v>
      </c>
      <c r="N248" s="711"/>
      <c r="O248" s="24">
        <f t="shared" si="49"/>
        <v>1</v>
      </c>
      <c r="P248" s="711"/>
      <c r="Q248" s="24">
        <f t="shared" si="50"/>
        <v>1</v>
      </c>
      <c r="R248" s="707">
        <f t="shared" si="51"/>
        <v>0</v>
      </c>
      <c r="S248" s="352">
        <f t="shared" si="52"/>
        <v>0</v>
      </c>
    </row>
    <row r="249" spans="1:19">
      <c r="A249" s="150"/>
      <c r="B249" s="58"/>
      <c r="C249" s="24">
        <f t="shared" si="43"/>
        <v>1</v>
      </c>
      <c r="D249" s="711"/>
      <c r="E249" s="24">
        <f t="shared" si="44"/>
        <v>1</v>
      </c>
      <c r="F249" s="711"/>
      <c r="G249" s="24">
        <f t="shared" si="45"/>
        <v>1</v>
      </c>
      <c r="H249" s="711"/>
      <c r="I249" s="24">
        <f t="shared" si="46"/>
        <v>1</v>
      </c>
      <c r="J249" s="711"/>
      <c r="K249" s="24">
        <f t="shared" si="47"/>
        <v>1</v>
      </c>
      <c r="L249" s="711"/>
      <c r="M249" s="24">
        <f t="shared" si="48"/>
        <v>1</v>
      </c>
      <c r="N249" s="711"/>
      <c r="O249" s="24">
        <f t="shared" si="49"/>
        <v>1</v>
      </c>
      <c r="P249" s="711"/>
      <c r="Q249" s="24">
        <f t="shared" si="50"/>
        <v>1</v>
      </c>
      <c r="R249" s="707">
        <f t="shared" si="51"/>
        <v>0</v>
      </c>
      <c r="S249" s="352">
        <f t="shared" si="52"/>
        <v>0</v>
      </c>
    </row>
    <row r="250" spans="1:19">
      <c r="A250" s="150"/>
      <c r="B250" s="58"/>
      <c r="C250" s="24">
        <f t="shared" si="43"/>
        <v>1</v>
      </c>
      <c r="D250" s="711"/>
      <c r="E250" s="24">
        <f t="shared" si="44"/>
        <v>1</v>
      </c>
      <c r="F250" s="711"/>
      <c r="G250" s="24">
        <f t="shared" si="45"/>
        <v>1</v>
      </c>
      <c r="H250" s="711"/>
      <c r="I250" s="24">
        <f t="shared" si="46"/>
        <v>1</v>
      </c>
      <c r="J250" s="711"/>
      <c r="K250" s="24">
        <f t="shared" si="47"/>
        <v>1</v>
      </c>
      <c r="L250" s="711"/>
      <c r="M250" s="24">
        <f t="shared" si="48"/>
        <v>1</v>
      </c>
      <c r="N250" s="711"/>
      <c r="O250" s="24">
        <f t="shared" si="49"/>
        <v>1</v>
      </c>
      <c r="P250" s="711"/>
      <c r="Q250" s="24">
        <f t="shared" si="50"/>
        <v>1</v>
      </c>
      <c r="R250" s="707">
        <f t="shared" si="51"/>
        <v>0</v>
      </c>
      <c r="S250" s="352">
        <f t="shared" si="52"/>
        <v>0</v>
      </c>
    </row>
    <row r="251" spans="1:19">
      <c r="A251" s="150"/>
      <c r="B251" s="58"/>
      <c r="C251" s="24">
        <f t="shared" si="43"/>
        <v>1</v>
      </c>
      <c r="D251" s="711"/>
      <c r="E251" s="24">
        <f t="shared" si="44"/>
        <v>1</v>
      </c>
      <c r="F251" s="711"/>
      <c r="G251" s="24">
        <f t="shared" si="45"/>
        <v>1</v>
      </c>
      <c r="H251" s="711"/>
      <c r="I251" s="24">
        <f t="shared" si="46"/>
        <v>1</v>
      </c>
      <c r="J251" s="711"/>
      <c r="K251" s="24">
        <f t="shared" si="47"/>
        <v>1</v>
      </c>
      <c r="L251" s="711"/>
      <c r="M251" s="24">
        <f t="shared" si="48"/>
        <v>1</v>
      </c>
      <c r="N251" s="711"/>
      <c r="O251" s="24">
        <f t="shared" si="49"/>
        <v>1</v>
      </c>
      <c r="P251" s="711"/>
      <c r="Q251" s="24">
        <f t="shared" si="50"/>
        <v>1</v>
      </c>
      <c r="R251" s="707">
        <f t="shared" si="51"/>
        <v>0</v>
      </c>
      <c r="S251" s="352">
        <f t="shared" si="52"/>
        <v>0</v>
      </c>
    </row>
    <row r="252" spans="1:19">
      <c r="A252" s="150"/>
      <c r="B252" s="58"/>
      <c r="C252" s="24">
        <f t="shared" si="43"/>
        <v>1</v>
      </c>
      <c r="D252" s="711"/>
      <c r="E252" s="24">
        <f t="shared" si="44"/>
        <v>1</v>
      </c>
      <c r="F252" s="711"/>
      <c r="G252" s="24">
        <f t="shared" si="45"/>
        <v>1</v>
      </c>
      <c r="H252" s="711"/>
      <c r="I252" s="24">
        <f t="shared" si="46"/>
        <v>1</v>
      </c>
      <c r="J252" s="711"/>
      <c r="K252" s="24">
        <f t="shared" si="47"/>
        <v>1</v>
      </c>
      <c r="L252" s="711"/>
      <c r="M252" s="24">
        <f t="shared" si="48"/>
        <v>1</v>
      </c>
      <c r="N252" s="711"/>
      <c r="O252" s="24">
        <f t="shared" si="49"/>
        <v>1</v>
      </c>
      <c r="P252" s="711"/>
      <c r="Q252" s="24">
        <f t="shared" si="50"/>
        <v>1</v>
      </c>
      <c r="R252" s="707">
        <f t="shared" si="51"/>
        <v>0</v>
      </c>
      <c r="S252" s="352">
        <f t="shared" si="52"/>
        <v>0</v>
      </c>
    </row>
    <row r="253" spans="1:19">
      <c r="A253" s="150"/>
      <c r="B253" s="58"/>
      <c r="C253" s="24">
        <f t="shared" si="43"/>
        <v>1</v>
      </c>
      <c r="D253" s="711"/>
      <c r="E253" s="24">
        <f t="shared" si="44"/>
        <v>1</v>
      </c>
      <c r="F253" s="711"/>
      <c r="G253" s="24">
        <f t="shared" si="45"/>
        <v>1</v>
      </c>
      <c r="H253" s="711"/>
      <c r="I253" s="24">
        <f t="shared" si="46"/>
        <v>1</v>
      </c>
      <c r="J253" s="711"/>
      <c r="K253" s="24">
        <f t="shared" si="47"/>
        <v>1</v>
      </c>
      <c r="L253" s="711"/>
      <c r="M253" s="24">
        <f t="shared" si="48"/>
        <v>1</v>
      </c>
      <c r="N253" s="711"/>
      <c r="O253" s="24">
        <f t="shared" si="49"/>
        <v>1</v>
      </c>
      <c r="P253" s="711"/>
      <c r="Q253" s="24">
        <f t="shared" si="50"/>
        <v>1</v>
      </c>
      <c r="R253" s="707">
        <f t="shared" si="51"/>
        <v>0</v>
      </c>
      <c r="S253" s="352">
        <f t="shared" si="52"/>
        <v>0</v>
      </c>
    </row>
    <row r="254" spans="1:19">
      <c r="A254" s="150"/>
      <c r="B254" s="58"/>
      <c r="C254" s="24">
        <f t="shared" si="43"/>
        <v>1</v>
      </c>
      <c r="D254" s="711"/>
      <c r="E254" s="24">
        <f t="shared" si="44"/>
        <v>1</v>
      </c>
      <c r="F254" s="711"/>
      <c r="G254" s="24">
        <f t="shared" si="45"/>
        <v>1</v>
      </c>
      <c r="H254" s="711"/>
      <c r="I254" s="24">
        <f t="shared" si="46"/>
        <v>1</v>
      </c>
      <c r="J254" s="711"/>
      <c r="K254" s="24">
        <f t="shared" si="47"/>
        <v>1</v>
      </c>
      <c r="L254" s="711"/>
      <c r="M254" s="24">
        <f t="shared" si="48"/>
        <v>1</v>
      </c>
      <c r="N254" s="711"/>
      <c r="O254" s="24">
        <f t="shared" si="49"/>
        <v>1</v>
      </c>
      <c r="P254" s="711"/>
      <c r="Q254" s="24">
        <f t="shared" si="50"/>
        <v>1</v>
      </c>
      <c r="R254" s="707">
        <f t="shared" si="51"/>
        <v>0</v>
      </c>
      <c r="S254" s="352">
        <f t="shared" si="52"/>
        <v>0</v>
      </c>
    </row>
    <row r="255" spans="1:19">
      <c r="A255" s="150"/>
      <c r="B255" s="58"/>
      <c r="C255" s="24">
        <f t="shared" si="43"/>
        <v>1</v>
      </c>
      <c r="D255" s="711"/>
      <c r="E255" s="24">
        <f t="shared" si="44"/>
        <v>1</v>
      </c>
      <c r="F255" s="711"/>
      <c r="G255" s="24">
        <f t="shared" si="45"/>
        <v>1</v>
      </c>
      <c r="H255" s="711"/>
      <c r="I255" s="24">
        <f t="shared" si="46"/>
        <v>1</v>
      </c>
      <c r="J255" s="711"/>
      <c r="K255" s="24">
        <f t="shared" si="47"/>
        <v>1</v>
      </c>
      <c r="L255" s="711"/>
      <c r="M255" s="24">
        <f t="shared" si="48"/>
        <v>1</v>
      </c>
      <c r="N255" s="711"/>
      <c r="O255" s="24">
        <f t="shared" si="49"/>
        <v>1</v>
      </c>
      <c r="P255" s="711"/>
      <c r="Q255" s="24">
        <f t="shared" si="50"/>
        <v>1</v>
      </c>
      <c r="R255" s="707">
        <f t="shared" si="51"/>
        <v>0</v>
      </c>
      <c r="S255" s="352">
        <f t="shared" si="52"/>
        <v>0</v>
      </c>
    </row>
    <row r="256" spans="1:19">
      <c r="A256" s="150"/>
      <c r="B256" s="58"/>
      <c r="C256" s="24">
        <f t="shared" si="43"/>
        <v>1</v>
      </c>
      <c r="D256" s="711"/>
      <c r="E256" s="24">
        <f t="shared" si="44"/>
        <v>1</v>
      </c>
      <c r="F256" s="711"/>
      <c r="G256" s="24">
        <f t="shared" si="45"/>
        <v>1</v>
      </c>
      <c r="H256" s="711"/>
      <c r="I256" s="24">
        <f t="shared" si="46"/>
        <v>1</v>
      </c>
      <c r="J256" s="711"/>
      <c r="K256" s="24">
        <f t="shared" si="47"/>
        <v>1</v>
      </c>
      <c r="L256" s="711"/>
      <c r="M256" s="24">
        <f t="shared" si="48"/>
        <v>1</v>
      </c>
      <c r="N256" s="711"/>
      <c r="O256" s="24">
        <f t="shared" si="49"/>
        <v>1</v>
      </c>
      <c r="P256" s="711"/>
      <c r="Q256" s="24">
        <f t="shared" si="50"/>
        <v>1</v>
      </c>
      <c r="R256" s="707">
        <f t="shared" si="51"/>
        <v>0</v>
      </c>
      <c r="S256" s="352">
        <f t="shared" si="52"/>
        <v>0</v>
      </c>
    </row>
    <row r="257" spans="1:19">
      <c r="A257" s="150"/>
      <c r="B257" s="58"/>
      <c r="C257" s="24">
        <f t="shared" si="43"/>
        <v>1</v>
      </c>
      <c r="D257" s="711"/>
      <c r="E257" s="24">
        <f t="shared" si="44"/>
        <v>1</v>
      </c>
      <c r="F257" s="711"/>
      <c r="G257" s="24">
        <f t="shared" si="45"/>
        <v>1</v>
      </c>
      <c r="H257" s="711"/>
      <c r="I257" s="24">
        <f t="shared" si="46"/>
        <v>1</v>
      </c>
      <c r="J257" s="711"/>
      <c r="K257" s="24">
        <f t="shared" si="47"/>
        <v>1</v>
      </c>
      <c r="L257" s="711"/>
      <c r="M257" s="24">
        <f t="shared" si="48"/>
        <v>1</v>
      </c>
      <c r="N257" s="711"/>
      <c r="O257" s="24">
        <f t="shared" si="49"/>
        <v>1</v>
      </c>
      <c r="P257" s="711"/>
      <c r="Q257" s="24">
        <f t="shared" si="50"/>
        <v>1</v>
      </c>
      <c r="R257" s="707">
        <f t="shared" si="51"/>
        <v>0</v>
      </c>
      <c r="S257" s="352">
        <f t="shared" si="52"/>
        <v>0</v>
      </c>
    </row>
    <row r="258" spans="1:19">
      <c r="A258" s="150"/>
      <c r="B258" s="58"/>
      <c r="C258" s="24">
        <f t="shared" si="43"/>
        <v>1</v>
      </c>
      <c r="D258" s="711"/>
      <c r="E258" s="24">
        <f t="shared" si="44"/>
        <v>1</v>
      </c>
      <c r="F258" s="711"/>
      <c r="G258" s="24">
        <f t="shared" si="45"/>
        <v>1</v>
      </c>
      <c r="H258" s="711"/>
      <c r="I258" s="24">
        <f t="shared" si="46"/>
        <v>1</v>
      </c>
      <c r="J258" s="711"/>
      <c r="K258" s="24">
        <f t="shared" si="47"/>
        <v>1</v>
      </c>
      <c r="L258" s="711"/>
      <c r="M258" s="24">
        <f t="shared" si="48"/>
        <v>1</v>
      </c>
      <c r="N258" s="711"/>
      <c r="O258" s="24">
        <f t="shared" si="49"/>
        <v>1</v>
      </c>
      <c r="P258" s="711"/>
      <c r="Q258" s="24">
        <f t="shared" si="50"/>
        <v>1</v>
      </c>
      <c r="R258" s="707">
        <f t="shared" si="51"/>
        <v>0</v>
      </c>
      <c r="S258" s="352">
        <f t="shared" si="52"/>
        <v>0</v>
      </c>
    </row>
    <row r="259" spans="1:19">
      <c r="A259" s="150"/>
      <c r="B259" s="58"/>
      <c r="C259" s="24">
        <f t="shared" si="43"/>
        <v>1</v>
      </c>
      <c r="D259" s="711"/>
      <c r="E259" s="24">
        <f t="shared" si="44"/>
        <v>1</v>
      </c>
      <c r="F259" s="711"/>
      <c r="G259" s="24">
        <f t="shared" si="45"/>
        <v>1</v>
      </c>
      <c r="H259" s="711"/>
      <c r="I259" s="24">
        <f t="shared" si="46"/>
        <v>1</v>
      </c>
      <c r="J259" s="711"/>
      <c r="K259" s="24">
        <f t="shared" si="47"/>
        <v>1</v>
      </c>
      <c r="L259" s="711"/>
      <c r="M259" s="24">
        <f t="shared" si="48"/>
        <v>1</v>
      </c>
      <c r="N259" s="711"/>
      <c r="O259" s="24">
        <f t="shared" si="49"/>
        <v>1</v>
      </c>
      <c r="P259" s="711"/>
      <c r="Q259" s="24">
        <f t="shared" si="50"/>
        <v>1</v>
      </c>
      <c r="R259" s="707">
        <f t="shared" si="51"/>
        <v>0</v>
      </c>
      <c r="S259" s="352">
        <f t="shared" si="52"/>
        <v>0</v>
      </c>
    </row>
    <row r="260" spans="1:19">
      <c r="A260" s="150"/>
      <c r="B260" s="58"/>
      <c r="C260" s="24">
        <f t="shared" si="43"/>
        <v>1</v>
      </c>
      <c r="D260" s="711"/>
      <c r="E260" s="24">
        <f t="shared" si="44"/>
        <v>1</v>
      </c>
      <c r="F260" s="711"/>
      <c r="G260" s="24">
        <f t="shared" si="45"/>
        <v>1</v>
      </c>
      <c r="H260" s="711"/>
      <c r="I260" s="24">
        <f t="shared" si="46"/>
        <v>1</v>
      </c>
      <c r="J260" s="711"/>
      <c r="K260" s="24">
        <f t="shared" si="47"/>
        <v>1</v>
      </c>
      <c r="L260" s="711"/>
      <c r="M260" s="24">
        <f t="shared" si="48"/>
        <v>1</v>
      </c>
      <c r="N260" s="711"/>
      <c r="O260" s="24">
        <f t="shared" si="49"/>
        <v>1</v>
      </c>
      <c r="P260" s="711"/>
      <c r="Q260" s="24">
        <f t="shared" si="50"/>
        <v>1</v>
      </c>
      <c r="R260" s="707">
        <f t="shared" si="51"/>
        <v>0</v>
      </c>
      <c r="S260" s="352">
        <f t="shared" si="52"/>
        <v>0</v>
      </c>
    </row>
    <row r="261" spans="1:19">
      <c r="A261" s="150"/>
      <c r="B261" s="58"/>
      <c r="C261" s="24">
        <f t="shared" si="43"/>
        <v>1</v>
      </c>
      <c r="D261" s="711"/>
      <c r="E261" s="24">
        <f t="shared" si="44"/>
        <v>1</v>
      </c>
      <c r="F261" s="711"/>
      <c r="G261" s="24">
        <f t="shared" si="45"/>
        <v>1</v>
      </c>
      <c r="H261" s="711"/>
      <c r="I261" s="24">
        <f t="shared" si="46"/>
        <v>1</v>
      </c>
      <c r="J261" s="711"/>
      <c r="K261" s="24">
        <f t="shared" si="47"/>
        <v>1</v>
      </c>
      <c r="L261" s="711"/>
      <c r="M261" s="24">
        <f t="shared" si="48"/>
        <v>1</v>
      </c>
      <c r="N261" s="711"/>
      <c r="O261" s="24">
        <f t="shared" si="49"/>
        <v>1</v>
      </c>
      <c r="P261" s="711"/>
      <c r="Q261" s="24">
        <f t="shared" si="50"/>
        <v>1</v>
      </c>
      <c r="R261" s="707">
        <f t="shared" si="51"/>
        <v>0</v>
      </c>
      <c r="S261" s="352">
        <f t="shared" si="52"/>
        <v>0</v>
      </c>
    </row>
    <row r="262" spans="1:19">
      <c r="A262" s="150"/>
      <c r="B262" s="58"/>
      <c r="C262" s="24">
        <f t="shared" si="43"/>
        <v>1</v>
      </c>
      <c r="D262" s="711"/>
      <c r="E262" s="24">
        <f t="shared" si="44"/>
        <v>1</v>
      </c>
      <c r="F262" s="711"/>
      <c r="G262" s="24">
        <f t="shared" si="45"/>
        <v>1</v>
      </c>
      <c r="H262" s="711"/>
      <c r="I262" s="24">
        <f t="shared" si="46"/>
        <v>1</v>
      </c>
      <c r="J262" s="711"/>
      <c r="K262" s="24">
        <f t="shared" si="47"/>
        <v>1</v>
      </c>
      <c r="L262" s="711"/>
      <c r="M262" s="24">
        <f t="shared" si="48"/>
        <v>1</v>
      </c>
      <c r="N262" s="711"/>
      <c r="O262" s="24">
        <f t="shared" si="49"/>
        <v>1</v>
      </c>
      <c r="P262" s="711"/>
      <c r="Q262" s="24">
        <f t="shared" si="50"/>
        <v>1</v>
      </c>
      <c r="R262" s="707">
        <f t="shared" si="51"/>
        <v>0</v>
      </c>
      <c r="S262" s="352">
        <f t="shared" si="52"/>
        <v>0</v>
      </c>
    </row>
    <row r="263" spans="1:19">
      <c r="A263" s="150"/>
      <c r="B263" s="58"/>
      <c r="C263" s="24">
        <f t="shared" si="43"/>
        <v>1</v>
      </c>
      <c r="D263" s="711"/>
      <c r="E263" s="24">
        <f t="shared" si="44"/>
        <v>1</v>
      </c>
      <c r="F263" s="711"/>
      <c r="G263" s="24">
        <f t="shared" si="45"/>
        <v>1</v>
      </c>
      <c r="H263" s="711"/>
      <c r="I263" s="24">
        <f t="shared" si="46"/>
        <v>1</v>
      </c>
      <c r="J263" s="711"/>
      <c r="K263" s="24">
        <f t="shared" si="47"/>
        <v>1</v>
      </c>
      <c r="L263" s="711"/>
      <c r="M263" s="24">
        <f t="shared" si="48"/>
        <v>1</v>
      </c>
      <c r="N263" s="711"/>
      <c r="O263" s="24">
        <f t="shared" si="49"/>
        <v>1</v>
      </c>
      <c r="P263" s="711"/>
      <c r="Q263" s="24">
        <f t="shared" si="50"/>
        <v>1</v>
      </c>
      <c r="R263" s="707">
        <f t="shared" si="51"/>
        <v>0</v>
      </c>
      <c r="S263" s="352">
        <f t="shared" si="52"/>
        <v>0</v>
      </c>
    </row>
    <row r="264" spans="1:19">
      <c r="A264" s="150"/>
      <c r="B264" s="58"/>
      <c r="C264" s="24">
        <f t="shared" si="43"/>
        <v>1</v>
      </c>
      <c r="D264" s="711"/>
      <c r="E264" s="24">
        <f t="shared" si="44"/>
        <v>1</v>
      </c>
      <c r="F264" s="711"/>
      <c r="G264" s="24">
        <f t="shared" si="45"/>
        <v>1</v>
      </c>
      <c r="H264" s="711"/>
      <c r="I264" s="24">
        <f t="shared" si="46"/>
        <v>1</v>
      </c>
      <c r="J264" s="711"/>
      <c r="K264" s="24">
        <f t="shared" si="47"/>
        <v>1</v>
      </c>
      <c r="L264" s="711"/>
      <c r="M264" s="24">
        <f t="shared" si="48"/>
        <v>1</v>
      </c>
      <c r="N264" s="711"/>
      <c r="O264" s="24">
        <f t="shared" si="49"/>
        <v>1</v>
      </c>
      <c r="P264" s="711"/>
      <c r="Q264" s="24">
        <f t="shared" si="50"/>
        <v>1</v>
      </c>
      <c r="R264" s="707">
        <f t="shared" si="51"/>
        <v>0</v>
      </c>
      <c r="S264" s="352">
        <f t="shared" si="52"/>
        <v>0</v>
      </c>
    </row>
    <row r="265" spans="1:19">
      <c r="A265" s="150"/>
      <c r="B265" s="58"/>
      <c r="C265" s="24">
        <f t="shared" si="43"/>
        <v>1</v>
      </c>
      <c r="D265" s="711"/>
      <c r="E265" s="24">
        <f t="shared" si="44"/>
        <v>1</v>
      </c>
      <c r="F265" s="711"/>
      <c r="G265" s="24">
        <f t="shared" si="45"/>
        <v>1</v>
      </c>
      <c r="H265" s="711"/>
      <c r="I265" s="24">
        <f t="shared" si="46"/>
        <v>1</v>
      </c>
      <c r="J265" s="711"/>
      <c r="K265" s="24">
        <f t="shared" si="47"/>
        <v>1</v>
      </c>
      <c r="L265" s="711"/>
      <c r="M265" s="24">
        <f t="shared" si="48"/>
        <v>1</v>
      </c>
      <c r="N265" s="711"/>
      <c r="O265" s="24">
        <f t="shared" si="49"/>
        <v>1</v>
      </c>
      <c r="P265" s="711"/>
      <c r="Q265" s="24">
        <f t="shared" si="50"/>
        <v>1</v>
      </c>
      <c r="R265" s="707">
        <f t="shared" si="51"/>
        <v>0</v>
      </c>
      <c r="S265" s="352">
        <f t="shared" si="52"/>
        <v>0</v>
      </c>
    </row>
    <row r="266" spans="1:19">
      <c r="A266" s="150"/>
      <c r="B266" s="58"/>
      <c r="C266" s="24">
        <f t="shared" si="43"/>
        <v>1</v>
      </c>
      <c r="D266" s="711"/>
      <c r="E266" s="24">
        <f t="shared" si="44"/>
        <v>1</v>
      </c>
      <c r="F266" s="711"/>
      <c r="G266" s="24">
        <f t="shared" si="45"/>
        <v>1</v>
      </c>
      <c r="H266" s="711"/>
      <c r="I266" s="24">
        <f t="shared" si="46"/>
        <v>1</v>
      </c>
      <c r="J266" s="711"/>
      <c r="K266" s="24">
        <f t="shared" si="47"/>
        <v>1</v>
      </c>
      <c r="L266" s="711"/>
      <c r="M266" s="24">
        <f t="shared" si="48"/>
        <v>1</v>
      </c>
      <c r="N266" s="711"/>
      <c r="O266" s="24">
        <f t="shared" si="49"/>
        <v>1</v>
      </c>
      <c r="P266" s="711"/>
      <c r="Q266" s="24">
        <f t="shared" si="50"/>
        <v>1</v>
      </c>
      <c r="R266" s="707">
        <f t="shared" si="51"/>
        <v>0</v>
      </c>
      <c r="S266" s="352">
        <f t="shared" si="52"/>
        <v>0</v>
      </c>
    </row>
    <row r="267" spans="1:19">
      <c r="A267" s="150"/>
      <c r="B267" s="58"/>
      <c r="C267" s="24">
        <f t="shared" si="43"/>
        <v>1</v>
      </c>
      <c r="D267" s="711"/>
      <c r="E267" s="24">
        <f t="shared" si="44"/>
        <v>1</v>
      </c>
      <c r="F267" s="711"/>
      <c r="G267" s="24">
        <f t="shared" si="45"/>
        <v>1</v>
      </c>
      <c r="H267" s="711"/>
      <c r="I267" s="24">
        <f t="shared" si="46"/>
        <v>1</v>
      </c>
      <c r="J267" s="711"/>
      <c r="K267" s="24">
        <f t="shared" si="47"/>
        <v>1</v>
      </c>
      <c r="L267" s="711"/>
      <c r="M267" s="24">
        <f t="shared" si="48"/>
        <v>1</v>
      </c>
      <c r="N267" s="711"/>
      <c r="O267" s="24">
        <f t="shared" si="49"/>
        <v>1</v>
      </c>
      <c r="P267" s="711"/>
      <c r="Q267" s="24">
        <f t="shared" si="50"/>
        <v>1</v>
      </c>
      <c r="R267" s="707">
        <f t="shared" si="51"/>
        <v>0</v>
      </c>
      <c r="S267" s="352">
        <f t="shared" si="52"/>
        <v>0</v>
      </c>
    </row>
    <row r="268" spans="1:19">
      <c r="A268" s="150"/>
      <c r="B268" s="58"/>
      <c r="C268" s="24">
        <f t="shared" si="43"/>
        <v>1</v>
      </c>
      <c r="D268" s="711"/>
      <c r="E268" s="24">
        <f t="shared" si="44"/>
        <v>1</v>
      </c>
      <c r="F268" s="711"/>
      <c r="G268" s="24">
        <f t="shared" si="45"/>
        <v>1</v>
      </c>
      <c r="H268" s="711"/>
      <c r="I268" s="24">
        <f t="shared" si="46"/>
        <v>1</v>
      </c>
      <c r="J268" s="711"/>
      <c r="K268" s="24">
        <f t="shared" si="47"/>
        <v>1</v>
      </c>
      <c r="L268" s="711"/>
      <c r="M268" s="24">
        <f t="shared" si="48"/>
        <v>1</v>
      </c>
      <c r="N268" s="711"/>
      <c r="O268" s="24">
        <f t="shared" si="49"/>
        <v>1</v>
      </c>
      <c r="P268" s="711"/>
      <c r="Q268" s="24">
        <f t="shared" si="50"/>
        <v>1</v>
      </c>
      <c r="R268" s="707">
        <f t="shared" si="51"/>
        <v>0</v>
      </c>
      <c r="S268" s="352">
        <f t="shared" si="52"/>
        <v>0</v>
      </c>
    </row>
    <row r="269" spans="1:19">
      <c r="A269" s="150"/>
      <c r="B269" s="58"/>
      <c r="C269" s="24">
        <f t="shared" si="43"/>
        <v>1</v>
      </c>
      <c r="D269" s="711"/>
      <c r="E269" s="24">
        <f t="shared" si="44"/>
        <v>1</v>
      </c>
      <c r="F269" s="711"/>
      <c r="G269" s="24">
        <f t="shared" si="45"/>
        <v>1</v>
      </c>
      <c r="H269" s="711"/>
      <c r="I269" s="24">
        <f t="shared" si="46"/>
        <v>1</v>
      </c>
      <c r="J269" s="711"/>
      <c r="K269" s="24">
        <f t="shared" si="47"/>
        <v>1</v>
      </c>
      <c r="L269" s="711"/>
      <c r="M269" s="24">
        <f t="shared" si="48"/>
        <v>1</v>
      </c>
      <c r="N269" s="711"/>
      <c r="O269" s="24">
        <f t="shared" si="49"/>
        <v>1</v>
      </c>
      <c r="P269" s="711"/>
      <c r="Q269" s="24">
        <f t="shared" si="50"/>
        <v>1</v>
      </c>
      <c r="R269" s="707">
        <f t="shared" si="51"/>
        <v>0</v>
      </c>
      <c r="S269" s="352">
        <f t="shared" si="52"/>
        <v>0</v>
      </c>
    </row>
    <row r="270" spans="1:19">
      <c r="A270" s="150"/>
      <c r="B270" s="58"/>
      <c r="C270" s="24">
        <f t="shared" si="43"/>
        <v>1</v>
      </c>
      <c r="D270" s="711"/>
      <c r="E270" s="24">
        <f t="shared" si="44"/>
        <v>1</v>
      </c>
      <c r="F270" s="711"/>
      <c r="G270" s="24">
        <f t="shared" si="45"/>
        <v>1</v>
      </c>
      <c r="H270" s="711"/>
      <c r="I270" s="24">
        <f t="shared" si="46"/>
        <v>1</v>
      </c>
      <c r="J270" s="711"/>
      <c r="K270" s="24">
        <f t="shared" si="47"/>
        <v>1</v>
      </c>
      <c r="L270" s="711"/>
      <c r="M270" s="24">
        <f t="shared" si="48"/>
        <v>1</v>
      </c>
      <c r="N270" s="711"/>
      <c r="O270" s="24">
        <f t="shared" si="49"/>
        <v>1</v>
      </c>
      <c r="P270" s="711"/>
      <c r="Q270" s="24">
        <f t="shared" si="50"/>
        <v>1</v>
      </c>
      <c r="R270" s="707">
        <f t="shared" si="51"/>
        <v>0</v>
      </c>
      <c r="S270" s="352">
        <f t="shared" si="52"/>
        <v>0</v>
      </c>
    </row>
    <row r="271" spans="1:19">
      <c r="A271" s="150"/>
      <c r="B271" s="58"/>
      <c r="C271" s="24">
        <f t="shared" si="43"/>
        <v>1</v>
      </c>
      <c r="D271" s="711"/>
      <c r="E271" s="24">
        <f t="shared" si="44"/>
        <v>1</v>
      </c>
      <c r="F271" s="711"/>
      <c r="G271" s="24">
        <f t="shared" si="45"/>
        <v>1</v>
      </c>
      <c r="H271" s="711"/>
      <c r="I271" s="24">
        <f t="shared" si="46"/>
        <v>1</v>
      </c>
      <c r="J271" s="711"/>
      <c r="K271" s="24">
        <f t="shared" si="47"/>
        <v>1</v>
      </c>
      <c r="L271" s="711"/>
      <c r="M271" s="24">
        <f t="shared" si="48"/>
        <v>1</v>
      </c>
      <c r="N271" s="711"/>
      <c r="O271" s="24">
        <f t="shared" si="49"/>
        <v>1</v>
      </c>
      <c r="P271" s="711"/>
      <c r="Q271" s="24">
        <f t="shared" si="50"/>
        <v>1</v>
      </c>
      <c r="R271" s="707">
        <f t="shared" si="51"/>
        <v>0</v>
      </c>
      <c r="S271" s="352">
        <f t="shared" si="52"/>
        <v>0</v>
      </c>
    </row>
    <row r="272" spans="1:19">
      <c r="A272" s="150"/>
      <c r="B272" s="58"/>
      <c r="C272" s="24">
        <f t="shared" si="43"/>
        <v>1</v>
      </c>
      <c r="D272" s="711"/>
      <c r="E272" s="24">
        <f t="shared" si="44"/>
        <v>1</v>
      </c>
      <c r="F272" s="711"/>
      <c r="G272" s="24">
        <f t="shared" si="45"/>
        <v>1</v>
      </c>
      <c r="H272" s="711"/>
      <c r="I272" s="24">
        <f t="shared" si="46"/>
        <v>1</v>
      </c>
      <c r="J272" s="711"/>
      <c r="K272" s="24">
        <f t="shared" si="47"/>
        <v>1</v>
      </c>
      <c r="L272" s="711"/>
      <c r="M272" s="24">
        <f t="shared" si="48"/>
        <v>1</v>
      </c>
      <c r="N272" s="711"/>
      <c r="O272" s="24">
        <f t="shared" si="49"/>
        <v>1</v>
      </c>
      <c r="P272" s="711"/>
      <c r="Q272" s="24">
        <f t="shared" si="50"/>
        <v>1</v>
      </c>
      <c r="R272" s="707">
        <f t="shared" si="51"/>
        <v>0</v>
      </c>
      <c r="S272" s="352">
        <f t="shared" si="52"/>
        <v>0</v>
      </c>
    </row>
    <row r="273" spans="1:19">
      <c r="A273" s="150"/>
      <c r="B273" s="58"/>
      <c r="C273" s="24">
        <f t="shared" si="43"/>
        <v>1</v>
      </c>
      <c r="D273" s="711"/>
      <c r="E273" s="24">
        <f t="shared" si="44"/>
        <v>1</v>
      </c>
      <c r="F273" s="711"/>
      <c r="G273" s="24">
        <f t="shared" si="45"/>
        <v>1</v>
      </c>
      <c r="H273" s="711"/>
      <c r="I273" s="24">
        <f t="shared" si="46"/>
        <v>1</v>
      </c>
      <c r="J273" s="711"/>
      <c r="K273" s="24">
        <f t="shared" si="47"/>
        <v>1</v>
      </c>
      <c r="L273" s="711"/>
      <c r="M273" s="24">
        <f t="shared" si="48"/>
        <v>1</v>
      </c>
      <c r="N273" s="711"/>
      <c r="O273" s="24">
        <f t="shared" si="49"/>
        <v>1</v>
      </c>
      <c r="P273" s="711"/>
      <c r="Q273" s="24">
        <f t="shared" si="50"/>
        <v>1</v>
      </c>
      <c r="R273" s="707">
        <f t="shared" si="51"/>
        <v>0</v>
      </c>
      <c r="S273" s="352">
        <f t="shared" si="52"/>
        <v>0</v>
      </c>
    </row>
    <row r="274" spans="1:19">
      <c r="A274" s="150"/>
      <c r="B274" s="58"/>
      <c r="C274" s="24">
        <f t="shared" si="43"/>
        <v>1</v>
      </c>
      <c r="D274" s="711"/>
      <c r="E274" s="24">
        <f t="shared" si="44"/>
        <v>1</v>
      </c>
      <c r="F274" s="711"/>
      <c r="G274" s="24">
        <f t="shared" si="45"/>
        <v>1</v>
      </c>
      <c r="H274" s="711"/>
      <c r="I274" s="24">
        <f t="shared" si="46"/>
        <v>1</v>
      </c>
      <c r="J274" s="711"/>
      <c r="K274" s="24">
        <f t="shared" si="47"/>
        <v>1</v>
      </c>
      <c r="L274" s="711"/>
      <c r="M274" s="24">
        <f t="shared" si="48"/>
        <v>1</v>
      </c>
      <c r="N274" s="711"/>
      <c r="O274" s="24">
        <f t="shared" si="49"/>
        <v>1</v>
      </c>
      <c r="P274" s="711"/>
      <c r="Q274" s="24">
        <f t="shared" si="50"/>
        <v>1</v>
      </c>
      <c r="R274" s="707">
        <f t="shared" si="51"/>
        <v>0</v>
      </c>
      <c r="S274" s="352">
        <f t="shared" si="52"/>
        <v>0</v>
      </c>
    </row>
    <row r="275" spans="1:19">
      <c r="A275" s="150"/>
      <c r="B275" s="58"/>
      <c r="C275" s="24">
        <f t="shared" si="43"/>
        <v>1</v>
      </c>
      <c r="D275" s="711"/>
      <c r="E275" s="24">
        <f t="shared" si="44"/>
        <v>1</v>
      </c>
      <c r="F275" s="711"/>
      <c r="G275" s="24">
        <f t="shared" si="45"/>
        <v>1</v>
      </c>
      <c r="H275" s="711"/>
      <c r="I275" s="24">
        <f t="shared" si="46"/>
        <v>1</v>
      </c>
      <c r="J275" s="711"/>
      <c r="K275" s="24">
        <f t="shared" si="47"/>
        <v>1</v>
      </c>
      <c r="L275" s="711"/>
      <c r="M275" s="24">
        <f t="shared" si="48"/>
        <v>1</v>
      </c>
      <c r="N275" s="711"/>
      <c r="O275" s="24">
        <f t="shared" si="49"/>
        <v>1</v>
      </c>
      <c r="P275" s="711"/>
      <c r="Q275" s="24">
        <f t="shared" si="50"/>
        <v>1</v>
      </c>
      <c r="R275" s="707">
        <f t="shared" si="51"/>
        <v>0</v>
      </c>
      <c r="S275" s="352">
        <f t="shared" si="52"/>
        <v>0</v>
      </c>
    </row>
    <row r="276" spans="1:19">
      <c r="A276" s="150"/>
      <c r="B276" s="58"/>
      <c r="C276" s="24">
        <f t="shared" si="43"/>
        <v>1</v>
      </c>
      <c r="D276" s="711"/>
      <c r="E276" s="24">
        <f t="shared" si="44"/>
        <v>1</v>
      </c>
      <c r="F276" s="711"/>
      <c r="G276" s="24">
        <f t="shared" si="45"/>
        <v>1</v>
      </c>
      <c r="H276" s="711"/>
      <c r="I276" s="24">
        <f t="shared" si="46"/>
        <v>1</v>
      </c>
      <c r="J276" s="711"/>
      <c r="K276" s="24">
        <f t="shared" si="47"/>
        <v>1</v>
      </c>
      <c r="L276" s="711"/>
      <c r="M276" s="24">
        <f t="shared" si="48"/>
        <v>1</v>
      </c>
      <c r="N276" s="711"/>
      <c r="O276" s="24">
        <f t="shared" si="49"/>
        <v>1</v>
      </c>
      <c r="P276" s="711"/>
      <c r="Q276" s="24">
        <f t="shared" si="50"/>
        <v>1</v>
      </c>
      <c r="R276" s="707">
        <f t="shared" si="51"/>
        <v>0</v>
      </c>
      <c r="S276" s="352">
        <f t="shared" si="52"/>
        <v>0</v>
      </c>
    </row>
    <row r="277" spans="1:19">
      <c r="A277" s="150"/>
      <c r="B277" s="58"/>
      <c r="C277" s="24">
        <f t="shared" si="43"/>
        <v>1</v>
      </c>
      <c r="D277" s="711"/>
      <c r="E277" s="24">
        <f t="shared" si="44"/>
        <v>1</v>
      </c>
      <c r="F277" s="711"/>
      <c r="G277" s="24">
        <f t="shared" si="45"/>
        <v>1</v>
      </c>
      <c r="H277" s="711"/>
      <c r="I277" s="24">
        <f t="shared" si="46"/>
        <v>1</v>
      </c>
      <c r="J277" s="711"/>
      <c r="K277" s="24">
        <f t="shared" si="47"/>
        <v>1</v>
      </c>
      <c r="L277" s="711"/>
      <c r="M277" s="24">
        <f t="shared" si="48"/>
        <v>1</v>
      </c>
      <c r="N277" s="711"/>
      <c r="O277" s="24">
        <f t="shared" si="49"/>
        <v>1</v>
      </c>
      <c r="P277" s="711"/>
      <c r="Q277" s="24">
        <f t="shared" si="50"/>
        <v>1</v>
      </c>
      <c r="R277" s="707">
        <f t="shared" si="51"/>
        <v>0</v>
      </c>
      <c r="S277" s="352">
        <f t="shared" si="52"/>
        <v>0</v>
      </c>
    </row>
    <row r="278" spans="1:19">
      <c r="A278" s="150"/>
      <c r="B278" s="58"/>
      <c r="C278" s="24">
        <f t="shared" si="43"/>
        <v>1</v>
      </c>
      <c r="D278" s="711"/>
      <c r="E278" s="24">
        <f t="shared" si="44"/>
        <v>1</v>
      </c>
      <c r="F278" s="711"/>
      <c r="G278" s="24">
        <f t="shared" si="45"/>
        <v>1</v>
      </c>
      <c r="H278" s="711"/>
      <c r="I278" s="24">
        <f t="shared" si="46"/>
        <v>1</v>
      </c>
      <c r="J278" s="711"/>
      <c r="K278" s="24">
        <f t="shared" si="47"/>
        <v>1</v>
      </c>
      <c r="L278" s="711"/>
      <c r="M278" s="24">
        <f t="shared" si="48"/>
        <v>1</v>
      </c>
      <c r="N278" s="711"/>
      <c r="O278" s="24">
        <f t="shared" si="49"/>
        <v>1</v>
      </c>
      <c r="P278" s="711"/>
      <c r="Q278" s="24">
        <f t="shared" si="50"/>
        <v>1</v>
      </c>
      <c r="R278" s="707">
        <f t="shared" si="51"/>
        <v>0</v>
      </c>
      <c r="S278" s="352">
        <f t="shared" si="52"/>
        <v>0</v>
      </c>
    </row>
    <row r="279" spans="1:19">
      <c r="A279" s="150"/>
      <c r="B279" s="58"/>
      <c r="C279" s="24">
        <f t="shared" si="43"/>
        <v>1</v>
      </c>
      <c r="D279" s="711"/>
      <c r="E279" s="24">
        <f t="shared" si="44"/>
        <v>1</v>
      </c>
      <c r="F279" s="711"/>
      <c r="G279" s="24">
        <f t="shared" si="45"/>
        <v>1</v>
      </c>
      <c r="H279" s="711"/>
      <c r="I279" s="24">
        <f t="shared" si="46"/>
        <v>1</v>
      </c>
      <c r="J279" s="711"/>
      <c r="K279" s="24">
        <f t="shared" si="47"/>
        <v>1</v>
      </c>
      <c r="L279" s="711"/>
      <c r="M279" s="24">
        <f t="shared" si="48"/>
        <v>1</v>
      </c>
      <c r="N279" s="711"/>
      <c r="O279" s="24">
        <f t="shared" si="49"/>
        <v>1</v>
      </c>
      <c r="P279" s="711"/>
      <c r="Q279" s="24">
        <f t="shared" si="50"/>
        <v>1</v>
      </c>
      <c r="R279" s="707">
        <f t="shared" si="51"/>
        <v>0</v>
      </c>
      <c r="S279" s="352">
        <f t="shared" si="52"/>
        <v>0</v>
      </c>
    </row>
    <row r="280" spans="1:19">
      <c r="A280" s="150"/>
      <c r="B280" s="58"/>
      <c r="C280" s="24">
        <f t="shared" si="43"/>
        <v>1</v>
      </c>
      <c r="D280" s="711"/>
      <c r="E280" s="24">
        <f t="shared" si="44"/>
        <v>1</v>
      </c>
      <c r="F280" s="711"/>
      <c r="G280" s="24">
        <f t="shared" si="45"/>
        <v>1</v>
      </c>
      <c r="H280" s="711"/>
      <c r="I280" s="24">
        <f t="shared" si="46"/>
        <v>1</v>
      </c>
      <c r="J280" s="711"/>
      <c r="K280" s="24">
        <f t="shared" si="47"/>
        <v>1</v>
      </c>
      <c r="L280" s="711"/>
      <c r="M280" s="24">
        <f t="shared" si="48"/>
        <v>1</v>
      </c>
      <c r="N280" s="711"/>
      <c r="O280" s="24">
        <f t="shared" si="49"/>
        <v>1</v>
      </c>
      <c r="P280" s="711"/>
      <c r="Q280" s="24">
        <f t="shared" si="50"/>
        <v>1</v>
      </c>
      <c r="R280" s="707">
        <f t="shared" si="51"/>
        <v>0</v>
      </c>
      <c r="S280" s="352">
        <f t="shared" si="52"/>
        <v>0</v>
      </c>
    </row>
    <row r="281" spans="1:19">
      <c r="A281" s="150"/>
      <c r="B281" s="58"/>
      <c r="C281" s="24">
        <f t="shared" si="43"/>
        <v>1</v>
      </c>
      <c r="D281" s="711"/>
      <c r="E281" s="24">
        <f t="shared" si="44"/>
        <v>1</v>
      </c>
      <c r="F281" s="711"/>
      <c r="G281" s="24">
        <f t="shared" si="45"/>
        <v>1</v>
      </c>
      <c r="H281" s="711"/>
      <c r="I281" s="24">
        <f t="shared" si="46"/>
        <v>1</v>
      </c>
      <c r="J281" s="711"/>
      <c r="K281" s="24">
        <f t="shared" si="47"/>
        <v>1</v>
      </c>
      <c r="L281" s="711"/>
      <c r="M281" s="24">
        <f t="shared" si="48"/>
        <v>1</v>
      </c>
      <c r="N281" s="711"/>
      <c r="O281" s="24">
        <f t="shared" si="49"/>
        <v>1</v>
      </c>
      <c r="P281" s="711"/>
      <c r="Q281" s="24">
        <f t="shared" si="50"/>
        <v>1</v>
      </c>
      <c r="R281" s="707">
        <f t="shared" si="51"/>
        <v>0</v>
      </c>
      <c r="S281" s="352">
        <f t="shared" si="52"/>
        <v>0</v>
      </c>
    </row>
    <row r="282" spans="1:19">
      <c r="A282" s="150"/>
      <c r="B282" s="58"/>
      <c r="C282" s="24">
        <f t="shared" ref="C282:C345" si="53">IF(B282="",1,(LOOKUP(B282,$3:$3,$4:$4)-LOOKUP($B$24,$3:$3,$4:$4)+100)/100)</f>
        <v>1</v>
      </c>
      <c r="D282" s="711"/>
      <c r="E282" s="24">
        <f t="shared" ref="E282:E345" si="54">(SUMIF($5:$5,D282,$6:$6)-SUMIF($5:$5,$D$24,$6:$6)+100)/100</f>
        <v>1</v>
      </c>
      <c r="F282" s="711"/>
      <c r="G282" s="24">
        <f t="shared" ref="G282:G345" si="55">(SUMIF($7:$7,F282,$8:$8)-SUMIF($7:$7,$F$24,$8:$8)+100)/100</f>
        <v>1</v>
      </c>
      <c r="H282" s="711"/>
      <c r="I282" s="24">
        <f t="shared" ref="I282:I345" si="56">(SUMIF($9:$9,H282,$10:$10)-SUMIF($9:$9,$H$24,$10:$10)+100)/100</f>
        <v>1</v>
      </c>
      <c r="J282" s="711"/>
      <c r="K282" s="24">
        <f t="shared" ref="K282:K345" si="57">(SUMIF($11:$11,J282,$12:$12)-SUMIF($11:$11,$J$24,$12:$12)+100)/100</f>
        <v>1</v>
      </c>
      <c r="L282" s="711"/>
      <c r="M282" s="24">
        <f t="shared" ref="M282:M345" si="58">(SUMIF($13:$13,L282,$14:$14)-SUMIF($13:$13,$L$24,$14:$14)+100)/100</f>
        <v>1</v>
      </c>
      <c r="N282" s="711"/>
      <c r="O282" s="24">
        <f t="shared" ref="O282:O345" si="59">(SUMIF($15:$15,N282,$16:$16)-SUMIF($15:$15,$N$24,$16:$16)+100)/100</f>
        <v>1</v>
      </c>
      <c r="P282" s="711"/>
      <c r="Q282" s="24">
        <f t="shared" ref="Q282:Q345" si="60">(SUMIF($17:$17,P282,$18:$18)-SUMIF($17:$17,$P$24,$18:$18)+100)/100</f>
        <v>1</v>
      </c>
      <c r="R282" s="707">
        <f t="shared" ref="R282:R345" si="61">IF(B282="",0,ROUND($R$24*C282*E282*G282*I282*K282*M282*O282*Q282,0))</f>
        <v>0</v>
      </c>
      <c r="S282" s="352">
        <f t="shared" si="52"/>
        <v>0</v>
      </c>
    </row>
    <row r="283" spans="1:19">
      <c r="A283" s="150"/>
      <c r="B283" s="58"/>
      <c r="C283" s="24">
        <f t="shared" si="53"/>
        <v>1</v>
      </c>
      <c r="D283" s="711"/>
      <c r="E283" s="24">
        <f t="shared" si="54"/>
        <v>1</v>
      </c>
      <c r="F283" s="711"/>
      <c r="G283" s="24">
        <f t="shared" si="55"/>
        <v>1</v>
      </c>
      <c r="H283" s="711"/>
      <c r="I283" s="24">
        <f t="shared" si="56"/>
        <v>1</v>
      </c>
      <c r="J283" s="711"/>
      <c r="K283" s="24">
        <f t="shared" si="57"/>
        <v>1</v>
      </c>
      <c r="L283" s="711"/>
      <c r="M283" s="24">
        <f t="shared" si="58"/>
        <v>1</v>
      </c>
      <c r="N283" s="711"/>
      <c r="O283" s="24">
        <f t="shared" si="59"/>
        <v>1</v>
      </c>
      <c r="P283" s="711"/>
      <c r="Q283" s="24">
        <f t="shared" si="60"/>
        <v>1</v>
      </c>
      <c r="R283" s="707">
        <f t="shared" si="61"/>
        <v>0</v>
      </c>
      <c r="S283" s="352">
        <f t="shared" si="52"/>
        <v>0</v>
      </c>
    </row>
    <row r="284" spans="1:19">
      <c r="A284" s="150"/>
      <c r="B284" s="58"/>
      <c r="C284" s="24">
        <f t="shared" si="53"/>
        <v>1</v>
      </c>
      <c r="D284" s="711"/>
      <c r="E284" s="24">
        <f t="shared" si="54"/>
        <v>1</v>
      </c>
      <c r="F284" s="711"/>
      <c r="G284" s="24">
        <f t="shared" si="55"/>
        <v>1</v>
      </c>
      <c r="H284" s="711"/>
      <c r="I284" s="24">
        <f t="shared" si="56"/>
        <v>1</v>
      </c>
      <c r="J284" s="711"/>
      <c r="K284" s="24">
        <f t="shared" si="57"/>
        <v>1</v>
      </c>
      <c r="L284" s="711"/>
      <c r="M284" s="24">
        <f t="shared" si="58"/>
        <v>1</v>
      </c>
      <c r="N284" s="711"/>
      <c r="O284" s="24">
        <f t="shared" si="59"/>
        <v>1</v>
      </c>
      <c r="P284" s="711"/>
      <c r="Q284" s="24">
        <f t="shared" si="60"/>
        <v>1</v>
      </c>
      <c r="R284" s="707">
        <f t="shared" si="61"/>
        <v>0</v>
      </c>
      <c r="S284" s="352">
        <f t="shared" si="52"/>
        <v>0</v>
      </c>
    </row>
    <row r="285" spans="1:19">
      <c r="A285" s="150"/>
      <c r="B285" s="58"/>
      <c r="C285" s="24">
        <f t="shared" si="53"/>
        <v>1</v>
      </c>
      <c r="D285" s="711"/>
      <c r="E285" s="24">
        <f t="shared" si="54"/>
        <v>1</v>
      </c>
      <c r="F285" s="711"/>
      <c r="G285" s="24">
        <f t="shared" si="55"/>
        <v>1</v>
      </c>
      <c r="H285" s="711"/>
      <c r="I285" s="24">
        <f t="shared" si="56"/>
        <v>1</v>
      </c>
      <c r="J285" s="711"/>
      <c r="K285" s="24">
        <f t="shared" si="57"/>
        <v>1</v>
      </c>
      <c r="L285" s="711"/>
      <c r="M285" s="24">
        <f t="shared" si="58"/>
        <v>1</v>
      </c>
      <c r="N285" s="711"/>
      <c r="O285" s="24">
        <f t="shared" si="59"/>
        <v>1</v>
      </c>
      <c r="P285" s="711"/>
      <c r="Q285" s="24">
        <f t="shared" si="60"/>
        <v>1</v>
      </c>
      <c r="R285" s="707">
        <f t="shared" si="61"/>
        <v>0</v>
      </c>
      <c r="S285" s="352">
        <f t="shared" si="52"/>
        <v>0</v>
      </c>
    </row>
    <row r="286" spans="1:19">
      <c r="A286" s="150"/>
      <c r="B286" s="58"/>
      <c r="C286" s="24">
        <f t="shared" si="53"/>
        <v>1</v>
      </c>
      <c r="D286" s="711"/>
      <c r="E286" s="24">
        <f t="shared" si="54"/>
        <v>1</v>
      </c>
      <c r="F286" s="711"/>
      <c r="G286" s="24">
        <f t="shared" si="55"/>
        <v>1</v>
      </c>
      <c r="H286" s="711"/>
      <c r="I286" s="24">
        <f t="shared" si="56"/>
        <v>1</v>
      </c>
      <c r="J286" s="711"/>
      <c r="K286" s="24">
        <f t="shared" si="57"/>
        <v>1</v>
      </c>
      <c r="L286" s="711"/>
      <c r="M286" s="24">
        <f t="shared" si="58"/>
        <v>1</v>
      </c>
      <c r="N286" s="711"/>
      <c r="O286" s="24">
        <f t="shared" si="59"/>
        <v>1</v>
      </c>
      <c r="P286" s="711"/>
      <c r="Q286" s="24">
        <f t="shared" si="60"/>
        <v>1</v>
      </c>
      <c r="R286" s="707">
        <f t="shared" si="61"/>
        <v>0</v>
      </c>
      <c r="S286" s="352">
        <f t="shared" si="52"/>
        <v>0</v>
      </c>
    </row>
    <row r="287" spans="1:19">
      <c r="A287" s="150"/>
      <c r="B287" s="58"/>
      <c r="C287" s="24">
        <f t="shared" si="53"/>
        <v>1</v>
      </c>
      <c r="D287" s="711"/>
      <c r="E287" s="24">
        <f t="shared" si="54"/>
        <v>1</v>
      </c>
      <c r="F287" s="711"/>
      <c r="G287" s="24">
        <f t="shared" si="55"/>
        <v>1</v>
      </c>
      <c r="H287" s="711"/>
      <c r="I287" s="24">
        <f t="shared" si="56"/>
        <v>1</v>
      </c>
      <c r="J287" s="711"/>
      <c r="K287" s="24">
        <f t="shared" si="57"/>
        <v>1</v>
      </c>
      <c r="L287" s="711"/>
      <c r="M287" s="24">
        <f t="shared" si="58"/>
        <v>1</v>
      </c>
      <c r="N287" s="711"/>
      <c r="O287" s="24">
        <f t="shared" si="59"/>
        <v>1</v>
      </c>
      <c r="P287" s="711"/>
      <c r="Q287" s="24">
        <f t="shared" si="60"/>
        <v>1</v>
      </c>
      <c r="R287" s="707">
        <f t="shared" si="61"/>
        <v>0</v>
      </c>
      <c r="S287" s="352">
        <f t="shared" ref="S287:S320" si="62">ROUND(R287*B287/10000,0)</f>
        <v>0</v>
      </c>
    </row>
    <row r="288" spans="1:19">
      <c r="A288" s="150"/>
      <c r="B288" s="58"/>
      <c r="C288" s="24">
        <f t="shared" si="53"/>
        <v>1</v>
      </c>
      <c r="D288" s="711"/>
      <c r="E288" s="24">
        <f t="shared" si="54"/>
        <v>1</v>
      </c>
      <c r="F288" s="711"/>
      <c r="G288" s="24">
        <f t="shared" si="55"/>
        <v>1</v>
      </c>
      <c r="H288" s="711"/>
      <c r="I288" s="24">
        <f t="shared" si="56"/>
        <v>1</v>
      </c>
      <c r="J288" s="711"/>
      <c r="K288" s="24">
        <f t="shared" si="57"/>
        <v>1</v>
      </c>
      <c r="L288" s="711"/>
      <c r="M288" s="24">
        <f t="shared" si="58"/>
        <v>1</v>
      </c>
      <c r="N288" s="711"/>
      <c r="O288" s="24">
        <f t="shared" si="59"/>
        <v>1</v>
      </c>
      <c r="P288" s="711"/>
      <c r="Q288" s="24">
        <f t="shared" si="60"/>
        <v>1</v>
      </c>
      <c r="R288" s="707">
        <f t="shared" si="61"/>
        <v>0</v>
      </c>
      <c r="S288" s="352">
        <f t="shared" si="62"/>
        <v>0</v>
      </c>
    </row>
    <row r="289" spans="1:19">
      <c r="A289" s="150"/>
      <c r="B289" s="58"/>
      <c r="C289" s="24">
        <f t="shared" si="53"/>
        <v>1</v>
      </c>
      <c r="D289" s="711"/>
      <c r="E289" s="24">
        <f t="shared" si="54"/>
        <v>1</v>
      </c>
      <c r="F289" s="711"/>
      <c r="G289" s="24">
        <f t="shared" si="55"/>
        <v>1</v>
      </c>
      <c r="H289" s="711"/>
      <c r="I289" s="24">
        <f t="shared" si="56"/>
        <v>1</v>
      </c>
      <c r="J289" s="711"/>
      <c r="K289" s="24">
        <f t="shared" si="57"/>
        <v>1</v>
      </c>
      <c r="L289" s="711"/>
      <c r="M289" s="24">
        <f t="shared" si="58"/>
        <v>1</v>
      </c>
      <c r="N289" s="711"/>
      <c r="O289" s="24">
        <f t="shared" si="59"/>
        <v>1</v>
      </c>
      <c r="P289" s="711"/>
      <c r="Q289" s="24">
        <f t="shared" si="60"/>
        <v>1</v>
      </c>
      <c r="R289" s="707">
        <f t="shared" si="61"/>
        <v>0</v>
      </c>
      <c r="S289" s="352">
        <f t="shared" si="62"/>
        <v>0</v>
      </c>
    </row>
    <row r="290" spans="1:19">
      <c r="A290" s="150"/>
      <c r="B290" s="58"/>
      <c r="C290" s="24">
        <f t="shared" si="53"/>
        <v>1</v>
      </c>
      <c r="D290" s="711"/>
      <c r="E290" s="24">
        <f t="shared" si="54"/>
        <v>1</v>
      </c>
      <c r="F290" s="711"/>
      <c r="G290" s="24">
        <f t="shared" si="55"/>
        <v>1</v>
      </c>
      <c r="H290" s="711"/>
      <c r="I290" s="24">
        <f t="shared" si="56"/>
        <v>1</v>
      </c>
      <c r="J290" s="711"/>
      <c r="K290" s="24">
        <f t="shared" si="57"/>
        <v>1</v>
      </c>
      <c r="L290" s="711"/>
      <c r="M290" s="24">
        <f t="shared" si="58"/>
        <v>1</v>
      </c>
      <c r="N290" s="711"/>
      <c r="O290" s="24">
        <f t="shared" si="59"/>
        <v>1</v>
      </c>
      <c r="P290" s="711"/>
      <c r="Q290" s="24">
        <f t="shared" si="60"/>
        <v>1</v>
      </c>
      <c r="R290" s="707">
        <f t="shared" si="61"/>
        <v>0</v>
      </c>
      <c r="S290" s="352">
        <f t="shared" si="62"/>
        <v>0</v>
      </c>
    </row>
    <row r="291" spans="1:19">
      <c r="A291" s="150"/>
      <c r="B291" s="58"/>
      <c r="C291" s="24">
        <f t="shared" si="53"/>
        <v>1</v>
      </c>
      <c r="D291" s="711"/>
      <c r="E291" s="24">
        <f t="shared" si="54"/>
        <v>1</v>
      </c>
      <c r="F291" s="711"/>
      <c r="G291" s="24">
        <f t="shared" si="55"/>
        <v>1</v>
      </c>
      <c r="H291" s="711"/>
      <c r="I291" s="24">
        <f t="shared" si="56"/>
        <v>1</v>
      </c>
      <c r="J291" s="711"/>
      <c r="K291" s="24">
        <f t="shared" si="57"/>
        <v>1</v>
      </c>
      <c r="L291" s="711"/>
      <c r="M291" s="24">
        <f t="shared" si="58"/>
        <v>1</v>
      </c>
      <c r="N291" s="711"/>
      <c r="O291" s="24">
        <f t="shared" si="59"/>
        <v>1</v>
      </c>
      <c r="P291" s="711"/>
      <c r="Q291" s="24">
        <f t="shared" si="60"/>
        <v>1</v>
      </c>
      <c r="R291" s="707">
        <f t="shared" si="61"/>
        <v>0</v>
      </c>
      <c r="S291" s="352">
        <f t="shared" si="62"/>
        <v>0</v>
      </c>
    </row>
    <row r="292" spans="1:19">
      <c r="A292" s="150"/>
      <c r="B292" s="58"/>
      <c r="C292" s="24">
        <f t="shared" si="53"/>
        <v>1</v>
      </c>
      <c r="D292" s="711"/>
      <c r="E292" s="24">
        <f t="shared" si="54"/>
        <v>1</v>
      </c>
      <c r="F292" s="711"/>
      <c r="G292" s="24">
        <f t="shared" si="55"/>
        <v>1</v>
      </c>
      <c r="H292" s="711"/>
      <c r="I292" s="24">
        <f t="shared" si="56"/>
        <v>1</v>
      </c>
      <c r="J292" s="711"/>
      <c r="K292" s="24">
        <f t="shared" si="57"/>
        <v>1</v>
      </c>
      <c r="L292" s="711"/>
      <c r="M292" s="24">
        <f t="shared" si="58"/>
        <v>1</v>
      </c>
      <c r="N292" s="711"/>
      <c r="O292" s="24">
        <f t="shared" si="59"/>
        <v>1</v>
      </c>
      <c r="P292" s="711"/>
      <c r="Q292" s="24">
        <f t="shared" si="60"/>
        <v>1</v>
      </c>
      <c r="R292" s="707">
        <f t="shared" si="61"/>
        <v>0</v>
      </c>
      <c r="S292" s="352">
        <f t="shared" si="62"/>
        <v>0</v>
      </c>
    </row>
    <row r="293" spans="1:19">
      <c r="A293" s="150"/>
      <c r="B293" s="58"/>
      <c r="C293" s="24">
        <f t="shared" si="53"/>
        <v>1</v>
      </c>
      <c r="D293" s="711"/>
      <c r="E293" s="24">
        <f t="shared" si="54"/>
        <v>1</v>
      </c>
      <c r="F293" s="711"/>
      <c r="G293" s="24">
        <f t="shared" si="55"/>
        <v>1</v>
      </c>
      <c r="H293" s="711"/>
      <c r="I293" s="24">
        <f t="shared" si="56"/>
        <v>1</v>
      </c>
      <c r="J293" s="711"/>
      <c r="K293" s="24">
        <f t="shared" si="57"/>
        <v>1</v>
      </c>
      <c r="L293" s="711"/>
      <c r="M293" s="24">
        <f t="shared" si="58"/>
        <v>1</v>
      </c>
      <c r="N293" s="711"/>
      <c r="O293" s="24">
        <f t="shared" si="59"/>
        <v>1</v>
      </c>
      <c r="P293" s="711"/>
      <c r="Q293" s="24">
        <f t="shared" si="60"/>
        <v>1</v>
      </c>
      <c r="R293" s="707">
        <f t="shared" si="61"/>
        <v>0</v>
      </c>
      <c r="S293" s="352">
        <f t="shared" si="62"/>
        <v>0</v>
      </c>
    </row>
    <row r="294" spans="1:19">
      <c r="A294" s="150"/>
      <c r="B294" s="58"/>
      <c r="C294" s="24">
        <f t="shared" si="53"/>
        <v>1</v>
      </c>
      <c r="D294" s="711"/>
      <c r="E294" s="24">
        <f t="shared" si="54"/>
        <v>1</v>
      </c>
      <c r="F294" s="711"/>
      <c r="G294" s="24">
        <f t="shared" si="55"/>
        <v>1</v>
      </c>
      <c r="H294" s="711"/>
      <c r="I294" s="24">
        <f t="shared" si="56"/>
        <v>1</v>
      </c>
      <c r="J294" s="711"/>
      <c r="K294" s="24">
        <f t="shared" si="57"/>
        <v>1</v>
      </c>
      <c r="L294" s="711"/>
      <c r="M294" s="24">
        <f t="shared" si="58"/>
        <v>1</v>
      </c>
      <c r="N294" s="711"/>
      <c r="O294" s="24">
        <f t="shared" si="59"/>
        <v>1</v>
      </c>
      <c r="P294" s="711"/>
      <c r="Q294" s="24">
        <f t="shared" si="60"/>
        <v>1</v>
      </c>
      <c r="R294" s="707">
        <f t="shared" si="61"/>
        <v>0</v>
      </c>
      <c r="S294" s="352">
        <f t="shared" si="62"/>
        <v>0</v>
      </c>
    </row>
    <row r="295" spans="1:19">
      <c r="A295" s="150"/>
      <c r="B295" s="58"/>
      <c r="C295" s="24">
        <f t="shared" si="53"/>
        <v>1</v>
      </c>
      <c r="D295" s="711"/>
      <c r="E295" s="24">
        <f t="shared" si="54"/>
        <v>1</v>
      </c>
      <c r="F295" s="711"/>
      <c r="G295" s="24">
        <f t="shared" si="55"/>
        <v>1</v>
      </c>
      <c r="H295" s="711"/>
      <c r="I295" s="24">
        <f t="shared" si="56"/>
        <v>1</v>
      </c>
      <c r="J295" s="711"/>
      <c r="K295" s="24">
        <f t="shared" si="57"/>
        <v>1</v>
      </c>
      <c r="L295" s="711"/>
      <c r="M295" s="24">
        <f t="shared" si="58"/>
        <v>1</v>
      </c>
      <c r="N295" s="711"/>
      <c r="O295" s="24">
        <f t="shared" si="59"/>
        <v>1</v>
      </c>
      <c r="P295" s="711"/>
      <c r="Q295" s="24">
        <f t="shared" si="60"/>
        <v>1</v>
      </c>
      <c r="R295" s="707">
        <f t="shared" si="61"/>
        <v>0</v>
      </c>
      <c r="S295" s="352">
        <f t="shared" si="62"/>
        <v>0</v>
      </c>
    </row>
    <row r="296" spans="1:19">
      <c r="A296" s="150"/>
      <c r="B296" s="58"/>
      <c r="C296" s="24">
        <f t="shared" si="53"/>
        <v>1</v>
      </c>
      <c r="D296" s="711"/>
      <c r="E296" s="24">
        <f t="shared" si="54"/>
        <v>1</v>
      </c>
      <c r="F296" s="711"/>
      <c r="G296" s="24">
        <f t="shared" si="55"/>
        <v>1</v>
      </c>
      <c r="H296" s="711"/>
      <c r="I296" s="24">
        <f t="shared" si="56"/>
        <v>1</v>
      </c>
      <c r="J296" s="711"/>
      <c r="K296" s="24">
        <f t="shared" si="57"/>
        <v>1</v>
      </c>
      <c r="L296" s="711"/>
      <c r="M296" s="24">
        <f t="shared" si="58"/>
        <v>1</v>
      </c>
      <c r="N296" s="711"/>
      <c r="O296" s="24">
        <f t="shared" si="59"/>
        <v>1</v>
      </c>
      <c r="P296" s="711"/>
      <c r="Q296" s="24">
        <f t="shared" si="60"/>
        <v>1</v>
      </c>
      <c r="R296" s="707">
        <f t="shared" si="61"/>
        <v>0</v>
      </c>
      <c r="S296" s="352">
        <f t="shared" si="62"/>
        <v>0</v>
      </c>
    </row>
    <row r="297" spans="1:19">
      <c r="A297" s="150"/>
      <c r="B297" s="58"/>
      <c r="C297" s="24">
        <f t="shared" si="53"/>
        <v>1</v>
      </c>
      <c r="D297" s="711"/>
      <c r="E297" s="24">
        <f t="shared" si="54"/>
        <v>1</v>
      </c>
      <c r="F297" s="711"/>
      <c r="G297" s="24">
        <f t="shared" si="55"/>
        <v>1</v>
      </c>
      <c r="H297" s="711"/>
      <c r="I297" s="24">
        <f t="shared" si="56"/>
        <v>1</v>
      </c>
      <c r="J297" s="711"/>
      <c r="K297" s="24">
        <f t="shared" si="57"/>
        <v>1</v>
      </c>
      <c r="L297" s="711"/>
      <c r="M297" s="24">
        <f t="shared" si="58"/>
        <v>1</v>
      </c>
      <c r="N297" s="711"/>
      <c r="O297" s="24">
        <f t="shared" si="59"/>
        <v>1</v>
      </c>
      <c r="P297" s="711"/>
      <c r="Q297" s="24">
        <f t="shared" si="60"/>
        <v>1</v>
      </c>
      <c r="R297" s="707">
        <f t="shared" si="61"/>
        <v>0</v>
      </c>
      <c r="S297" s="352">
        <f t="shared" si="62"/>
        <v>0</v>
      </c>
    </row>
    <row r="298" spans="1:19">
      <c r="A298" s="150"/>
      <c r="B298" s="58"/>
      <c r="C298" s="24">
        <f t="shared" si="53"/>
        <v>1</v>
      </c>
      <c r="D298" s="711"/>
      <c r="E298" s="24">
        <f t="shared" si="54"/>
        <v>1</v>
      </c>
      <c r="F298" s="711"/>
      <c r="G298" s="24">
        <f t="shared" si="55"/>
        <v>1</v>
      </c>
      <c r="H298" s="711"/>
      <c r="I298" s="24">
        <f t="shared" si="56"/>
        <v>1</v>
      </c>
      <c r="J298" s="711"/>
      <c r="K298" s="24">
        <f t="shared" si="57"/>
        <v>1</v>
      </c>
      <c r="L298" s="711"/>
      <c r="M298" s="24">
        <f t="shared" si="58"/>
        <v>1</v>
      </c>
      <c r="N298" s="711"/>
      <c r="O298" s="24">
        <f t="shared" si="59"/>
        <v>1</v>
      </c>
      <c r="P298" s="711"/>
      <c r="Q298" s="24">
        <f t="shared" si="60"/>
        <v>1</v>
      </c>
      <c r="R298" s="707">
        <f t="shared" si="61"/>
        <v>0</v>
      </c>
      <c r="S298" s="352">
        <f t="shared" si="62"/>
        <v>0</v>
      </c>
    </row>
    <row r="299" spans="1:19">
      <c r="A299" s="150"/>
      <c r="B299" s="58"/>
      <c r="C299" s="24">
        <f t="shared" si="53"/>
        <v>1</v>
      </c>
      <c r="D299" s="711"/>
      <c r="E299" s="24">
        <f t="shared" si="54"/>
        <v>1</v>
      </c>
      <c r="F299" s="711"/>
      <c r="G299" s="24">
        <f t="shared" si="55"/>
        <v>1</v>
      </c>
      <c r="H299" s="711"/>
      <c r="I299" s="24">
        <f t="shared" si="56"/>
        <v>1</v>
      </c>
      <c r="J299" s="711"/>
      <c r="K299" s="24">
        <f t="shared" si="57"/>
        <v>1</v>
      </c>
      <c r="L299" s="711"/>
      <c r="M299" s="24">
        <f t="shared" si="58"/>
        <v>1</v>
      </c>
      <c r="N299" s="711"/>
      <c r="O299" s="24">
        <f t="shared" si="59"/>
        <v>1</v>
      </c>
      <c r="P299" s="711"/>
      <c r="Q299" s="24">
        <f t="shared" si="60"/>
        <v>1</v>
      </c>
      <c r="R299" s="707">
        <f t="shared" si="61"/>
        <v>0</v>
      </c>
      <c r="S299" s="352">
        <f t="shared" si="62"/>
        <v>0</v>
      </c>
    </row>
    <row r="300" spans="1:19">
      <c r="A300" s="150"/>
      <c r="B300" s="58"/>
      <c r="C300" s="24">
        <f t="shared" si="53"/>
        <v>1</v>
      </c>
      <c r="D300" s="711"/>
      <c r="E300" s="24">
        <f t="shared" si="54"/>
        <v>1</v>
      </c>
      <c r="F300" s="711"/>
      <c r="G300" s="24">
        <f t="shared" si="55"/>
        <v>1</v>
      </c>
      <c r="H300" s="711"/>
      <c r="I300" s="24">
        <f t="shared" si="56"/>
        <v>1</v>
      </c>
      <c r="J300" s="711"/>
      <c r="K300" s="24">
        <f t="shared" si="57"/>
        <v>1</v>
      </c>
      <c r="L300" s="711"/>
      <c r="M300" s="24">
        <f t="shared" si="58"/>
        <v>1</v>
      </c>
      <c r="N300" s="711"/>
      <c r="O300" s="24">
        <f t="shared" si="59"/>
        <v>1</v>
      </c>
      <c r="P300" s="711"/>
      <c r="Q300" s="24">
        <f t="shared" si="60"/>
        <v>1</v>
      </c>
      <c r="R300" s="707">
        <f t="shared" si="61"/>
        <v>0</v>
      </c>
      <c r="S300" s="352">
        <f t="shared" si="62"/>
        <v>0</v>
      </c>
    </row>
    <row r="301" spans="1:19">
      <c r="A301" s="150"/>
      <c r="B301" s="58"/>
      <c r="C301" s="24">
        <f t="shared" si="53"/>
        <v>1</v>
      </c>
      <c r="D301" s="711"/>
      <c r="E301" s="24">
        <f t="shared" si="54"/>
        <v>1</v>
      </c>
      <c r="F301" s="711"/>
      <c r="G301" s="24">
        <f t="shared" si="55"/>
        <v>1</v>
      </c>
      <c r="H301" s="711"/>
      <c r="I301" s="24">
        <f t="shared" si="56"/>
        <v>1</v>
      </c>
      <c r="J301" s="711"/>
      <c r="K301" s="24">
        <f t="shared" si="57"/>
        <v>1</v>
      </c>
      <c r="L301" s="711"/>
      <c r="M301" s="24">
        <f t="shared" si="58"/>
        <v>1</v>
      </c>
      <c r="N301" s="711"/>
      <c r="O301" s="24">
        <f t="shared" si="59"/>
        <v>1</v>
      </c>
      <c r="P301" s="711"/>
      <c r="Q301" s="24">
        <f t="shared" si="60"/>
        <v>1</v>
      </c>
      <c r="R301" s="707">
        <f t="shared" si="61"/>
        <v>0</v>
      </c>
      <c r="S301" s="352">
        <f t="shared" si="62"/>
        <v>0</v>
      </c>
    </row>
    <row r="302" spans="1:19">
      <c r="A302" s="150"/>
      <c r="B302" s="58"/>
      <c r="C302" s="24">
        <f t="shared" si="53"/>
        <v>1</v>
      </c>
      <c r="D302" s="711"/>
      <c r="E302" s="24">
        <f t="shared" si="54"/>
        <v>1</v>
      </c>
      <c r="F302" s="711"/>
      <c r="G302" s="24">
        <f t="shared" si="55"/>
        <v>1</v>
      </c>
      <c r="H302" s="711"/>
      <c r="I302" s="24">
        <f t="shared" si="56"/>
        <v>1</v>
      </c>
      <c r="J302" s="711"/>
      <c r="K302" s="24">
        <f t="shared" si="57"/>
        <v>1</v>
      </c>
      <c r="L302" s="711"/>
      <c r="M302" s="24">
        <f t="shared" si="58"/>
        <v>1</v>
      </c>
      <c r="N302" s="711"/>
      <c r="O302" s="24">
        <f t="shared" si="59"/>
        <v>1</v>
      </c>
      <c r="P302" s="711"/>
      <c r="Q302" s="24">
        <f t="shared" si="60"/>
        <v>1</v>
      </c>
      <c r="R302" s="707">
        <f t="shared" si="61"/>
        <v>0</v>
      </c>
      <c r="S302" s="352">
        <f t="shared" si="62"/>
        <v>0</v>
      </c>
    </row>
    <row r="303" spans="1:19">
      <c r="A303" s="150"/>
      <c r="B303" s="58"/>
      <c r="C303" s="24">
        <f t="shared" si="53"/>
        <v>1</v>
      </c>
      <c r="D303" s="711"/>
      <c r="E303" s="24">
        <f t="shared" si="54"/>
        <v>1</v>
      </c>
      <c r="F303" s="711"/>
      <c r="G303" s="24">
        <f t="shared" si="55"/>
        <v>1</v>
      </c>
      <c r="H303" s="711"/>
      <c r="I303" s="24">
        <f t="shared" si="56"/>
        <v>1</v>
      </c>
      <c r="J303" s="711"/>
      <c r="K303" s="24">
        <f t="shared" si="57"/>
        <v>1</v>
      </c>
      <c r="L303" s="711"/>
      <c r="M303" s="24">
        <f t="shared" si="58"/>
        <v>1</v>
      </c>
      <c r="N303" s="711"/>
      <c r="O303" s="24">
        <f t="shared" si="59"/>
        <v>1</v>
      </c>
      <c r="P303" s="711"/>
      <c r="Q303" s="24">
        <f t="shared" si="60"/>
        <v>1</v>
      </c>
      <c r="R303" s="707">
        <f t="shared" si="61"/>
        <v>0</v>
      </c>
      <c r="S303" s="352">
        <f t="shared" si="62"/>
        <v>0</v>
      </c>
    </row>
    <row r="304" spans="1:19">
      <c r="A304" s="150"/>
      <c r="B304" s="58"/>
      <c r="C304" s="24">
        <f t="shared" si="53"/>
        <v>1</v>
      </c>
      <c r="D304" s="711"/>
      <c r="E304" s="24">
        <f t="shared" si="54"/>
        <v>1</v>
      </c>
      <c r="F304" s="711"/>
      <c r="G304" s="24">
        <f t="shared" si="55"/>
        <v>1</v>
      </c>
      <c r="H304" s="711"/>
      <c r="I304" s="24">
        <f t="shared" si="56"/>
        <v>1</v>
      </c>
      <c r="J304" s="711"/>
      <c r="K304" s="24">
        <f t="shared" si="57"/>
        <v>1</v>
      </c>
      <c r="L304" s="711"/>
      <c r="M304" s="24">
        <f t="shared" si="58"/>
        <v>1</v>
      </c>
      <c r="N304" s="711"/>
      <c r="O304" s="24">
        <f t="shared" si="59"/>
        <v>1</v>
      </c>
      <c r="P304" s="711"/>
      <c r="Q304" s="24">
        <f t="shared" si="60"/>
        <v>1</v>
      </c>
      <c r="R304" s="707">
        <f t="shared" si="61"/>
        <v>0</v>
      </c>
      <c r="S304" s="352">
        <f t="shared" si="62"/>
        <v>0</v>
      </c>
    </row>
    <row r="305" spans="1:19">
      <c r="A305" s="150"/>
      <c r="B305" s="58"/>
      <c r="C305" s="24">
        <f t="shared" si="53"/>
        <v>1</v>
      </c>
      <c r="D305" s="711"/>
      <c r="E305" s="24">
        <f t="shared" si="54"/>
        <v>1</v>
      </c>
      <c r="F305" s="711"/>
      <c r="G305" s="24">
        <f t="shared" si="55"/>
        <v>1</v>
      </c>
      <c r="H305" s="711"/>
      <c r="I305" s="24">
        <f t="shared" si="56"/>
        <v>1</v>
      </c>
      <c r="J305" s="711"/>
      <c r="K305" s="24">
        <f t="shared" si="57"/>
        <v>1</v>
      </c>
      <c r="L305" s="711"/>
      <c r="M305" s="24">
        <f t="shared" si="58"/>
        <v>1</v>
      </c>
      <c r="N305" s="711"/>
      <c r="O305" s="24">
        <f t="shared" si="59"/>
        <v>1</v>
      </c>
      <c r="P305" s="711"/>
      <c r="Q305" s="24">
        <f t="shared" si="60"/>
        <v>1</v>
      </c>
      <c r="R305" s="707">
        <f t="shared" si="61"/>
        <v>0</v>
      </c>
      <c r="S305" s="352">
        <f t="shared" si="62"/>
        <v>0</v>
      </c>
    </row>
    <row r="306" spans="1:19">
      <c r="A306" s="150"/>
      <c r="B306" s="58"/>
      <c r="C306" s="24">
        <f t="shared" si="53"/>
        <v>1</v>
      </c>
      <c r="D306" s="711"/>
      <c r="E306" s="24">
        <f t="shared" si="54"/>
        <v>1</v>
      </c>
      <c r="F306" s="711"/>
      <c r="G306" s="24">
        <f t="shared" si="55"/>
        <v>1</v>
      </c>
      <c r="H306" s="711"/>
      <c r="I306" s="24">
        <f t="shared" si="56"/>
        <v>1</v>
      </c>
      <c r="J306" s="711"/>
      <c r="K306" s="24">
        <f t="shared" si="57"/>
        <v>1</v>
      </c>
      <c r="L306" s="711"/>
      <c r="M306" s="24">
        <f t="shared" si="58"/>
        <v>1</v>
      </c>
      <c r="N306" s="711"/>
      <c r="O306" s="24">
        <f t="shared" si="59"/>
        <v>1</v>
      </c>
      <c r="P306" s="711"/>
      <c r="Q306" s="24">
        <f t="shared" si="60"/>
        <v>1</v>
      </c>
      <c r="R306" s="707">
        <f t="shared" si="61"/>
        <v>0</v>
      </c>
      <c r="S306" s="352">
        <f t="shared" si="62"/>
        <v>0</v>
      </c>
    </row>
    <row r="307" spans="1:19">
      <c r="A307" s="150"/>
      <c r="B307" s="58"/>
      <c r="C307" s="24">
        <f t="shared" si="53"/>
        <v>1</v>
      </c>
      <c r="D307" s="711"/>
      <c r="E307" s="24">
        <f t="shared" si="54"/>
        <v>1</v>
      </c>
      <c r="F307" s="711"/>
      <c r="G307" s="24">
        <f t="shared" si="55"/>
        <v>1</v>
      </c>
      <c r="H307" s="711"/>
      <c r="I307" s="24">
        <f t="shared" si="56"/>
        <v>1</v>
      </c>
      <c r="J307" s="711"/>
      <c r="K307" s="24">
        <f t="shared" si="57"/>
        <v>1</v>
      </c>
      <c r="L307" s="711"/>
      <c r="M307" s="24">
        <f t="shared" si="58"/>
        <v>1</v>
      </c>
      <c r="N307" s="711"/>
      <c r="O307" s="24">
        <f t="shared" si="59"/>
        <v>1</v>
      </c>
      <c r="P307" s="711"/>
      <c r="Q307" s="24">
        <f t="shared" si="60"/>
        <v>1</v>
      </c>
      <c r="R307" s="707">
        <f t="shared" si="61"/>
        <v>0</v>
      </c>
      <c r="S307" s="352">
        <f t="shared" si="62"/>
        <v>0</v>
      </c>
    </row>
    <row r="308" spans="1:19">
      <c r="A308" s="150"/>
      <c r="B308" s="58"/>
      <c r="C308" s="24">
        <f t="shared" si="53"/>
        <v>1</v>
      </c>
      <c r="D308" s="711"/>
      <c r="E308" s="24">
        <f t="shared" si="54"/>
        <v>1</v>
      </c>
      <c r="F308" s="711"/>
      <c r="G308" s="24">
        <f t="shared" si="55"/>
        <v>1</v>
      </c>
      <c r="H308" s="711"/>
      <c r="I308" s="24">
        <f t="shared" si="56"/>
        <v>1</v>
      </c>
      <c r="J308" s="711"/>
      <c r="K308" s="24">
        <f t="shared" si="57"/>
        <v>1</v>
      </c>
      <c r="L308" s="711"/>
      <c r="M308" s="24">
        <f t="shared" si="58"/>
        <v>1</v>
      </c>
      <c r="N308" s="711"/>
      <c r="O308" s="24">
        <f t="shared" si="59"/>
        <v>1</v>
      </c>
      <c r="P308" s="711"/>
      <c r="Q308" s="24">
        <f t="shared" si="60"/>
        <v>1</v>
      </c>
      <c r="R308" s="707">
        <f t="shared" si="61"/>
        <v>0</v>
      </c>
      <c r="S308" s="352">
        <f t="shared" si="62"/>
        <v>0</v>
      </c>
    </row>
    <row r="309" spans="1:19">
      <c r="A309" s="150"/>
      <c r="B309" s="58"/>
      <c r="C309" s="24">
        <f t="shared" si="53"/>
        <v>1</v>
      </c>
      <c r="D309" s="711"/>
      <c r="E309" s="24">
        <f t="shared" si="54"/>
        <v>1</v>
      </c>
      <c r="F309" s="711"/>
      <c r="G309" s="24">
        <f t="shared" si="55"/>
        <v>1</v>
      </c>
      <c r="H309" s="711"/>
      <c r="I309" s="24">
        <f t="shared" si="56"/>
        <v>1</v>
      </c>
      <c r="J309" s="711"/>
      <c r="K309" s="24">
        <f t="shared" si="57"/>
        <v>1</v>
      </c>
      <c r="L309" s="711"/>
      <c r="M309" s="24">
        <f t="shared" si="58"/>
        <v>1</v>
      </c>
      <c r="N309" s="711"/>
      <c r="O309" s="24">
        <f t="shared" si="59"/>
        <v>1</v>
      </c>
      <c r="P309" s="711"/>
      <c r="Q309" s="24">
        <f t="shared" si="60"/>
        <v>1</v>
      </c>
      <c r="R309" s="707">
        <f t="shared" si="61"/>
        <v>0</v>
      </c>
      <c r="S309" s="352">
        <f t="shared" si="62"/>
        <v>0</v>
      </c>
    </row>
    <row r="310" spans="1:19">
      <c r="A310" s="150"/>
      <c r="B310" s="58"/>
      <c r="C310" s="24">
        <f t="shared" si="53"/>
        <v>1</v>
      </c>
      <c r="D310" s="711"/>
      <c r="E310" s="24">
        <f t="shared" si="54"/>
        <v>1</v>
      </c>
      <c r="F310" s="711"/>
      <c r="G310" s="24">
        <f t="shared" si="55"/>
        <v>1</v>
      </c>
      <c r="H310" s="711"/>
      <c r="I310" s="24">
        <f t="shared" si="56"/>
        <v>1</v>
      </c>
      <c r="J310" s="711"/>
      <c r="K310" s="24">
        <f t="shared" si="57"/>
        <v>1</v>
      </c>
      <c r="L310" s="711"/>
      <c r="M310" s="24">
        <f t="shared" si="58"/>
        <v>1</v>
      </c>
      <c r="N310" s="711"/>
      <c r="O310" s="24">
        <f t="shared" si="59"/>
        <v>1</v>
      </c>
      <c r="P310" s="711"/>
      <c r="Q310" s="24">
        <f t="shared" si="60"/>
        <v>1</v>
      </c>
      <c r="R310" s="707">
        <f t="shared" si="61"/>
        <v>0</v>
      </c>
      <c r="S310" s="352">
        <f t="shared" si="62"/>
        <v>0</v>
      </c>
    </row>
    <row r="311" spans="1:19">
      <c r="A311" s="150"/>
      <c r="B311" s="58"/>
      <c r="C311" s="24">
        <f t="shared" si="53"/>
        <v>1</v>
      </c>
      <c r="D311" s="711"/>
      <c r="E311" s="24">
        <f t="shared" si="54"/>
        <v>1</v>
      </c>
      <c r="F311" s="711"/>
      <c r="G311" s="24">
        <f t="shared" si="55"/>
        <v>1</v>
      </c>
      <c r="H311" s="711"/>
      <c r="I311" s="24">
        <f t="shared" si="56"/>
        <v>1</v>
      </c>
      <c r="J311" s="711"/>
      <c r="K311" s="24">
        <f t="shared" si="57"/>
        <v>1</v>
      </c>
      <c r="L311" s="711"/>
      <c r="M311" s="24">
        <f t="shared" si="58"/>
        <v>1</v>
      </c>
      <c r="N311" s="711"/>
      <c r="O311" s="24">
        <f t="shared" si="59"/>
        <v>1</v>
      </c>
      <c r="P311" s="711"/>
      <c r="Q311" s="24">
        <f t="shared" si="60"/>
        <v>1</v>
      </c>
      <c r="R311" s="707">
        <f t="shared" si="61"/>
        <v>0</v>
      </c>
      <c r="S311" s="352">
        <f t="shared" si="62"/>
        <v>0</v>
      </c>
    </row>
    <row r="312" spans="1:19">
      <c r="A312" s="150"/>
      <c r="B312" s="58"/>
      <c r="C312" s="24">
        <f t="shared" si="53"/>
        <v>1</v>
      </c>
      <c r="D312" s="711"/>
      <c r="E312" s="24">
        <f t="shared" si="54"/>
        <v>1</v>
      </c>
      <c r="F312" s="711"/>
      <c r="G312" s="24">
        <f t="shared" si="55"/>
        <v>1</v>
      </c>
      <c r="H312" s="711"/>
      <c r="I312" s="24">
        <f t="shared" si="56"/>
        <v>1</v>
      </c>
      <c r="J312" s="711"/>
      <c r="K312" s="24">
        <f t="shared" si="57"/>
        <v>1</v>
      </c>
      <c r="L312" s="711"/>
      <c r="M312" s="24">
        <f t="shared" si="58"/>
        <v>1</v>
      </c>
      <c r="N312" s="711"/>
      <c r="O312" s="24">
        <f t="shared" si="59"/>
        <v>1</v>
      </c>
      <c r="P312" s="711"/>
      <c r="Q312" s="24">
        <f t="shared" si="60"/>
        <v>1</v>
      </c>
      <c r="R312" s="707">
        <f t="shared" si="61"/>
        <v>0</v>
      </c>
      <c r="S312" s="352">
        <f t="shared" si="62"/>
        <v>0</v>
      </c>
    </row>
    <row r="313" spans="1:19">
      <c r="A313" s="150"/>
      <c r="B313" s="58"/>
      <c r="C313" s="24">
        <f t="shared" si="53"/>
        <v>1</v>
      </c>
      <c r="D313" s="711"/>
      <c r="E313" s="24">
        <f t="shared" si="54"/>
        <v>1</v>
      </c>
      <c r="F313" s="711"/>
      <c r="G313" s="24">
        <f t="shared" si="55"/>
        <v>1</v>
      </c>
      <c r="H313" s="711"/>
      <c r="I313" s="24">
        <f t="shared" si="56"/>
        <v>1</v>
      </c>
      <c r="J313" s="711"/>
      <c r="K313" s="24">
        <f t="shared" si="57"/>
        <v>1</v>
      </c>
      <c r="L313" s="711"/>
      <c r="M313" s="24">
        <f t="shared" si="58"/>
        <v>1</v>
      </c>
      <c r="N313" s="711"/>
      <c r="O313" s="24">
        <f t="shared" si="59"/>
        <v>1</v>
      </c>
      <c r="P313" s="711"/>
      <c r="Q313" s="24">
        <f t="shared" si="60"/>
        <v>1</v>
      </c>
      <c r="R313" s="707">
        <f t="shared" si="61"/>
        <v>0</v>
      </c>
      <c r="S313" s="352">
        <f t="shared" si="62"/>
        <v>0</v>
      </c>
    </row>
    <row r="314" spans="1:19">
      <c r="A314" s="150"/>
      <c r="B314" s="58"/>
      <c r="C314" s="24">
        <f t="shared" si="53"/>
        <v>1</v>
      </c>
      <c r="D314" s="711"/>
      <c r="E314" s="24">
        <f t="shared" si="54"/>
        <v>1</v>
      </c>
      <c r="F314" s="711"/>
      <c r="G314" s="24">
        <f t="shared" si="55"/>
        <v>1</v>
      </c>
      <c r="H314" s="711"/>
      <c r="I314" s="24">
        <f t="shared" si="56"/>
        <v>1</v>
      </c>
      <c r="J314" s="711"/>
      <c r="K314" s="24">
        <f t="shared" si="57"/>
        <v>1</v>
      </c>
      <c r="L314" s="711"/>
      <c r="M314" s="24">
        <f t="shared" si="58"/>
        <v>1</v>
      </c>
      <c r="N314" s="711"/>
      <c r="O314" s="24">
        <f t="shared" si="59"/>
        <v>1</v>
      </c>
      <c r="P314" s="711"/>
      <c r="Q314" s="24">
        <f t="shared" si="60"/>
        <v>1</v>
      </c>
      <c r="R314" s="707">
        <f t="shared" si="61"/>
        <v>0</v>
      </c>
      <c r="S314" s="352">
        <f t="shared" si="62"/>
        <v>0</v>
      </c>
    </row>
    <row r="315" spans="1:19">
      <c r="A315" s="150"/>
      <c r="B315" s="58"/>
      <c r="C315" s="24">
        <f t="shared" si="53"/>
        <v>1</v>
      </c>
      <c r="D315" s="711"/>
      <c r="E315" s="24">
        <f t="shared" si="54"/>
        <v>1</v>
      </c>
      <c r="F315" s="711"/>
      <c r="G315" s="24">
        <f t="shared" si="55"/>
        <v>1</v>
      </c>
      <c r="H315" s="711"/>
      <c r="I315" s="24">
        <f t="shared" si="56"/>
        <v>1</v>
      </c>
      <c r="J315" s="711"/>
      <c r="K315" s="24">
        <f t="shared" si="57"/>
        <v>1</v>
      </c>
      <c r="L315" s="711"/>
      <c r="M315" s="24">
        <f t="shared" si="58"/>
        <v>1</v>
      </c>
      <c r="N315" s="711"/>
      <c r="O315" s="24">
        <f t="shared" si="59"/>
        <v>1</v>
      </c>
      <c r="P315" s="711"/>
      <c r="Q315" s="24">
        <f t="shared" si="60"/>
        <v>1</v>
      </c>
      <c r="R315" s="707">
        <f t="shared" si="61"/>
        <v>0</v>
      </c>
      <c r="S315" s="352">
        <f t="shared" si="62"/>
        <v>0</v>
      </c>
    </row>
    <row r="316" spans="1:19">
      <c r="A316" s="150"/>
      <c r="B316" s="58"/>
      <c r="C316" s="24">
        <f t="shared" si="53"/>
        <v>1</v>
      </c>
      <c r="D316" s="711"/>
      <c r="E316" s="24">
        <f t="shared" si="54"/>
        <v>1</v>
      </c>
      <c r="F316" s="711"/>
      <c r="G316" s="24">
        <f t="shared" si="55"/>
        <v>1</v>
      </c>
      <c r="H316" s="711"/>
      <c r="I316" s="24">
        <f t="shared" si="56"/>
        <v>1</v>
      </c>
      <c r="J316" s="711"/>
      <c r="K316" s="24">
        <f t="shared" si="57"/>
        <v>1</v>
      </c>
      <c r="L316" s="711"/>
      <c r="M316" s="24">
        <f t="shared" si="58"/>
        <v>1</v>
      </c>
      <c r="N316" s="711"/>
      <c r="O316" s="24">
        <f t="shared" si="59"/>
        <v>1</v>
      </c>
      <c r="P316" s="711"/>
      <c r="Q316" s="24">
        <f t="shared" si="60"/>
        <v>1</v>
      </c>
      <c r="R316" s="707">
        <f t="shared" si="61"/>
        <v>0</v>
      </c>
      <c r="S316" s="352">
        <f t="shared" si="62"/>
        <v>0</v>
      </c>
    </row>
    <row r="317" spans="1:19">
      <c r="A317" s="150"/>
      <c r="B317" s="58"/>
      <c r="C317" s="24">
        <f t="shared" si="53"/>
        <v>1</v>
      </c>
      <c r="D317" s="711"/>
      <c r="E317" s="24">
        <f t="shared" si="54"/>
        <v>1</v>
      </c>
      <c r="F317" s="711"/>
      <c r="G317" s="24">
        <f t="shared" si="55"/>
        <v>1</v>
      </c>
      <c r="H317" s="711"/>
      <c r="I317" s="24">
        <f t="shared" si="56"/>
        <v>1</v>
      </c>
      <c r="J317" s="711"/>
      <c r="K317" s="24">
        <f t="shared" si="57"/>
        <v>1</v>
      </c>
      <c r="L317" s="711"/>
      <c r="M317" s="24">
        <f t="shared" si="58"/>
        <v>1</v>
      </c>
      <c r="N317" s="711"/>
      <c r="O317" s="24">
        <f t="shared" si="59"/>
        <v>1</v>
      </c>
      <c r="P317" s="711"/>
      <c r="Q317" s="24">
        <f t="shared" si="60"/>
        <v>1</v>
      </c>
      <c r="R317" s="707">
        <f t="shared" si="61"/>
        <v>0</v>
      </c>
      <c r="S317" s="352">
        <f t="shared" si="62"/>
        <v>0</v>
      </c>
    </row>
    <row r="318" spans="1:19">
      <c r="A318" s="150"/>
      <c r="B318" s="58"/>
      <c r="C318" s="24">
        <f t="shared" si="53"/>
        <v>1</v>
      </c>
      <c r="D318" s="711"/>
      <c r="E318" s="24">
        <f t="shared" si="54"/>
        <v>1</v>
      </c>
      <c r="F318" s="711"/>
      <c r="G318" s="24">
        <f t="shared" si="55"/>
        <v>1</v>
      </c>
      <c r="H318" s="711"/>
      <c r="I318" s="24">
        <f t="shared" si="56"/>
        <v>1</v>
      </c>
      <c r="J318" s="711"/>
      <c r="K318" s="24">
        <f t="shared" si="57"/>
        <v>1</v>
      </c>
      <c r="L318" s="711"/>
      <c r="M318" s="24">
        <f t="shared" si="58"/>
        <v>1</v>
      </c>
      <c r="N318" s="711"/>
      <c r="O318" s="24">
        <f t="shared" si="59"/>
        <v>1</v>
      </c>
      <c r="P318" s="711"/>
      <c r="Q318" s="24">
        <f t="shared" si="60"/>
        <v>1</v>
      </c>
      <c r="R318" s="707">
        <f t="shared" si="61"/>
        <v>0</v>
      </c>
      <c r="S318" s="352">
        <f t="shared" si="62"/>
        <v>0</v>
      </c>
    </row>
    <row r="319" spans="1:19">
      <c r="A319" s="150"/>
      <c r="B319" s="58"/>
      <c r="C319" s="24">
        <f t="shared" si="53"/>
        <v>1</v>
      </c>
      <c r="D319" s="711"/>
      <c r="E319" s="24">
        <f t="shared" si="54"/>
        <v>1</v>
      </c>
      <c r="F319" s="711"/>
      <c r="G319" s="24">
        <f t="shared" si="55"/>
        <v>1</v>
      </c>
      <c r="H319" s="711"/>
      <c r="I319" s="24">
        <f t="shared" si="56"/>
        <v>1</v>
      </c>
      <c r="J319" s="711"/>
      <c r="K319" s="24">
        <f t="shared" si="57"/>
        <v>1</v>
      </c>
      <c r="L319" s="711"/>
      <c r="M319" s="24">
        <f t="shared" si="58"/>
        <v>1</v>
      </c>
      <c r="N319" s="711"/>
      <c r="O319" s="24">
        <f t="shared" si="59"/>
        <v>1</v>
      </c>
      <c r="P319" s="711"/>
      <c r="Q319" s="24">
        <f t="shared" si="60"/>
        <v>1</v>
      </c>
      <c r="R319" s="707">
        <f t="shared" si="61"/>
        <v>0</v>
      </c>
      <c r="S319" s="352">
        <f t="shared" si="62"/>
        <v>0</v>
      </c>
    </row>
    <row r="320" spans="1:19">
      <c r="A320" s="150"/>
      <c r="B320" s="58"/>
      <c r="C320" s="24">
        <f t="shared" si="53"/>
        <v>1</v>
      </c>
      <c r="D320" s="711"/>
      <c r="E320" s="24">
        <f t="shared" si="54"/>
        <v>1</v>
      </c>
      <c r="F320" s="711"/>
      <c r="G320" s="24">
        <f t="shared" si="55"/>
        <v>1</v>
      </c>
      <c r="H320" s="711"/>
      <c r="I320" s="24">
        <f t="shared" si="56"/>
        <v>1</v>
      </c>
      <c r="J320" s="711"/>
      <c r="K320" s="24">
        <f t="shared" si="57"/>
        <v>1</v>
      </c>
      <c r="L320" s="711"/>
      <c r="M320" s="24">
        <f t="shared" si="58"/>
        <v>1</v>
      </c>
      <c r="N320" s="711"/>
      <c r="O320" s="24">
        <f t="shared" si="59"/>
        <v>1</v>
      </c>
      <c r="P320" s="711"/>
      <c r="Q320" s="24">
        <f t="shared" si="60"/>
        <v>1</v>
      </c>
      <c r="R320" s="707">
        <f t="shared" si="61"/>
        <v>0</v>
      </c>
      <c r="S320" s="352">
        <f t="shared" si="62"/>
        <v>0</v>
      </c>
    </row>
    <row r="321" spans="1:19">
      <c r="A321" s="150"/>
      <c r="B321" s="58"/>
      <c r="C321" s="24">
        <f t="shared" si="53"/>
        <v>1</v>
      </c>
      <c r="D321" s="711"/>
      <c r="E321" s="24">
        <f t="shared" si="54"/>
        <v>1</v>
      </c>
      <c r="F321" s="711"/>
      <c r="G321" s="24">
        <f t="shared" si="55"/>
        <v>1</v>
      </c>
      <c r="H321" s="711"/>
      <c r="I321" s="24">
        <f t="shared" si="56"/>
        <v>1</v>
      </c>
      <c r="J321" s="711"/>
      <c r="K321" s="24">
        <f t="shared" si="57"/>
        <v>1</v>
      </c>
      <c r="L321" s="711"/>
      <c r="M321" s="24">
        <f t="shared" si="58"/>
        <v>1</v>
      </c>
      <c r="N321" s="711"/>
      <c r="O321" s="24">
        <f t="shared" si="59"/>
        <v>1</v>
      </c>
      <c r="P321" s="711"/>
      <c r="Q321" s="24">
        <f t="shared" si="60"/>
        <v>1</v>
      </c>
      <c r="R321" s="707">
        <f t="shared" si="61"/>
        <v>0</v>
      </c>
      <c r="S321" s="352">
        <f t="shared" ref="S321:S384" si="63">ROUND(R321*B321/10000,0)</f>
        <v>0</v>
      </c>
    </row>
    <row r="322" spans="1:19">
      <c r="A322" s="150"/>
      <c r="B322" s="58"/>
      <c r="C322" s="24">
        <f t="shared" si="53"/>
        <v>1</v>
      </c>
      <c r="D322" s="711"/>
      <c r="E322" s="24">
        <f t="shared" si="54"/>
        <v>1</v>
      </c>
      <c r="F322" s="711"/>
      <c r="G322" s="24">
        <f t="shared" si="55"/>
        <v>1</v>
      </c>
      <c r="H322" s="711"/>
      <c r="I322" s="24">
        <f t="shared" si="56"/>
        <v>1</v>
      </c>
      <c r="J322" s="711"/>
      <c r="K322" s="24">
        <f t="shared" si="57"/>
        <v>1</v>
      </c>
      <c r="L322" s="711"/>
      <c r="M322" s="24">
        <f t="shared" si="58"/>
        <v>1</v>
      </c>
      <c r="N322" s="711"/>
      <c r="O322" s="24">
        <f t="shared" si="59"/>
        <v>1</v>
      </c>
      <c r="P322" s="711"/>
      <c r="Q322" s="24">
        <f t="shared" si="60"/>
        <v>1</v>
      </c>
      <c r="R322" s="707">
        <f t="shared" si="61"/>
        <v>0</v>
      </c>
      <c r="S322" s="352">
        <f t="shared" si="63"/>
        <v>0</v>
      </c>
    </row>
    <row r="323" spans="1:19">
      <c r="A323" s="150"/>
      <c r="B323" s="58"/>
      <c r="C323" s="24">
        <f t="shared" si="53"/>
        <v>1</v>
      </c>
      <c r="D323" s="711"/>
      <c r="E323" s="24">
        <f t="shared" si="54"/>
        <v>1</v>
      </c>
      <c r="F323" s="711"/>
      <c r="G323" s="24">
        <f t="shared" si="55"/>
        <v>1</v>
      </c>
      <c r="H323" s="711"/>
      <c r="I323" s="24">
        <f t="shared" si="56"/>
        <v>1</v>
      </c>
      <c r="J323" s="711"/>
      <c r="K323" s="24">
        <f t="shared" si="57"/>
        <v>1</v>
      </c>
      <c r="L323" s="711"/>
      <c r="M323" s="24">
        <f t="shared" si="58"/>
        <v>1</v>
      </c>
      <c r="N323" s="711"/>
      <c r="O323" s="24">
        <f t="shared" si="59"/>
        <v>1</v>
      </c>
      <c r="P323" s="711"/>
      <c r="Q323" s="24">
        <f t="shared" si="60"/>
        <v>1</v>
      </c>
      <c r="R323" s="707">
        <f t="shared" si="61"/>
        <v>0</v>
      </c>
      <c r="S323" s="352">
        <f t="shared" si="63"/>
        <v>0</v>
      </c>
    </row>
    <row r="324" spans="1:19">
      <c r="A324" s="150"/>
      <c r="B324" s="58"/>
      <c r="C324" s="24">
        <f t="shared" si="53"/>
        <v>1</v>
      </c>
      <c r="D324" s="711"/>
      <c r="E324" s="24">
        <f t="shared" si="54"/>
        <v>1</v>
      </c>
      <c r="F324" s="711"/>
      <c r="G324" s="24">
        <f t="shared" si="55"/>
        <v>1</v>
      </c>
      <c r="H324" s="711"/>
      <c r="I324" s="24">
        <f t="shared" si="56"/>
        <v>1</v>
      </c>
      <c r="J324" s="711"/>
      <c r="K324" s="24">
        <f t="shared" si="57"/>
        <v>1</v>
      </c>
      <c r="L324" s="711"/>
      <c r="M324" s="24">
        <f t="shared" si="58"/>
        <v>1</v>
      </c>
      <c r="N324" s="711"/>
      <c r="O324" s="24">
        <f t="shared" si="59"/>
        <v>1</v>
      </c>
      <c r="P324" s="711"/>
      <c r="Q324" s="24">
        <f t="shared" si="60"/>
        <v>1</v>
      </c>
      <c r="R324" s="707">
        <f t="shared" si="61"/>
        <v>0</v>
      </c>
      <c r="S324" s="352">
        <f t="shared" si="63"/>
        <v>0</v>
      </c>
    </row>
    <row r="325" spans="1:19">
      <c r="A325" s="150"/>
      <c r="B325" s="58"/>
      <c r="C325" s="24">
        <f t="shared" si="53"/>
        <v>1</v>
      </c>
      <c r="D325" s="711"/>
      <c r="E325" s="24">
        <f t="shared" si="54"/>
        <v>1</v>
      </c>
      <c r="F325" s="711"/>
      <c r="G325" s="24">
        <f t="shared" si="55"/>
        <v>1</v>
      </c>
      <c r="H325" s="711"/>
      <c r="I325" s="24">
        <f t="shared" si="56"/>
        <v>1</v>
      </c>
      <c r="J325" s="711"/>
      <c r="K325" s="24">
        <f t="shared" si="57"/>
        <v>1</v>
      </c>
      <c r="L325" s="711"/>
      <c r="M325" s="24">
        <f t="shared" si="58"/>
        <v>1</v>
      </c>
      <c r="N325" s="711"/>
      <c r="O325" s="24">
        <f t="shared" si="59"/>
        <v>1</v>
      </c>
      <c r="P325" s="711"/>
      <c r="Q325" s="24">
        <f t="shared" si="60"/>
        <v>1</v>
      </c>
      <c r="R325" s="707">
        <f t="shared" si="61"/>
        <v>0</v>
      </c>
      <c r="S325" s="352">
        <f t="shared" si="63"/>
        <v>0</v>
      </c>
    </row>
    <row r="326" spans="1:19">
      <c r="A326" s="150"/>
      <c r="B326" s="58"/>
      <c r="C326" s="24">
        <f t="shared" si="53"/>
        <v>1</v>
      </c>
      <c r="D326" s="711"/>
      <c r="E326" s="24">
        <f t="shared" si="54"/>
        <v>1</v>
      </c>
      <c r="F326" s="711"/>
      <c r="G326" s="24">
        <f t="shared" si="55"/>
        <v>1</v>
      </c>
      <c r="H326" s="711"/>
      <c r="I326" s="24">
        <f t="shared" si="56"/>
        <v>1</v>
      </c>
      <c r="J326" s="711"/>
      <c r="K326" s="24">
        <f t="shared" si="57"/>
        <v>1</v>
      </c>
      <c r="L326" s="711"/>
      <c r="M326" s="24">
        <f t="shared" si="58"/>
        <v>1</v>
      </c>
      <c r="N326" s="711"/>
      <c r="O326" s="24">
        <f t="shared" si="59"/>
        <v>1</v>
      </c>
      <c r="P326" s="711"/>
      <c r="Q326" s="24">
        <f t="shared" si="60"/>
        <v>1</v>
      </c>
      <c r="R326" s="707">
        <f t="shared" si="61"/>
        <v>0</v>
      </c>
      <c r="S326" s="352">
        <f t="shared" si="63"/>
        <v>0</v>
      </c>
    </row>
    <row r="327" spans="1:19">
      <c r="A327" s="150"/>
      <c r="B327" s="58"/>
      <c r="C327" s="24">
        <f t="shared" si="53"/>
        <v>1</v>
      </c>
      <c r="D327" s="711"/>
      <c r="E327" s="24">
        <f t="shared" si="54"/>
        <v>1</v>
      </c>
      <c r="F327" s="711"/>
      <c r="G327" s="24">
        <f t="shared" si="55"/>
        <v>1</v>
      </c>
      <c r="H327" s="711"/>
      <c r="I327" s="24">
        <f t="shared" si="56"/>
        <v>1</v>
      </c>
      <c r="J327" s="711"/>
      <c r="K327" s="24">
        <f t="shared" si="57"/>
        <v>1</v>
      </c>
      <c r="L327" s="711"/>
      <c r="M327" s="24">
        <f t="shared" si="58"/>
        <v>1</v>
      </c>
      <c r="N327" s="711"/>
      <c r="O327" s="24">
        <f t="shared" si="59"/>
        <v>1</v>
      </c>
      <c r="P327" s="711"/>
      <c r="Q327" s="24">
        <f t="shared" si="60"/>
        <v>1</v>
      </c>
      <c r="R327" s="707">
        <f t="shared" si="61"/>
        <v>0</v>
      </c>
      <c r="S327" s="352">
        <f t="shared" si="63"/>
        <v>0</v>
      </c>
    </row>
    <row r="328" spans="1:19">
      <c r="A328" s="150"/>
      <c r="B328" s="58"/>
      <c r="C328" s="24">
        <f t="shared" si="53"/>
        <v>1</v>
      </c>
      <c r="D328" s="711"/>
      <c r="E328" s="24">
        <f t="shared" si="54"/>
        <v>1</v>
      </c>
      <c r="F328" s="711"/>
      <c r="G328" s="24">
        <f t="shared" si="55"/>
        <v>1</v>
      </c>
      <c r="H328" s="711"/>
      <c r="I328" s="24">
        <f t="shared" si="56"/>
        <v>1</v>
      </c>
      <c r="J328" s="711"/>
      <c r="K328" s="24">
        <f t="shared" si="57"/>
        <v>1</v>
      </c>
      <c r="L328" s="711"/>
      <c r="M328" s="24">
        <f t="shared" si="58"/>
        <v>1</v>
      </c>
      <c r="N328" s="711"/>
      <c r="O328" s="24">
        <f t="shared" si="59"/>
        <v>1</v>
      </c>
      <c r="P328" s="711"/>
      <c r="Q328" s="24">
        <f t="shared" si="60"/>
        <v>1</v>
      </c>
      <c r="R328" s="707">
        <f t="shared" si="61"/>
        <v>0</v>
      </c>
      <c r="S328" s="352">
        <f t="shared" si="63"/>
        <v>0</v>
      </c>
    </row>
    <row r="329" spans="1:19">
      <c r="A329" s="150"/>
      <c r="B329" s="58"/>
      <c r="C329" s="24">
        <f t="shared" si="53"/>
        <v>1</v>
      </c>
      <c r="D329" s="711"/>
      <c r="E329" s="24">
        <f t="shared" si="54"/>
        <v>1</v>
      </c>
      <c r="F329" s="711"/>
      <c r="G329" s="24">
        <f t="shared" si="55"/>
        <v>1</v>
      </c>
      <c r="H329" s="711"/>
      <c r="I329" s="24">
        <f t="shared" si="56"/>
        <v>1</v>
      </c>
      <c r="J329" s="711"/>
      <c r="K329" s="24">
        <f t="shared" si="57"/>
        <v>1</v>
      </c>
      <c r="L329" s="711"/>
      <c r="M329" s="24">
        <f t="shared" si="58"/>
        <v>1</v>
      </c>
      <c r="N329" s="711"/>
      <c r="O329" s="24">
        <f t="shared" si="59"/>
        <v>1</v>
      </c>
      <c r="P329" s="711"/>
      <c r="Q329" s="24">
        <f t="shared" si="60"/>
        <v>1</v>
      </c>
      <c r="R329" s="707">
        <f t="shared" si="61"/>
        <v>0</v>
      </c>
      <c r="S329" s="352">
        <f t="shared" si="63"/>
        <v>0</v>
      </c>
    </row>
    <row r="330" spans="1:19">
      <c r="A330" s="150"/>
      <c r="B330" s="58"/>
      <c r="C330" s="24">
        <f t="shared" si="53"/>
        <v>1</v>
      </c>
      <c r="D330" s="711"/>
      <c r="E330" s="24">
        <f t="shared" si="54"/>
        <v>1</v>
      </c>
      <c r="F330" s="711"/>
      <c r="G330" s="24">
        <f t="shared" si="55"/>
        <v>1</v>
      </c>
      <c r="H330" s="711"/>
      <c r="I330" s="24">
        <f t="shared" si="56"/>
        <v>1</v>
      </c>
      <c r="J330" s="711"/>
      <c r="K330" s="24">
        <f t="shared" si="57"/>
        <v>1</v>
      </c>
      <c r="L330" s="711"/>
      <c r="M330" s="24">
        <f t="shared" si="58"/>
        <v>1</v>
      </c>
      <c r="N330" s="711"/>
      <c r="O330" s="24">
        <f t="shared" si="59"/>
        <v>1</v>
      </c>
      <c r="P330" s="711"/>
      <c r="Q330" s="24">
        <f t="shared" si="60"/>
        <v>1</v>
      </c>
      <c r="R330" s="707">
        <f t="shared" si="61"/>
        <v>0</v>
      </c>
      <c r="S330" s="352">
        <f t="shared" si="63"/>
        <v>0</v>
      </c>
    </row>
    <row r="331" spans="1:19">
      <c r="A331" s="150"/>
      <c r="B331" s="58"/>
      <c r="C331" s="24">
        <f t="shared" si="53"/>
        <v>1</v>
      </c>
      <c r="D331" s="711"/>
      <c r="E331" s="24">
        <f t="shared" si="54"/>
        <v>1</v>
      </c>
      <c r="F331" s="711"/>
      <c r="G331" s="24">
        <f t="shared" si="55"/>
        <v>1</v>
      </c>
      <c r="H331" s="711"/>
      <c r="I331" s="24">
        <f t="shared" si="56"/>
        <v>1</v>
      </c>
      <c r="J331" s="711"/>
      <c r="K331" s="24">
        <f t="shared" si="57"/>
        <v>1</v>
      </c>
      <c r="L331" s="711"/>
      <c r="M331" s="24">
        <f t="shared" si="58"/>
        <v>1</v>
      </c>
      <c r="N331" s="711"/>
      <c r="O331" s="24">
        <f t="shared" si="59"/>
        <v>1</v>
      </c>
      <c r="P331" s="711"/>
      <c r="Q331" s="24">
        <f t="shared" si="60"/>
        <v>1</v>
      </c>
      <c r="R331" s="707">
        <f t="shared" si="61"/>
        <v>0</v>
      </c>
      <c r="S331" s="352">
        <f t="shared" si="63"/>
        <v>0</v>
      </c>
    </row>
    <row r="332" spans="1:19">
      <c r="A332" s="150"/>
      <c r="B332" s="58"/>
      <c r="C332" s="24">
        <f t="shared" si="53"/>
        <v>1</v>
      </c>
      <c r="D332" s="711"/>
      <c r="E332" s="24">
        <f t="shared" si="54"/>
        <v>1</v>
      </c>
      <c r="F332" s="711"/>
      <c r="G332" s="24">
        <f t="shared" si="55"/>
        <v>1</v>
      </c>
      <c r="H332" s="711"/>
      <c r="I332" s="24">
        <f t="shared" si="56"/>
        <v>1</v>
      </c>
      <c r="J332" s="711"/>
      <c r="K332" s="24">
        <f t="shared" si="57"/>
        <v>1</v>
      </c>
      <c r="L332" s="711"/>
      <c r="M332" s="24">
        <f t="shared" si="58"/>
        <v>1</v>
      </c>
      <c r="N332" s="711"/>
      <c r="O332" s="24">
        <f t="shared" si="59"/>
        <v>1</v>
      </c>
      <c r="P332" s="711"/>
      <c r="Q332" s="24">
        <f t="shared" si="60"/>
        <v>1</v>
      </c>
      <c r="R332" s="707">
        <f t="shared" si="61"/>
        <v>0</v>
      </c>
      <c r="S332" s="352">
        <f t="shared" si="63"/>
        <v>0</v>
      </c>
    </row>
    <row r="333" spans="1:19">
      <c r="A333" s="150"/>
      <c r="B333" s="58"/>
      <c r="C333" s="24">
        <f t="shared" si="53"/>
        <v>1</v>
      </c>
      <c r="D333" s="711"/>
      <c r="E333" s="24">
        <f t="shared" si="54"/>
        <v>1</v>
      </c>
      <c r="F333" s="711"/>
      <c r="G333" s="24">
        <f t="shared" si="55"/>
        <v>1</v>
      </c>
      <c r="H333" s="711"/>
      <c r="I333" s="24">
        <f t="shared" si="56"/>
        <v>1</v>
      </c>
      <c r="J333" s="711"/>
      <c r="K333" s="24">
        <f t="shared" si="57"/>
        <v>1</v>
      </c>
      <c r="L333" s="711"/>
      <c r="M333" s="24">
        <f t="shared" si="58"/>
        <v>1</v>
      </c>
      <c r="N333" s="711"/>
      <c r="O333" s="24">
        <f t="shared" si="59"/>
        <v>1</v>
      </c>
      <c r="P333" s="711"/>
      <c r="Q333" s="24">
        <f t="shared" si="60"/>
        <v>1</v>
      </c>
      <c r="R333" s="707">
        <f t="shared" si="61"/>
        <v>0</v>
      </c>
      <c r="S333" s="352">
        <f t="shared" si="63"/>
        <v>0</v>
      </c>
    </row>
    <row r="334" spans="1:19">
      <c r="A334" s="150"/>
      <c r="B334" s="58"/>
      <c r="C334" s="24">
        <f t="shared" si="53"/>
        <v>1</v>
      </c>
      <c r="D334" s="711"/>
      <c r="E334" s="24">
        <f t="shared" si="54"/>
        <v>1</v>
      </c>
      <c r="F334" s="711"/>
      <c r="G334" s="24">
        <f t="shared" si="55"/>
        <v>1</v>
      </c>
      <c r="H334" s="711"/>
      <c r="I334" s="24">
        <f t="shared" si="56"/>
        <v>1</v>
      </c>
      <c r="J334" s="711"/>
      <c r="K334" s="24">
        <f t="shared" si="57"/>
        <v>1</v>
      </c>
      <c r="L334" s="711"/>
      <c r="M334" s="24">
        <f t="shared" si="58"/>
        <v>1</v>
      </c>
      <c r="N334" s="711"/>
      <c r="O334" s="24">
        <f t="shared" si="59"/>
        <v>1</v>
      </c>
      <c r="P334" s="711"/>
      <c r="Q334" s="24">
        <f t="shared" si="60"/>
        <v>1</v>
      </c>
      <c r="R334" s="707">
        <f t="shared" si="61"/>
        <v>0</v>
      </c>
      <c r="S334" s="352">
        <f t="shared" si="63"/>
        <v>0</v>
      </c>
    </row>
    <row r="335" spans="1:19">
      <c r="A335" s="150"/>
      <c r="B335" s="58"/>
      <c r="C335" s="24">
        <f t="shared" si="53"/>
        <v>1</v>
      </c>
      <c r="D335" s="711"/>
      <c r="E335" s="24">
        <f t="shared" si="54"/>
        <v>1</v>
      </c>
      <c r="F335" s="711"/>
      <c r="G335" s="24">
        <f t="shared" si="55"/>
        <v>1</v>
      </c>
      <c r="H335" s="711"/>
      <c r="I335" s="24">
        <f t="shared" si="56"/>
        <v>1</v>
      </c>
      <c r="J335" s="711"/>
      <c r="K335" s="24">
        <f t="shared" si="57"/>
        <v>1</v>
      </c>
      <c r="L335" s="711"/>
      <c r="M335" s="24">
        <f t="shared" si="58"/>
        <v>1</v>
      </c>
      <c r="N335" s="711"/>
      <c r="O335" s="24">
        <f t="shared" si="59"/>
        <v>1</v>
      </c>
      <c r="P335" s="711"/>
      <c r="Q335" s="24">
        <f t="shared" si="60"/>
        <v>1</v>
      </c>
      <c r="R335" s="707">
        <f t="shared" si="61"/>
        <v>0</v>
      </c>
      <c r="S335" s="352">
        <f t="shared" si="63"/>
        <v>0</v>
      </c>
    </row>
    <row r="336" spans="1:19">
      <c r="A336" s="150"/>
      <c r="B336" s="58"/>
      <c r="C336" s="24">
        <f t="shared" si="53"/>
        <v>1</v>
      </c>
      <c r="D336" s="711"/>
      <c r="E336" s="24">
        <f t="shared" si="54"/>
        <v>1</v>
      </c>
      <c r="F336" s="711"/>
      <c r="G336" s="24">
        <f t="shared" si="55"/>
        <v>1</v>
      </c>
      <c r="H336" s="711"/>
      <c r="I336" s="24">
        <f t="shared" si="56"/>
        <v>1</v>
      </c>
      <c r="J336" s="711"/>
      <c r="K336" s="24">
        <f t="shared" si="57"/>
        <v>1</v>
      </c>
      <c r="L336" s="711"/>
      <c r="M336" s="24">
        <f t="shared" si="58"/>
        <v>1</v>
      </c>
      <c r="N336" s="711"/>
      <c r="O336" s="24">
        <f t="shared" si="59"/>
        <v>1</v>
      </c>
      <c r="P336" s="711"/>
      <c r="Q336" s="24">
        <f t="shared" si="60"/>
        <v>1</v>
      </c>
      <c r="R336" s="707">
        <f t="shared" si="61"/>
        <v>0</v>
      </c>
      <c r="S336" s="352">
        <f t="shared" si="63"/>
        <v>0</v>
      </c>
    </row>
    <row r="337" spans="1:19">
      <c r="A337" s="150"/>
      <c r="B337" s="58"/>
      <c r="C337" s="24">
        <f t="shared" si="53"/>
        <v>1</v>
      </c>
      <c r="D337" s="711"/>
      <c r="E337" s="24">
        <f t="shared" si="54"/>
        <v>1</v>
      </c>
      <c r="F337" s="711"/>
      <c r="G337" s="24">
        <f t="shared" si="55"/>
        <v>1</v>
      </c>
      <c r="H337" s="711"/>
      <c r="I337" s="24">
        <f t="shared" si="56"/>
        <v>1</v>
      </c>
      <c r="J337" s="711"/>
      <c r="K337" s="24">
        <f t="shared" si="57"/>
        <v>1</v>
      </c>
      <c r="L337" s="711"/>
      <c r="M337" s="24">
        <f t="shared" si="58"/>
        <v>1</v>
      </c>
      <c r="N337" s="711"/>
      <c r="O337" s="24">
        <f t="shared" si="59"/>
        <v>1</v>
      </c>
      <c r="P337" s="711"/>
      <c r="Q337" s="24">
        <f t="shared" si="60"/>
        <v>1</v>
      </c>
      <c r="R337" s="707">
        <f t="shared" si="61"/>
        <v>0</v>
      </c>
      <c r="S337" s="352">
        <f t="shared" si="63"/>
        <v>0</v>
      </c>
    </row>
    <row r="338" spans="1:19">
      <c r="A338" s="150"/>
      <c r="B338" s="58"/>
      <c r="C338" s="24">
        <f t="shared" si="53"/>
        <v>1</v>
      </c>
      <c r="D338" s="711"/>
      <c r="E338" s="24">
        <f t="shared" si="54"/>
        <v>1</v>
      </c>
      <c r="F338" s="711"/>
      <c r="G338" s="24">
        <f t="shared" si="55"/>
        <v>1</v>
      </c>
      <c r="H338" s="711"/>
      <c r="I338" s="24">
        <f t="shared" si="56"/>
        <v>1</v>
      </c>
      <c r="J338" s="711"/>
      <c r="K338" s="24">
        <f t="shared" si="57"/>
        <v>1</v>
      </c>
      <c r="L338" s="711"/>
      <c r="M338" s="24">
        <f t="shared" si="58"/>
        <v>1</v>
      </c>
      <c r="N338" s="711"/>
      <c r="O338" s="24">
        <f t="shared" si="59"/>
        <v>1</v>
      </c>
      <c r="P338" s="711"/>
      <c r="Q338" s="24">
        <f t="shared" si="60"/>
        <v>1</v>
      </c>
      <c r="R338" s="707">
        <f t="shared" si="61"/>
        <v>0</v>
      </c>
      <c r="S338" s="352">
        <f t="shared" si="63"/>
        <v>0</v>
      </c>
    </row>
    <row r="339" spans="1:19">
      <c r="A339" s="150"/>
      <c r="B339" s="58"/>
      <c r="C339" s="24">
        <f t="shared" si="53"/>
        <v>1</v>
      </c>
      <c r="D339" s="711"/>
      <c r="E339" s="24">
        <f t="shared" si="54"/>
        <v>1</v>
      </c>
      <c r="F339" s="711"/>
      <c r="G339" s="24">
        <f t="shared" si="55"/>
        <v>1</v>
      </c>
      <c r="H339" s="711"/>
      <c r="I339" s="24">
        <f t="shared" si="56"/>
        <v>1</v>
      </c>
      <c r="J339" s="711"/>
      <c r="K339" s="24">
        <f t="shared" si="57"/>
        <v>1</v>
      </c>
      <c r="L339" s="711"/>
      <c r="M339" s="24">
        <f t="shared" si="58"/>
        <v>1</v>
      </c>
      <c r="N339" s="711"/>
      <c r="O339" s="24">
        <f t="shared" si="59"/>
        <v>1</v>
      </c>
      <c r="P339" s="711"/>
      <c r="Q339" s="24">
        <f t="shared" si="60"/>
        <v>1</v>
      </c>
      <c r="R339" s="707">
        <f t="shared" si="61"/>
        <v>0</v>
      </c>
      <c r="S339" s="352">
        <f t="shared" si="63"/>
        <v>0</v>
      </c>
    </row>
    <row r="340" spans="1:19">
      <c r="A340" s="150"/>
      <c r="B340" s="58"/>
      <c r="C340" s="24">
        <f t="shared" si="53"/>
        <v>1</v>
      </c>
      <c r="D340" s="711"/>
      <c r="E340" s="24">
        <f t="shared" si="54"/>
        <v>1</v>
      </c>
      <c r="F340" s="711"/>
      <c r="G340" s="24">
        <f t="shared" si="55"/>
        <v>1</v>
      </c>
      <c r="H340" s="711"/>
      <c r="I340" s="24">
        <f t="shared" si="56"/>
        <v>1</v>
      </c>
      <c r="J340" s="711"/>
      <c r="K340" s="24">
        <f t="shared" si="57"/>
        <v>1</v>
      </c>
      <c r="L340" s="711"/>
      <c r="M340" s="24">
        <f t="shared" si="58"/>
        <v>1</v>
      </c>
      <c r="N340" s="711"/>
      <c r="O340" s="24">
        <f t="shared" si="59"/>
        <v>1</v>
      </c>
      <c r="P340" s="711"/>
      <c r="Q340" s="24">
        <f t="shared" si="60"/>
        <v>1</v>
      </c>
      <c r="R340" s="707">
        <f t="shared" si="61"/>
        <v>0</v>
      </c>
      <c r="S340" s="352">
        <f t="shared" si="63"/>
        <v>0</v>
      </c>
    </row>
    <row r="341" spans="1:19">
      <c r="A341" s="150"/>
      <c r="B341" s="58"/>
      <c r="C341" s="24">
        <f t="shared" si="53"/>
        <v>1</v>
      </c>
      <c r="D341" s="711"/>
      <c r="E341" s="24">
        <f t="shared" si="54"/>
        <v>1</v>
      </c>
      <c r="F341" s="711"/>
      <c r="G341" s="24">
        <f t="shared" si="55"/>
        <v>1</v>
      </c>
      <c r="H341" s="711"/>
      <c r="I341" s="24">
        <f t="shared" si="56"/>
        <v>1</v>
      </c>
      <c r="J341" s="711"/>
      <c r="K341" s="24">
        <f t="shared" si="57"/>
        <v>1</v>
      </c>
      <c r="L341" s="711"/>
      <c r="M341" s="24">
        <f t="shared" si="58"/>
        <v>1</v>
      </c>
      <c r="N341" s="711"/>
      <c r="O341" s="24">
        <f t="shared" si="59"/>
        <v>1</v>
      </c>
      <c r="P341" s="711"/>
      <c r="Q341" s="24">
        <f t="shared" si="60"/>
        <v>1</v>
      </c>
      <c r="R341" s="707">
        <f t="shared" si="61"/>
        <v>0</v>
      </c>
      <c r="S341" s="352">
        <f t="shared" si="63"/>
        <v>0</v>
      </c>
    </row>
    <row r="342" spans="1:19">
      <c r="A342" s="150"/>
      <c r="B342" s="58"/>
      <c r="C342" s="24">
        <f t="shared" si="53"/>
        <v>1</v>
      </c>
      <c r="D342" s="711"/>
      <c r="E342" s="24">
        <f t="shared" si="54"/>
        <v>1</v>
      </c>
      <c r="F342" s="711"/>
      <c r="G342" s="24">
        <f t="shared" si="55"/>
        <v>1</v>
      </c>
      <c r="H342" s="711"/>
      <c r="I342" s="24">
        <f t="shared" si="56"/>
        <v>1</v>
      </c>
      <c r="J342" s="711"/>
      <c r="K342" s="24">
        <f t="shared" si="57"/>
        <v>1</v>
      </c>
      <c r="L342" s="711"/>
      <c r="M342" s="24">
        <f t="shared" si="58"/>
        <v>1</v>
      </c>
      <c r="N342" s="711"/>
      <c r="O342" s="24">
        <f t="shared" si="59"/>
        <v>1</v>
      </c>
      <c r="P342" s="711"/>
      <c r="Q342" s="24">
        <f t="shared" si="60"/>
        <v>1</v>
      </c>
      <c r="R342" s="707">
        <f t="shared" si="61"/>
        <v>0</v>
      </c>
      <c r="S342" s="352">
        <f t="shared" si="63"/>
        <v>0</v>
      </c>
    </row>
    <row r="343" spans="1:19">
      <c r="A343" s="150"/>
      <c r="B343" s="58"/>
      <c r="C343" s="24">
        <f t="shared" si="53"/>
        <v>1</v>
      </c>
      <c r="D343" s="711"/>
      <c r="E343" s="24">
        <f t="shared" si="54"/>
        <v>1</v>
      </c>
      <c r="F343" s="711"/>
      <c r="G343" s="24">
        <f t="shared" si="55"/>
        <v>1</v>
      </c>
      <c r="H343" s="711"/>
      <c r="I343" s="24">
        <f t="shared" si="56"/>
        <v>1</v>
      </c>
      <c r="J343" s="711"/>
      <c r="K343" s="24">
        <f t="shared" si="57"/>
        <v>1</v>
      </c>
      <c r="L343" s="711"/>
      <c r="M343" s="24">
        <f t="shared" si="58"/>
        <v>1</v>
      </c>
      <c r="N343" s="711"/>
      <c r="O343" s="24">
        <f t="shared" si="59"/>
        <v>1</v>
      </c>
      <c r="P343" s="711"/>
      <c r="Q343" s="24">
        <f t="shared" si="60"/>
        <v>1</v>
      </c>
      <c r="R343" s="707">
        <f t="shared" si="61"/>
        <v>0</v>
      </c>
      <c r="S343" s="352">
        <f t="shared" si="63"/>
        <v>0</v>
      </c>
    </row>
    <row r="344" spans="1:19">
      <c r="A344" s="150"/>
      <c r="B344" s="58"/>
      <c r="C344" s="24">
        <f t="shared" si="53"/>
        <v>1</v>
      </c>
      <c r="D344" s="711"/>
      <c r="E344" s="24">
        <f t="shared" si="54"/>
        <v>1</v>
      </c>
      <c r="F344" s="711"/>
      <c r="G344" s="24">
        <f t="shared" si="55"/>
        <v>1</v>
      </c>
      <c r="H344" s="711"/>
      <c r="I344" s="24">
        <f t="shared" si="56"/>
        <v>1</v>
      </c>
      <c r="J344" s="711"/>
      <c r="K344" s="24">
        <f t="shared" si="57"/>
        <v>1</v>
      </c>
      <c r="L344" s="711"/>
      <c r="M344" s="24">
        <f t="shared" si="58"/>
        <v>1</v>
      </c>
      <c r="N344" s="711"/>
      <c r="O344" s="24">
        <f t="shared" si="59"/>
        <v>1</v>
      </c>
      <c r="P344" s="711"/>
      <c r="Q344" s="24">
        <f t="shared" si="60"/>
        <v>1</v>
      </c>
      <c r="R344" s="707">
        <f t="shared" si="61"/>
        <v>0</v>
      </c>
      <c r="S344" s="352">
        <f t="shared" si="63"/>
        <v>0</v>
      </c>
    </row>
    <row r="345" spans="1:19">
      <c r="A345" s="150"/>
      <c r="B345" s="58"/>
      <c r="C345" s="24">
        <f t="shared" si="53"/>
        <v>1</v>
      </c>
      <c r="D345" s="711"/>
      <c r="E345" s="24">
        <f t="shared" si="54"/>
        <v>1</v>
      </c>
      <c r="F345" s="711"/>
      <c r="G345" s="24">
        <f t="shared" si="55"/>
        <v>1</v>
      </c>
      <c r="H345" s="711"/>
      <c r="I345" s="24">
        <f t="shared" si="56"/>
        <v>1</v>
      </c>
      <c r="J345" s="711"/>
      <c r="K345" s="24">
        <f t="shared" si="57"/>
        <v>1</v>
      </c>
      <c r="L345" s="711"/>
      <c r="M345" s="24">
        <f t="shared" si="58"/>
        <v>1</v>
      </c>
      <c r="N345" s="711"/>
      <c r="O345" s="24">
        <f t="shared" si="59"/>
        <v>1</v>
      </c>
      <c r="P345" s="711"/>
      <c r="Q345" s="24">
        <f t="shared" si="60"/>
        <v>1</v>
      </c>
      <c r="R345" s="707">
        <f t="shared" si="61"/>
        <v>0</v>
      </c>
      <c r="S345" s="352">
        <f t="shared" si="63"/>
        <v>0</v>
      </c>
    </row>
    <row r="346" spans="1:19">
      <c r="A346" s="150"/>
      <c r="B346" s="58"/>
      <c r="C346" s="24">
        <f t="shared" ref="C346:C409" si="64">IF(B346="",1,(LOOKUP(B346,$3:$3,$4:$4)-LOOKUP($B$24,$3:$3,$4:$4)+100)/100)</f>
        <v>1</v>
      </c>
      <c r="D346" s="711"/>
      <c r="E346" s="24">
        <f t="shared" ref="E346:E409" si="65">(SUMIF($5:$5,D346,$6:$6)-SUMIF($5:$5,$D$24,$6:$6)+100)/100</f>
        <v>1</v>
      </c>
      <c r="F346" s="711"/>
      <c r="G346" s="24">
        <f t="shared" ref="G346:G409" si="66">(SUMIF($7:$7,F346,$8:$8)-SUMIF($7:$7,$F$24,$8:$8)+100)/100</f>
        <v>1</v>
      </c>
      <c r="H346" s="711"/>
      <c r="I346" s="24">
        <f t="shared" ref="I346:I409" si="67">(SUMIF($9:$9,H346,$10:$10)-SUMIF($9:$9,$H$24,$10:$10)+100)/100</f>
        <v>1</v>
      </c>
      <c r="J346" s="711"/>
      <c r="K346" s="24">
        <f t="shared" ref="K346:K409" si="68">(SUMIF($11:$11,J346,$12:$12)-SUMIF($11:$11,$J$24,$12:$12)+100)/100</f>
        <v>1</v>
      </c>
      <c r="L346" s="711"/>
      <c r="M346" s="24">
        <f t="shared" ref="M346:M409" si="69">(SUMIF($13:$13,L346,$14:$14)-SUMIF($13:$13,$L$24,$14:$14)+100)/100</f>
        <v>1</v>
      </c>
      <c r="N346" s="711"/>
      <c r="O346" s="24">
        <f t="shared" ref="O346:O409" si="70">(SUMIF($15:$15,N346,$16:$16)-SUMIF($15:$15,$N$24,$16:$16)+100)/100</f>
        <v>1</v>
      </c>
      <c r="P346" s="711"/>
      <c r="Q346" s="24">
        <f t="shared" ref="Q346:Q409" si="71">(SUMIF($17:$17,P346,$18:$18)-SUMIF($17:$17,$P$24,$18:$18)+100)/100</f>
        <v>1</v>
      </c>
      <c r="R346" s="707">
        <f t="shared" ref="R346:R409" si="72">IF(B346="",0,ROUND($R$24*C346*E346*G346*I346*K346*M346*O346*Q346,0))</f>
        <v>0</v>
      </c>
      <c r="S346" s="352">
        <f t="shared" si="63"/>
        <v>0</v>
      </c>
    </row>
    <row r="347" spans="1:19">
      <c r="A347" s="150"/>
      <c r="B347" s="58"/>
      <c r="C347" s="24">
        <f t="shared" si="64"/>
        <v>1</v>
      </c>
      <c r="D347" s="711"/>
      <c r="E347" s="24">
        <f t="shared" si="65"/>
        <v>1</v>
      </c>
      <c r="F347" s="711"/>
      <c r="G347" s="24">
        <f t="shared" si="66"/>
        <v>1</v>
      </c>
      <c r="H347" s="711"/>
      <c r="I347" s="24">
        <f t="shared" si="67"/>
        <v>1</v>
      </c>
      <c r="J347" s="711"/>
      <c r="K347" s="24">
        <f t="shared" si="68"/>
        <v>1</v>
      </c>
      <c r="L347" s="711"/>
      <c r="M347" s="24">
        <f t="shared" si="69"/>
        <v>1</v>
      </c>
      <c r="N347" s="711"/>
      <c r="O347" s="24">
        <f t="shared" si="70"/>
        <v>1</v>
      </c>
      <c r="P347" s="711"/>
      <c r="Q347" s="24">
        <f t="shared" si="71"/>
        <v>1</v>
      </c>
      <c r="R347" s="707">
        <f t="shared" si="72"/>
        <v>0</v>
      </c>
      <c r="S347" s="352">
        <f t="shared" si="63"/>
        <v>0</v>
      </c>
    </row>
    <row r="348" spans="1:19">
      <c r="A348" s="150"/>
      <c r="B348" s="58"/>
      <c r="C348" s="24">
        <f t="shared" si="64"/>
        <v>1</v>
      </c>
      <c r="D348" s="711"/>
      <c r="E348" s="24">
        <f t="shared" si="65"/>
        <v>1</v>
      </c>
      <c r="F348" s="711"/>
      <c r="G348" s="24">
        <f t="shared" si="66"/>
        <v>1</v>
      </c>
      <c r="H348" s="711"/>
      <c r="I348" s="24">
        <f t="shared" si="67"/>
        <v>1</v>
      </c>
      <c r="J348" s="711"/>
      <c r="K348" s="24">
        <f t="shared" si="68"/>
        <v>1</v>
      </c>
      <c r="L348" s="711"/>
      <c r="M348" s="24">
        <f t="shared" si="69"/>
        <v>1</v>
      </c>
      <c r="N348" s="711"/>
      <c r="O348" s="24">
        <f t="shared" si="70"/>
        <v>1</v>
      </c>
      <c r="P348" s="711"/>
      <c r="Q348" s="24">
        <f t="shared" si="71"/>
        <v>1</v>
      </c>
      <c r="R348" s="707">
        <f t="shared" si="72"/>
        <v>0</v>
      </c>
      <c r="S348" s="352">
        <f t="shared" si="63"/>
        <v>0</v>
      </c>
    </row>
    <row r="349" spans="1:19">
      <c r="A349" s="150"/>
      <c r="B349" s="58"/>
      <c r="C349" s="24">
        <f t="shared" si="64"/>
        <v>1</v>
      </c>
      <c r="D349" s="711"/>
      <c r="E349" s="24">
        <f t="shared" si="65"/>
        <v>1</v>
      </c>
      <c r="F349" s="711"/>
      <c r="G349" s="24">
        <f t="shared" si="66"/>
        <v>1</v>
      </c>
      <c r="H349" s="711"/>
      <c r="I349" s="24">
        <f t="shared" si="67"/>
        <v>1</v>
      </c>
      <c r="J349" s="711"/>
      <c r="K349" s="24">
        <f t="shared" si="68"/>
        <v>1</v>
      </c>
      <c r="L349" s="711"/>
      <c r="M349" s="24">
        <f t="shared" si="69"/>
        <v>1</v>
      </c>
      <c r="N349" s="711"/>
      <c r="O349" s="24">
        <f t="shared" si="70"/>
        <v>1</v>
      </c>
      <c r="P349" s="711"/>
      <c r="Q349" s="24">
        <f t="shared" si="71"/>
        <v>1</v>
      </c>
      <c r="R349" s="707">
        <f t="shared" si="72"/>
        <v>0</v>
      </c>
      <c r="S349" s="352">
        <f t="shared" si="63"/>
        <v>0</v>
      </c>
    </row>
    <row r="350" spans="1:19">
      <c r="A350" s="150"/>
      <c r="B350" s="58"/>
      <c r="C350" s="24">
        <f t="shared" si="64"/>
        <v>1</v>
      </c>
      <c r="D350" s="711"/>
      <c r="E350" s="24">
        <f t="shared" si="65"/>
        <v>1</v>
      </c>
      <c r="F350" s="711"/>
      <c r="G350" s="24">
        <f t="shared" si="66"/>
        <v>1</v>
      </c>
      <c r="H350" s="711"/>
      <c r="I350" s="24">
        <f t="shared" si="67"/>
        <v>1</v>
      </c>
      <c r="J350" s="711"/>
      <c r="K350" s="24">
        <f t="shared" si="68"/>
        <v>1</v>
      </c>
      <c r="L350" s="711"/>
      <c r="M350" s="24">
        <f t="shared" si="69"/>
        <v>1</v>
      </c>
      <c r="N350" s="711"/>
      <c r="O350" s="24">
        <f t="shared" si="70"/>
        <v>1</v>
      </c>
      <c r="P350" s="711"/>
      <c r="Q350" s="24">
        <f t="shared" si="71"/>
        <v>1</v>
      </c>
      <c r="R350" s="707">
        <f t="shared" si="72"/>
        <v>0</v>
      </c>
      <c r="S350" s="352">
        <f t="shared" si="63"/>
        <v>0</v>
      </c>
    </row>
    <row r="351" spans="1:19">
      <c r="A351" s="150"/>
      <c r="B351" s="58"/>
      <c r="C351" s="24">
        <f t="shared" si="64"/>
        <v>1</v>
      </c>
      <c r="D351" s="711"/>
      <c r="E351" s="24">
        <f t="shared" si="65"/>
        <v>1</v>
      </c>
      <c r="F351" s="711"/>
      <c r="G351" s="24">
        <f t="shared" si="66"/>
        <v>1</v>
      </c>
      <c r="H351" s="711"/>
      <c r="I351" s="24">
        <f t="shared" si="67"/>
        <v>1</v>
      </c>
      <c r="J351" s="711"/>
      <c r="K351" s="24">
        <f t="shared" si="68"/>
        <v>1</v>
      </c>
      <c r="L351" s="711"/>
      <c r="M351" s="24">
        <f t="shared" si="69"/>
        <v>1</v>
      </c>
      <c r="N351" s="711"/>
      <c r="O351" s="24">
        <f t="shared" si="70"/>
        <v>1</v>
      </c>
      <c r="P351" s="711"/>
      <c r="Q351" s="24">
        <f t="shared" si="71"/>
        <v>1</v>
      </c>
      <c r="R351" s="707">
        <f t="shared" si="72"/>
        <v>0</v>
      </c>
      <c r="S351" s="352">
        <f t="shared" si="63"/>
        <v>0</v>
      </c>
    </row>
    <row r="352" spans="1:19">
      <c r="A352" s="150"/>
      <c r="B352" s="58"/>
      <c r="C352" s="24">
        <f t="shared" si="64"/>
        <v>1</v>
      </c>
      <c r="D352" s="711"/>
      <c r="E352" s="24">
        <f t="shared" si="65"/>
        <v>1</v>
      </c>
      <c r="F352" s="711"/>
      <c r="G352" s="24">
        <f t="shared" si="66"/>
        <v>1</v>
      </c>
      <c r="H352" s="711"/>
      <c r="I352" s="24">
        <f t="shared" si="67"/>
        <v>1</v>
      </c>
      <c r="J352" s="711"/>
      <c r="K352" s="24">
        <f t="shared" si="68"/>
        <v>1</v>
      </c>
      <c r="L352" s="711"/>
      <c r="M352" s="24">
        <f t="shared" si="69"/>
        <v>1</v>
      </c>
      <c r="N352" s="711"/>
      <c r="O352" s="24">
        <f t="shared" si="70"/>
        <v>1</v>
      </c>
      <c r="P352" s="711"/>
      <c r="Q352" s="24">
        <f t="shared" si="71"/>
        <v>1</v>
      </c>
      <c r="R352" s="707">
        <f t="shared" si="72"/>
        <v>0</v>
      </c>
      <c r="S352" s="352">
        <f t="shared" si="63"/>
        <v>0</v>
      </c>
    </row>
    <row r="353" spans="1:19">
      <c r="A353" s="150"/>
      <c r="B353" s="58"/>
      <c r="C353" s="24">
        <f t="shared" si="64"/>
        <v>1</v>
      </c>
      <c r="D353" s="711"/>
      <c r="E353" s="24">
        <f t="shared" si="65"/>
        <v>1</v>
      </c>
      <c r="F353" s="711"/>
      <c r="G353" s="24">
        <f t="shared" si="66"/>
        <v>1</v>
      </c>
      <c r="H353" s="711"/>
      <c r="I353" s="24">
        <f t="shared" si="67"/>
        <v>1</v>
      </c>
      <c r="J353" s="711"/>
      <c r="K353" s="24">
        <f t="shared" si="68"/>
        <v>1</v>
      </c>
      <c r="L353" s="711"/>
      <c r="M353" s="24">
        <f t="shared" si="69"/>
        <v>1</v>
      </c>
      <c r="N353" s="711"/>
      <c r="O353" s="24">
        <f t="shared" si="70"/>
        <v>1</v>
      </c>
      <c r="P353" s="711"/>
      <c r="Q353" s="24">
        <f t="shared" si="71"/>
        <v>1</v>
      </c>
      <c r="R353" s="707">
        <f t="shared" si="72"/>
        <v>0</v>
      </c>
      <c r="S353" s="352">
        <f t="shared" si="63"/>
        <v>0</v>
      </c>
    </row>
    <row r="354" spans="1:19">
      <c r="A354" s="150"/>
      <c r="B354" s="58"/>
      <c r="C354" s="24">
        <f t="shared" si="64"/>
        <v>1</v>
      </c>
      <c r="D354" s="711"/>
      <c r="E354" s="24">
        <f t="shared" si="65"/>
        <v>1</v>
      </c>
      <c r="F354" s="711"/>
      <c r="G354" s="24">
        <f t="shared" si="66"/>
        <v>1</v>
      </c>
      <c r="H354" s="711"/>
      <c r="I354" s="24">
        <f t="shared" si="67"/>
        <v>1</v>
      </c>
      <c r="J354" s="711"/>
      <c r="K354" s="24">
        <f t="shared" si="68"/>
        <v>1</v>
      </c>
      <c r="L354" s="711"/>
      <c r="M354" s="24">
        <f t="shared" si="69"/>
        <v>1</v>
      </c>
      <c r="N354" s="711"/>
      <c r="O354" s="24">
        <f t="shared" si="70"/>
        <v>1</v>
      </c>
      <c r="P354" s="711"/>
      <c r="Q354" s="24">
        <f t="shared" si="71"/>
        <v>1</v>
      </c>
      <c r="R354" s="707">
        <f t="shared" si="72"/>
        <v>0</v>
      </c>
      <c r="S354" s="352">
        <f t="shared" si="63"/>
        <v>0</v>
      </c>
    </row>
    <row r="355" spans="1:19">
      <c r="A355" s="150"/>
      <c r="B355" s="58"/>
      <c r="C355" s="24">
        <f t="shared" si="64"/>
        <v>1</v>
      </c>
      <c r="D355" s="711"/>
      <c r="E355" s="24">
        <f t="shared" si="65"/>
        <v>1</v>
      </c>
      <c r="F355" s="711"/>
      <c r="G355" s="24">
        <f t="shared" si="66"/>
        <v>1</v>
      </c>
      <c r="H355" s="711"/>
      <c r="I355" s="24">
        <f t="shared" si="67"/>
        <v>1</v>
      </c>
      <c r="J355" s="711"/>
      <c r="K355" s="24">
        <f t="shared" si="68"/>
        <v>1</v>
      </c>
      <c r="L355" s="711"/>
      <c r="M355" s="24">
        <f t="shared" si="69"/>
        <v>1</v>
      </c>
      <c r="N355" s="711"/>
      <c r="O355" s="24">
        <f t="shared" si="70"/>
        <v>1</v>
      </c>
      <c r="P355" s="711"/>
      <c r="Q355" s="24">
        <f t="shared" si="71"/>
        <v>1</v>
      </c>
      <c r="R355" s="707">
        <f t="shared" si="72"/>
        <v>0</v>
      </c>
      <c r="S355" s="352">
        <f t="shared" si="63"/>
        <v>0</v>
      </c>
    </row>
    <row r="356" spans="1:19">
      <c r="A356" s="150"/>
      <c r="B356" s="58"/>
      <c r="C356" s="24">
        <f t="shared" si="64"/>
        <v>1</v>
      </c>
      <c r="D356" s="711"/>
      <c r="E356" s="24">
        <f t="shared" si="65"/>
        <v>1</v>
      </c>
      <c r="F356" s="711"/>
      <c r="G356" s="24">
        <f t="shared" si="66"/>
        <v>1</v>
      </c>
      <c r="H356" s="711"/>
      <c r="I356" s="24">
        <f t="shared" si="67"/>
        <v>1</v>
      </c>
      <c r="J356" s="711"/>
      <c r="K356" s="24">
        <f t="shared" si="68"/>
        <v>1</v>
      </c>
      <c r="L356" s="711"/>
      <c r="M356" s="24">
        <f t="shared" si="69"/>
        <v>1</v>
      </c>
      <c r="N356" s="711"/>
      <c r="O356" s="24">
        <f t="shared" si="70"/>
        <v>1</v>
      </c>
      <c r="P356" s="711"/>
      <c r="Q356" s="24">
        <f t="shared" si="71"/>
        <v>1</v>
      </c>
      <c r="R356" s="707">
        <f t="shared" si="72"/>
        <v>0</v>
      </c>
      <c r="S356" s="352">
        <f t="shared" si="63"/>
        <v>0</v>
      </c>
    </row>
    <row r="357" spans="1:19">
      <c r="A357" s="150"/>
      <c r="B357" s="58"/>
      <c r="C357" s="24">
        <f t="shared" si="64"/>
        <v>1</v>
      </c>
      <c r="D357" s="711"/>
      <c r="E357" s="24">
        <f t="shared" si="65"/>
        <v>1</v>
      </c>
      <c r="F357" s="711"/>
      <c r="G357" s="24">
        <f t="shared" si="66"/>
        <v>1</v>
      </c>
      <c r="H357" s="711"/>
      <c r="I357" s="24">
        <f t="shared" si="67"/>
        <v>1</v>
      </c>
      <c r="J357" s="711"/>
      <c r="K357" s="24">
        <f t="shared" si="68"/>
        <v>1</v>
      </c>
      <c r="L357" s="711"/>
      <c r="M357" s="24">
        <f t="shared" si="69"/>
        <v>1</v>
      </c>
      <c r="N357" s="711"/>
      <c r="O357" s="24">
        <f t="shared" si="70"/>
        <v>1</v>
      </c>
      <c r="P357" s="711"/>
      <c r="Q357" s="24">
        <f t="shared" si="71"/>
        <v>1</v>
      </c>
      <c r="R357" s="707">
        <f t="shared" si="72"/>
        <v>0</v>
      </c>
      <c r="S357" s="352">
        <f t="shared" si="63"/>
        <v>0</v>
      </c>
    </row>
    <row r="358" spans="1:19">
      <c r="A358" s="150"/>
      <c r="B358" s="58"/>
      <c r="C358" s="24">
        <f t="shared" si="64"/>
        <v>1</v>
      </c>
      <c r="D358" s="711"/>
      <c r="E358" s="24">
        <f t="shared" si="65"/>
        <v>1</v>
      </c>
      <c r="F358" s="711"/>
      <c r="G358" s="24">
        <f t="shared" si="66"/>
        <v>1</v>
      </c>
      <c r="H358" s="711"/>
      <c r="I358" s="24">
        <f t="shared" si="67"/>
        <v>1</v>
      </c>
      <c r="J358" s="711"/>
      <c r="K358" s="24">
        <f t="shared" si="68"/>
        <v>1</v>
      </c>
      <c r="L358" s="711"/>
      <c r="M358" s="24">
        <f t="shared" si="69"/>
        <v>1</v>
      </c>
      <c r="N358" s="711"/>
      <c r="O358" s="24">
        <f t="shared" si="70"/>
        <v>1</v>
      </c>
      <c r="P358" s="711"/>
      <c r="Q358" s="24">
        <f t="shared" si="71"/>
        <v>1</v>
      </c>
      <c r="R358" s="707">
        <f t="shared" si="72"/>
        <v>0</v>
      </c>
      <c r="S358" s="352">
        <f t="shared" si="63"/>
        <v>0</v>
      </c>
    </row>
    <row r="359" spans="1:19">
      <c r="A359" s="150"/>
      <c r="B359" s="58"/>
      <c r="C359" s="24">
        <f t="shared" si="64"/>
        <v>1</v>
      </c>
      <c r="D359" s="711"/>
      <c r="E359" s="24">
        <f t="shared" si="65"/>
        <v>1</v>
      </c>
      <c r="F359" s="711"/>
      <c r="G359" s="24">
        <f t="shared" si="66"/>
        <v>1</v>
      </c>
      <c r="H359" s="711"/>
      <c r="I359" s="24">
        <f t="shared" si="67"/>
        <v>1</v>
      </c>
      <c r="J359" s="711"/>
      <c r="K359" s="24">
        <f t="shared" si="68"/>
        <v>1</v>
      </c>
      <c r="L359" s="711"/>
      <c r="M359" s="24">
        <f t="shared" si="69"/>
        <v>1</v>
      </c>
      <c r="N359" s="711"/>
      <c r="O359" s="24">
        <f t="shared" si="70"/>
        <v>1</v>
      </c>
      <c r="P359" s="711"/>
      <c r="Q359" s="24">
        <f t="shared" si="71"/>
        <v>1</v>
      </c>
      <c r="R359" s="707">
        <f t="shared" si="72"/>
        <v>0</v>
      </c>
      <c r="S359" s="352">
        <f t="shared" si="63"/>
        <v>0</v>
      </c>
    </row>
    <row r="360" spans="1:19">
      <c r="A360" s="150"/>
      <c r="B360" s="58"/>
      <c r="C360" s="24">
        <f t="shared" si="64"/>
        <v>1</v>
      </c>
      <c r="D360" s="711"/>
      <c r="E360" s="24">
        <f t="shared" si="65"/>
        <v>1</v>
      </c>
      <c r="F360" s="711"/>
      <c r="G360" s="24">
        <f t="shared" si="66"/>
        <v>1</v>
      </c>
      <c r="H360" s="711"/>
      <c r="I360" s="24">
        <f t="shared" si="67"/>
        <v>1</v>
      </c>
      <c r="J360" s="711"/>
      <c r="K360" s="24">
        <f t="shared" si="68"/>
        <v>1</v>
      </c>
      <c r="L360" s="711"/>
      <c r="M360" s="24">
        <f t="shared" si="69"/>
        <v>1</v>
      </c>
      <c r="N360" s="711"/>
      <c r="O360" s="24">
        <f t="shared" si="70"/>
        <v>1</v>
      </c>
      <c r="P360" s="711"/>
      <c r="Q360" s="24">
        <f t="shared" si="71"/>
        <v>1</v>
      </c>
      <c r="R360" s="707">
        <f t="shared" si="72"/>
        <v>0</v>
      </c>
      <c r="S360" s="352">
        <f t="shared" si="63"/>
        <v>0</v>
      </c>
    </row>
    <row r="361" spans="1:19">
      <c r="A361" s="150"/>
      <c r="B361" s="58"/>
      <c r="C361" s="24">
        <f t="shared" si="64"/>
        <v>1</v>
      </c>
      <c r="D361" s="711"/>
      <c r="E361" s="24">
        <f t="shared" si="65"/>
        <v>1</v>
      </c>
      <c r="F361" s="711"/>
      <c r="G361" s="24">
        <f t="shared" si="66"/>
        <v>1</v>
      </c>
      <c r="H361" s="711"/>
      <c r="I361" s="24">
        <f t="shared" si="67"/>
        <v>1</v>
      </c>
      <c r="J361" s="711"/>
      <c r="K361" s="24">
        <f t="shared" si="68"/>
        <v>1</v>
      </c>
      <c r="L361" s="711"/>
      <c r="M361" s="24">
        <f t="shared" si="69"/>
        <v>1</v>
      </c>
      <c r="N361" s="711"/>
      <c r="O361" s="24">
        <f t="shared" si="70"/>
        <v>1</v>
      </c>
      <c r="P361" s="711"/>
      <c r="Q361" s="24">
        <f t="shared" si="71"/>
        <v>1</v>
      </c>
      <c r="R361" s="707">
        <f t="shared" si="72"/>
        <v>0</v>
      </c>
      <c r="S361" s="352">
        <f t="shared" si="63"/>
        <v>0</v>
      </c>
    </row>
    <row r="362" spans="1:19">
      <c r="A362" s="150"/>
      <c r="B362" s="58"/>
      <c r="C362" s="24">
        <f t="shared" si="64"/>
        <v>1</v>
      </c>
      <c r="D362" s="711"/>
      <c r="E362" s="24">
        <f t="shared" si="65"/>
        <v>1</v>
      </c>
      <c r="F362" s="711"/>
      <c r="G362" s="24">
        <f t="shared" si="66"/>
        <v>1</v>
      </c>
      <c r="H362" s="711"/>
      <c r="I362" s="24">
        <f t="shared" si="67"/>
        <v>1</v>
      </c>
      <c r="J362" s="711"/>
      <c r="K362" s="24">
        <f t="shared" si="68"/>
        <v>1</v>
      </c>
      <c r="L362" s="711"/>
      <c r="M362" s="24">
        <f t="shared" si="69"/>
        <v>1</v>
      </c>
      <c r="N362" s="711"/>
      <c r="O362" s="24">
        <f t="shared" si="70"/>
        <v>1</v>
      </c>
      <c r="P362" s="711"/>
      <c r="Q362" s="24">
        <f t="shared" si="71"/>
        <v>1</v>
      </c>
      <c r="R362" s="707">
        <f t="shared" si="72"/>
        <v>0</v>
      </c>
      <c r="S362" s="352">
        <f t="shared" si="63"/>
        <v>0</v>
      </c>
    </row>
    <row r="363" spans="1:19">
      <c r="A363" s="150"/>
      <c r="B363" s="58"/>
      <c r="C363" s="24">
        <f t="shared" si="64"/>
        <v>1</v>
      </c>
      <c r="D363" s="711"/>
      <c r="E363" s="24">
        <f t="shared" si="65"/>
        <v>1</v>
      </c>
      <c r="F363" s="711"/>
      <c r="G363" s="24">
        <f t="shared" si="66"/>
        <v>1</v>
      </c>
      <c r="H363" s="711"/>
      <c r="I363" s="24">
        <f t="shared" si="67"/>
        <v>1</v>
      </c>
      <c r="J363" s="711"/>
      <c r="K363" s="24">
        <f t="shared" si="68"/>
        <v>1</v>
      </c>
      <c r="L363" s="711"/>
      <c r="M363" s="24">
        <f t="shared" si="69"/>
        <v>1</v>
      </c>
      <c r="N363" s="711"/>
      <c r="O363" s="24">
        <f t="shared" si="70"/>
        <v>1</v>
      </c>
      <c r="P363" s="711"/>
      <c r="Q363" s="24">
        <f t="shared" si="71"/>
        <v>1</v>
      </c>
      <c r="R363" s="707">
        <f t="shared" si="72"/>
        <v>0</v>
      </c>
      <c r="S363" s="352">
        <f t="shared" si="63"/>
        <v>0</v>
      </c>
    </row>
    <row r="364" spans="1:19">
      <c r="A364" s="150"/>
      <c r="B364" s="58"/>
      <c r="C364" s="24">
        <f t="shared" si="64"/>
        <v>1</v>
      </c>
      <c r="D364" s="711"/>
      <c r="E364" s="24">
        <f t="shared" si="65"/>
        <v>1</v>
      </c>
      <c r="F364" s="711"/>
      <c r="G364" s="24">
        <f t="shared" si="66"/>
        <v>1</v>
      </c>
      <c r="H364" s="711"/>
      <c r="I364" s="24">
        <f t="shared" si="67"/>
        <v>1</v>
      </c>
      <c r="J364" s="711"/>
      <c r="K364" s="24">
        <f t="shared" si="68"/>
        <v>1</v>
      </c>
      <c r="L364" s="711"/>
      <c r="M364" s="24">
        <f t="shared" si="69"/>
        <v>1</v>
      </c>
      <c r="N364" s="711"/>
      <c r="O364" s="24">
        <f t="shared" si="70"/>
        <v>1</v>
      </c>
      <c r="P364" s="711"/>
      <c r="Q364" s="24">
        <f t="shared" si="71"/>
        <v>1</v>
      </c>
      <c r="R364" s="707">
        <f t="shared" si="72"/>
        <v>0</v>
      </c>
      <c r="S364" s="352">
        <f t="shared" si="63"/>
        <v>0</v>
      </c>
    </row>
    <row r="365" spans="1:19">
      <c r="A365" s="150"/>
      <c r="B365" s="58"/>
      <c r="C365" s="24">
        <f t="shared" si="64"/>
        <v>1</v>
      </c>
      <c r="D365" s="711"/>
      <c r="E365" s="24">
        <f t="shared" si="65"/>
        <v>1</v>
      </c>
      <c r="F365" s="711"/>
      <c r="G365" s="24">
        <f t="shared" si="66"/>
        <v>1</v>
      </c>
      <c r="H365" s="711"/>
      <c r="I365" s="24">
        <f t="shared" si="67"/>
        <v>1</v>
      </c>
      <c r="J365" s="711"/>
      <c r="K365" s="24">
        <f t="shared" si="68"/>
        <v>1</v>
      </c>
      <c r="L365" s="711"/>
      <c r="M365" s="24">
        <f t="shared" si="69"/>
        <v>1</v>
      </c>
      <c r="N365" s="711"/>
      <c r="O365" s="24">
        <f t="shared" si="70"/>
        <v>1</v>
      </c>
      <c r="P365" s="711"/>
      <c r="Q365" s="24">
        <f t="shared" si="71"/>
        <v>1</v>
      </c>
      <c r="R365" s="707">
        <f t="shared" si="72"/>
        <v>0</v>
      </c>
      <c r="S365" s="352">
        <f t="shared" si="63"/>
        <v>0</v>
      </c>
    </row>
    <row r="366" spans="1:19">
      <c r="A366" s="150"/>
      <c r="B366" s="58"/>
      <c r="C366" s="24">
        <f t="shared" si="64"/>
        <v>1</v>
      </c>
      <c r="D366" s="711"/>
      <c r="E366" s="24">
        <f t="shared" si="65"/>
        <v>1</v>
      </c>
      <c r="F366" s="711"/>
      <c r="G366" s="24">
        <f t="shared" si="66"/>
        <v>1</v>
      </c>
      <c r="H366" s="711"/>
      <c r="I366" s="24">
        <f t="shared" si="67"/>
        <v>1</v>
      </c>
      <c r="J366" s="711"/>
      <c r="K366" s="24">
        <f t="shared" si="68"/>
        <v>1</v>
      </c>
      <c r="L366" s="711"/>
      <c r="M366" s="24">
        <f t="shared" si="69"/>
        <v>1</v>
      </c>
      <c r="N366" s="711"/>
      <c r="O366" s="24">
        <f t="shared" si="70"/>
        <v>1</v>
      </c>
      <c r="P366" s="711"/>
      <c r="Q366" s="24">
        <f t="shared" si="71"/>
        <v>1</v>
      </c>
      <c r="R366" s="707">
        <f t="shared" si="72"/>
        <v>0</v>
      </c>
      <c r="S366" s="352">
        <f t="shared" si="63"/>
        <v>0</v>
      </c>
    </row>
    <row r="367" spans="1:19">
      <c r="A367" s="150"/>
      <c r="B367" s="58"/>
      <c r="C367" s="24">
        <f t="shared" si="64"/>
        <v>1</v>
      </c>
      <c r="D367" s="711"/>
      <c r="E367" s="24">
        <f t="shared" si="65"/>
        <v>1</v>
      </c>
      <c r="F367" s="711"/>
      <c r="G367" s="24">
        <f t="shared" si="66"/>
        <v>1</v>
      </c>
      <c r="H367" s="711"/>
      <c r="I367" s="24">
        <f t="shared" si="67"/>
        <v>1</v>
      </c>
      <c r="J367" s="711"/>
      <c r="K367" s="24">
        <f t="shared" si="68"/>
        <v>1</v>
      </c>
      <c r="L367" s="711"/>
      <c r="M367" s="24">
        <f t="shared" si="69"/>
        <v>1</v>
      </c>
      <c r="N367" s="711"/>
      <c r="O367" s="24">
        <f t="shared" si="70"/>
        <v>1</v>
      </c>
      <c r="P367" s="711"/>
      <c r="Q367" s="24">
        <f t="shared" si="71"/>
        <v>1</v>
      </c>
      <c r="R367" s="707">
        <f t="shared" si="72"/>
        <v>0</v>
      </c>
      <c r="S367" s="352">
        <f t="shared" si="63"/>
        <v>0</v>
      </c>
    </row>
    <row r="368" spans="1:19">
      <c r="A368" s="150"/>
      <c r="B368" s="58"/>
      <c r="C368" s="24">
        <f t="shared" si="64"/>
        <v>1</v>
      </c>
      <c r="D368" s="711"/>
      <c r="E368" s="24">
        <f t="shared" si="65"/>
        <v>1</v>
      </c>
      <c r="F368" s="711"/>
      <c r="G368" s="24">
        <f t="shared" si="66"/>
        <v>1</v>
      </c>
      <c r="H368" s="711"/>
      <c r="I368" s="24">
        <f t="shared" si="67"/>
        <v>1</v>
      </c>
      <c r="J368" s="711"/>
      <c r="K368" s="24">
        <f t="shared" si="68"/>
        <v>1</v>
      </c>
      <c r="L368" s="711"/>
      <c r="M368" s="24">
        <f t="shared" si="69"/>
        <v>1</v>
      </c>
      <c r="N368" s="711"/>
      <c r="O368" s="24">
        <f t="shared" si="70"/>
        <v>1</v>
      </c>
      <c r="P368" s="711"/>
      <c r="Q368" s="24">
        <f t="shared" si="71"/>
        <v>1</v>
      </c>
      <c r="R368" s="707">
        <f t="shared" si="72"/>
        <v>0</v>
      </c>
      <c r="S368" s="352">
        <f t="shared" si="63"/>
        <v>0</v>
      </c>
    </row>
    <row r="369" spans="1:19">
      <c r="A369" s="150"/>
      <c r="B369" s="58"/>
      <c r="C369" s="24">
        <f t="shared" si="64"/>
        <v>1</v>
      </c>
      <c r="D369" s="711"/>
      <c r="E369" s="24">
        <f t="shared" si="65"/>
        <v>1</v>
      </c>
      <c r="F369" s="711"/>
      <c r="G369" s="24">
        <f t="shared" si="66"/>
        <v>1</v>
      </c>
      <c r="H369" s="711"/>
      <c r="I369" s="24">
        <f t="shared" si="67"/>
        <v>1</v>
      </c>
      <c r="J369" s="711"/>
      <c r="K369" s="24">
        <f t="shared" si="68"/>
        <v>1</v>
      </c>
      <c r="L369" s="711"/>
      <c r="M369" s="24">
        <f t="shared" si="69"/>
        <v>1</v>
      </c>
      <c r="N369" s="711"/>
      <c r="O369" s="24">
        <f t="shared" si="70"/>
        <v>1</v>
      </c>
      <c r="P369" s="711"/>
      <c r="Q369" s="24">
        <f t="shared" si="71"/>
        <v>1</v>
      </c>
      <c r="R369" s="707">
        <f t="shared" si="72"/>
        <v>0</v>
      </c>
      <c r="S369" s="352">
        <f t="shared" si="63"/>
        <v>0</v>
      </c>
    </row>
    <row r="370" spans="1:19">
      <c r="A370" s="150"/>
      <c r="B370" s="58"/>
      <c r="C370" s="24">
        <f t="shared" si="64"/>
        <v>1</v>
      </c>
      <c r="D370" s="711"/>
      <c r="E370" s="24">
        <f t="shared" si="65"/>
        <v>1</v>
      </c>
      <c r="F370" s="711"/>
      <c r="G370" s="24">
        <f t="shared" si="66"/>
        <v>1</v>
      </c>
      <c r="H370" s="711"/>
      <c r="I370" s="24">
        <f t="shared" si="67"/>
        <v>1</v>
      </c>
      <c r="J370" s="711"/>
      <c r="K370" s="24">
        <f t="shared" si="68"/>
        <v>1</v>
      </c>
      <c r="L370" s="711"/>
      <c r="M370" s="24">
        <f t="shared" si="69"/>
        <v>1</v>
      </c>
      <c r="N370" s="711"/>
      <c r="O370" s="24">
        <f t="shared" si="70"/>
        <v>1</v>
      </c>
      <c r="P370" s="711"/>
      <c r="Q370" s="24">
        <f t="shared" si="71"/>
        <v>1</v>
      </c>
      <c r="R370" s="707">
        <f t="shared" si="72"/>
        <v>0</v>
      </c>
      <c r="S370" s="352">
        <f t="shared" si="63"/>
        <v>0</v>
      </c>
    </row>
    <row r="371" spans="1:19">
      <c r="A371" s="150"/>
      <c r="B371" s="58"/>
      <c r="C371" s="24">
        <f t="shared" si="64"/>
        <v>1</v>
      </c>
      <c r="D371" s="711"/>
      <c r="E371" s="24">
        <f t="shared" si="65"/>
        <v>1</v>
      </c>
      <c r="F371" s="711"/>
      <c r="G371" s="24">
        <f t="shared" si="66"/>
        <v>1</v>
      </c>
      <c r="H371" s="711"/>
      <c r="I371" s="24">
        <f t="shared" si="67"/>
        <v>1</v>
      </c>
      <c r="J371" s="711"/>
      <c r="K371" s="24">
        <f t="shared" si="68"/>
        <v>1</v>
      </c>
      <c r="L371" s="711"/>
      <c r="M371" s="24">
        <f t="shared" si="69"/>
        <v>1</v>
      </c>
      <c r="N371" s="711"/>
      <c r="O371" s="24">
        <f t="shared" si="70"/>
        <v>1</v>
      </c>
      <c r="P371" s="711"/>
      <c r="Q371" s="24">
        <f t="shared" si="71"/>
        <v>1</v>
      </c>
      <c r="R371" s="707">
        <f t="shared" si="72"/>
        <v>0</v>
      </c>
      <c r="S371" s="352">
        <f t="shared" si="63"/>
        <v>0</v>
      </c>
    </row>
    <row r="372" spans="1:19">
      <c r="A372" s="150"/>
      <c r="B372" s="58"/>
      <c r="C372" s="24">
        <f t="shared" si="64"/>
        <v>1</v>
      </c>
      <c r="D372" s="711"/>
      <c r="E372" s="24">
        <f t="shared" si="65"/>
        <v>1</v>
      </c>
      <c r="F372" s="711"/>
      <c r="G372" s="24">
        <f t="shared" si="66"/>
        <v>1</v>
      </c>
      <c r="H372" s="711"/>
      <c r="I372" s="24">
        <f t="shared" si="67"/>
        <v>1</v>
      </c>
      <c r="J372" s="711"/>
      <c r="K372" s="24">
        <f t="shared" si="68"/>
        <v>1</v>
      </c>
      <c r="L372" s="711"/>
      <c r="M372" s="24">
        <f t="shared" si="69"/>
        <v>1</v>
      </c>
      <c r="N372" s="711"/>
      <c r="O372" s="24">
        <f t="shared" si="70"/>
        <v>1</v>
      </c>
      <c r="P372" s="711"/>
      <c r="Q372" s="24">
        <f t="shared" si="71"/>
        <v>1</v>
      </c>
      <c r="R372" s="707">
        <f t="shared" si="72"/>
        <v>0</v>
      </c>
      <c r="S372" s="352">
        <f t="shared" si="63"/>
        <v>0</v>
      </c>
    </row>
    <row r="373" spans="1:19">
      <c r="A373" s="150"/>
      <c r="B373" s="58"/>
      <c r="C373" s="24">
        <f t="shared" si="64"/>
        <v>1</v>
      </c>
      <c r="D373" s="711"/>
      <c r="E373" s="24">
        <f t="shared" si="65"/>
        <v>1</v>
      </c>
      <c r="F373" s="711"/>
      <c r="G373" s="24">
        <f t="shared" si="66"/>
        <v>1</v>
      </c>
      <c r="H373" s="711"/>
      <c r="I373" s="24">
        <f t="shared" si="67"/>
        <v>1</v>
      </c>
      <c r="J373" s="711"/>
      <c r="K373" s="24">
        <f t="shared" si="68"/>
        <v>1</v>
      </c>
      <c r="L373" s="711"/>
      <c r="M373" s="24">
        <f t="shared" si="69"/>
        <v>1</v>
      </c>
      <c r="N373" s="711"/>
      <c r="O373" s="24">
        <f t="shared" si="70"/>
        <v>1</v>
      </c>
      <c r="P373" s="711"/>
      <c r="Q373" s="24">
        <f t="shared" si="71"/>
        <v>1</v>
      </c>
      <c r="R373" s="707">
        <f t="shared" si="72"/>
        <v>0</v>
      </c>
      <c r="S373" s="352">
        <f t="shared" si="63"/>
        <v>0</v>
      </c>
    </row>
    <row r="374" spans="1:19">
      <c r="A374" s="150"/>
      <c r="B374" s="58"/>
      <c r="C374" s="24">
        <f t="shared" si="64"/>
        <v>1</v>
      </c>
      <c r="D374" s="711"/>
      <c r="E374" s="24">
        <f t="shared" si="65"/>
        <v>1</v>
      </c>
      <c r="F374" s="711"/>
      <c r="G374" s="24">
        <f t="shared" si="66"/>
        <v>1</v>
      </c>
      <c r="H374" s="711"/>
      <c r="I374" s="24">
        <f t="shared" si="67"/>
        <v>1</v>
      </c>
      <c r="J374" s="711"/>
      <c r="K374" s="24">
        <f t="shared" si="68"/>
        <v>1</v>
      </c>
      <c r="L374" s="711"/>
      <c r="M374" s="24">
        <f t="shared" si="69"/>
        <v>1</v>
      </c>
      <c r="N374" s="711"/>
      <c r="O374" s="24">
        <f t="shared" si="70"/>
        <v>1</v>
      </c>
      <c r="P374" s="711"/>
      <c r="Q374" s="24">
        <f t="shared" si="71"/>
        <v>1</v>
      </c>
      <c r="R374" s="707">
        <f t="shared" si="72"/>
        <v>0</v>
      </c>
      <c r="S374" s="352">
        <f t="shared" si="63"/>
        <v>0</v>
      </c>
    </row>
    <row r="375" spans="1:19">
      <c r="A375" s="150"/>
      <c r="B375" s="58"/>
      <c r="C375" s="24">
        <f t="shared" si="64"/>
        <v>1</v>
      </c>
      <c r="D375" s="711"/>
      <c r="E375" s="24">
        <f t="shared" si="65"/>
        <v>1</v>
      </c>
      <c r="F375" s="711"/>
      <c r="G375" s="24">
        <f t="shared" si="66"/>
        <v>1</v>
      </c>
      <c r="H375" s="711"/>
      <c r="I375" s="24">
        <f t="shared" si="67"/>
        <v>1</v>
      </c>
      <c r="J375" s="711"/>
      <c r="K375" s="24">
        <f t="shared" si="68"/>
        <v>1</v>
      </c>
      <c r="L375" s="711"/>
      <c r="M375" s="24">
        <f t="shared" si="69"/>
        <v>1</v>
      </c>
      <c r="N375" s="711"/>
      <c r="O375" s="24">
        <f t="shared" si="70"/>
        <v>1</v>
      </c>
      <c r="P375" s="711"/>
      <c r="Q375" s="24">
        <f t="shared" si="71"/>
        <v>1</v>
      </c>
      <c r="R375" s="707">
        <f t="shared" si="72"/>
        <v>0</v>
      </c>
      <c r="S375" s="352">
        <f t="shared" si="63"/>
        <v>0</v>
      </c>
    </row>
    <row r="376" spans="1:19">
      <c r="A376" s="150"/>
      <c r="B376" s="58"/>
      <c r="C376" s="24">
        <f t="shared" si="64"/>
        <v>1</v>
      </c>
      <c r="D376" s="711"/>
      <c r="E376" s="24">
        <f t="shared" si="65"/>
        <v>1</v>
      </c>
      <c r="F376" s="711"/>
      <c r="G376" s="24">
        <f t="shared" si="66"/>
        <v>1</v>
      </c>
      <c r="H376" s="711"/>
      <c r="I376" s="24">
        <f t="shared" si="67"/>
        <v>1</v>
      </c>
      <c r="J376" s="711"/>
      <c r="K376" s="24">
        <f t="shared" si="68"/>
        <v>1</v>
      </c>
      <c r="L376" s="711"/>
      <c r="M376" s="24">
        <f t="shared" si="69"/>
        <v>1</v>
      </c>
      <c r="N376" s="711"/>
      <c r="O376" s="24">
        <f t="shared" si="70"/>
        <v>1</v>
      </c>
      <c r="P376" s="711"/>
      <c r="Q376" s="24">
        <f t="shared" si="71"/>
        <v>1</v>
      </c>
      <c r="R376" s="707">
        <f t="shared" si="72"/>
        <v>0</v>
      </c>
      <c r="S376" s="352">
        <f t="shared" si="63"/>
        <v>0</v>
      </c>
    </row>
    <row r="377" spans="1:19">
      <c r="A377" s="150"/>
      <c r="B377" s="58"/>
      <c r="C377" s="24">
        <f t="shared" si="64"/>
        <v>1</v>
      </c>
      <c r="D377" s="711"/>
      <c r="E377" s="24">
        <f t="shared" si="65"/>
        <v>1</v>
      </c>
      <c r="F377" s="711"/>
      <c r="G377" s="24">
        <f t="shared" si="66"/>
        <v>1</v>
      </c>
      <c r="H377" s="711"/>
      <c r="I377" s="24">
        <f t="shared" si="67"/>
        <v>1</v>
      </c>
      <c r="J377" s="711"/>
      <c r="K377" s="24">
        <f t="shared" si="68"/>
        <v>1</v>
      </c>
      <c r="L377" s="711"/>
      <c r="M377" s="24">
        <f t="shared" si="69"/>
        <v>1</v>
      </c>
      <c r="N377" s="711"/>
      <c r="O377" s="24">
        <f t="shared" si="70"/>
        <v>1</v>
      </c>
      <c r="P377" s="711"/>
      <c r="Q377" s="24">
        <f t="shared" si="71"/>
        <v>1</v>
      </c>
      <c r="R377" s="707">
        <f t="shared" si="72"/>
        <v>0</v>
      </c>
      <c r="S377" s="352">
        <f t="shared" si="63"/>
        <v>0</v>
      </c>
    </row>
    <row r="378" spans="1:19">
      <c r="A378" s="150"/>
      <c r="B378" s="58"/>
      <c r="C378" s="24">
        <f t="shared" si="64"/>
        <v>1</v>
      </c>
      <c r="D378" s="711"/>
      <c r="E378" s="24">
        <f t="shared" si="65"/>
        <v>1</v>
      </c>
      <c r="F378" s="711"/>
      <c r="G378" s="24">
        <f t="shared" si="66"/>
        <v>1</v>
      </c>
      <c r="H378" s="711"/>
      <c r="I378" s="24">
        <f t="shared" si="67"/>
        <v>1</v>
      </c>
      <c r="J378" s="711"/>
      <c r="K378" s="24">
        <f t="shared" si="68"/>
        <v>1</v>
      </c>
      <c r="L378" s="711"/>
      <c r="M378" s="24">
        <f t="shared" si="69"/>
        <v>1</v>
      </c>
      <c r="N378" s="711"/>
      <c r="O378" s="24">
        <f t="shared" si="70"/>
        <v>1</v>
      </c>
      <c r="P378" s="711"/>
      <c r="Q378" s="24">
        <f t="shared" si="71"/>
        <v>1</v>
      </c>
      <c r="R378" s="707">
        <f t="shared" si="72"/>
        <v>0</v>
      </c>
      <c r="S378" s="352">
        <f t="shared" si="63"/>
        <v>0</v>
      </c>
    </row>
    <row r="379" spans="1:19">
      <c r="A379" s="150"/>
      <c r="B379" s="58"/>
      <c r="C379" s="24">
        <f t="shared" si="64"/>
        <v>1</v>
      </c>
      <c r="D379" s="711"/>
      <c r="E379" s="24">
        <f t="shared" si="65"/>
        <v>1</v>
      </c>
      <c r="F379" s="711"/>
      <c r="G379" s="24">
        <f t="shared" si="66"/>
        <v>1</v>
      </c>
      <c r="H379" s="711"/>
      <c r="I379" s="24">
        <f t="shared" si="67"/>
        <v>1</v>
      </c>
      <c r="J379" s="711"/>
      <c r="K379" s="24">
        <f t="shared" si="68"/>
        <v>1</v>
      </c>
      <c r="L379" s="711"/>
      <c r="M379" s="24">
        <f t="shared" si="69"/>
        <v>1</v>
      </c>
      <c r="N379" s="711"/>
      <c r="O379" s="24">
        <f t="shared" si="70"/>
        <v>1</v>
      </c>
      <c r="P379" s="711"/>
      <c r="Q379" s="24">
        <f t="shared" si="71"/>
        <v>1</v>
      </c>
      <c r="R379" s="707">
        <f t="shared" si="72"/>
        <v>0</v>
      </c>
      <c r="S379" s="352">
        <f t="shared" si="63"/>
        <v>0</v>
      </c>
    </row>
    <row r="380" spans="1:19">
      <c r="A380" s="150"/>
      <c r="B380" s="58"/>
      <c r="C380" s="24">
        <f t="shared" si="64"/>
        <v>1</v>
      </c>
      <c r="D380" s="711"/>
      <c r="E380" s="24">
        <f t="shared" si="65"/>
        <v>1</v>
      </c>
      <c r="F380" s="711"/>
      <c r="G380" s="24">
        <f t="shared" si="66"/>
        <v>1</v>
      </c>
      <c r="H380" s="711"/>
      <c r="I380" s="24">
        <f t="shared" si="67"/>
        <v>1</v>
      </c>
      <c r="J380" s="711"/>
      <c r="K380" s="24">
        <f t="shared" si="68"/>
        <v>1</v>
      </c>
      <c r="L380" s="711"/>
      <c r="M380" s="24">
        <f t="shared" si="69"/>
        <v>1</v>
      </c>
      <c r="N380" s="711"/>
      <c r="O380" s="24">
        <f t="shared" si="70"/>
        <v>1</v>
      </c>
      <c r="P380" s="711"/>
      <c r="Q380" s="24">
        <f t="shared" si="71"/>
        <v>1</v>
      </c>
      <c r="R380" s="707">
        <f t="shared" si="72"/>
        <v>0</v>
      </c>
      <c r="S380" s="352">
        <f t="shared" si="63"/>
        <v>0</v>
      </c>
    </row>
    <row r="381" spans="1:19">
      <c r="A381" s="150"/>
      <c r="B381" s="58"/>
      <c r="C381" s="24">
        <f t="shared" si="64"/>
        <v>1</v>
      </c>
      <c r="D381" s="711"/>
      <c r="E381" s="24">
        <f t="shared" si="65"/>
        <v>1</v>
      </c>
      <c r="F381" s="711"/>
      <c r="G381" s="24">
        <f t="shared" si="66"/>
        <v>1</v>
      </c>
      <c r="H381" s="711"/>
      <c r="I381" s="24">
        <f t="shared" si="67"/>
        <v>1</v>
      </c>
      <c r="J381" s="711"/>
      <c r="K381" s="24">
        <f t="shared" si="68"/>
        <v>1</v>
      </c>
      <c r="L381" s="711"/>
      <c r="M381" s="24">
        <f t="shared" si="69"/>
        <v>1</v>
      </c>
      <c r="N381" s="711"/>
      <c r="O381" s="24">
        <f t="shared" si="70"/>
        <v>1</v>
      </c>
      <c r="P381" s="711"/>
      <c r="Q381" s="24">
        <f t="shared" si="71"/>
        <v>1</v>
      </c>
      <c r="R381" s="707">
        <f t="shared" si="72"/>
        <v>0</v>
      </c>
      <c r="S381" s="352">
        <f t="shared" si="63"/>
        <v>0</v>
      </c>
    </row>
    <row r="382" spans="1:19">
      <c r="A382" s="150"/>
      <c r="B382" s="58"/>
      <c r="C382" s="24">
        <f t="shared" si="64"/>
        <v>1</v>
      </c>
      <c r="D382" s="711"/>
      <c r="E382" s="24">
        <f t="shared" si="65"/>
        <v>1</v>
      </c>
      <c r="F382" s="711"/>
      <c r="G382" s="24">
        <f t="shared" si="66"/>
        <v>1</v>
      </c>
      <c r="H382" s="711"/>
      <c r="I382" s="24">
        <f t="shared" si="67"/>
        <v>1</v>
      </c>
      <c r="J382" s="711"/>
      <c r="K382" s="24">
        <f t="shared" si="68"/>
        <v>1</v>
      </c>
      <c r="L382" s="711"/>
      <c r="M382" s="24">
        <f t="shared" si="69"/>
        <v>1</v>
      </c>
      <c r="N382" s="711"/>
      <c r="O382" s="24">
        <f t="shared" si="70"/>
        <v>1</v>
      </c>
      <c r="P382" s="711"/>
      <c r="Q382" s="24">
        <f t="shared" si="71"/>
        <v>1</v>
      </c>
      <c r="R382" s="707">
        <f t="shared" si="72"/>
        <v>0</v>
      </c>
      <c r="S382" s="352">
        <f t="shared" si="63"/>
        <v>0</v>
      </c>
    </row>
    <row r="383" spans="1:19">
      <c r="A383" s="150"/>
      <c r="B383" s="58"/>
      <c r="C383" s="24">
        <f t="shared" si="64"/>
        <v>1</v>
      </c>
      <c r="D383" s="711"/>
      <c r="E383" s="24">
        <f t="shared" si="65"/>
        <v>1</v>
      </c>
      <c r="F383" s="711"/>
      <c r="G383" s="24">
        <f t="shared" si="66"/>
        <v>1</v>
      </c>
      <c r="H383" s="711"/>
      <c r="I383" s="24">
        <f t="shared" si="67"/>
        <v>1</v>
      </c>
      <c r="J383" s="711"/>
      <c r="K383" s="24">
        <f t="shared" si="68"/>
        <v>1</v>
      </c>
      <c r="L383" s="711"/>
      <c r="M383" s="24">
        <f t="shared" si="69"/>
        <v>1</v>
      </c>
      <c r="N383" s="711"/>
      <c r="O383" s="24">
        <f t="shared" si="70"/>
        <v>1</v>
      </c>
      <c r="P383" s="711"/>
      <c r="Q383" s="24">
        <f t="shared" si="71"/>
        <v>1</v>
      </c>
      <c r="R383" s="707">
        <f t="shared" si="72"/>
        <v>0</v>
      </c>
      <c r="S383" s="352">
        <f t="shared" si="63"/>
        <v>0</v>
      </c>
    </row>
    <row r="384" spans="1:19">
      <c r="A384" s="150"/>
      <c r="B384" s="58"/>
      <c r="C384" s="24">
        <f t="shared" si="64"/>
        <v>1</v>
      </c>
      <c r="D384" s="711"/>
      <c r="E384" s="24">
        <f t="shared" si="65"/>
        <v>1</v>
      </c>
      <c r="F384" s="711"/>
      <c r="G384" s="24">
        <f t="shared" si="66"/>
        <v>1</v>
      </c>
      <c r="H384" s="711"/>
      <c r="I384" s="24">
        <f t="shared" si="67"/>
        <v>1</v>
      </c>
      <c r="J384" s="711"/>
      <c r="K384" s="24">
        <f t="shared" si="68"/>
        <v>1</v>
      </c>
      <c r="L384" s="711"/>
      <c r="M384" s="24">
        <f t="shared" si="69"/>
        <v>1</v>
      </c>
      <c r="N384" s="711"/>
      <c r="O384" s="24">
        <f t="shared" si="70"/>
        <v>1</v>
      </c>
      <c r="P384" s="711"/>
      <c r="Q384" s="24">
        <f t="shared" si="71"/>
        <v>1</v>
      </c>
      <c r="R384" s="707">
        <f t="shared" si="72"/>
        <v>0</v>
      </c>
      <c r="S384" s="352">
        <f t="shared" si="63"/>
        <v>0</v>
      </c>
    </row>
    <row r="385" spans="1:19">
      <c r="A385" s="150"/>
      <c r="B385" s="58"/>
      <c r="C385" s="24">
        <f t="shared" si="64"/>
        <v>1</v>
      </c>
      <c r="D385" s="711"/>
      <c r="E385" s="24">
        <f t="shared" si="65"/>
        <v>1</v>
      </c>
      <c r="F385" s="711"/>
      <c r="G385" s="24">
        <f t="shared" si="66"/>
        <v>1</v>
      </c>
      <c r="H385" s="711"/>
      <c r="I385" s="24">
        <f t="shared" si="67"/>
        <v>1</v>
      </c>
      <c r="J385" s="711"/>
      <c r="K385" s="24">
        <f t="shared" si="68"/>
        <v>1</v>
      </c>
      <c r="L385" s="711"/>
      <c r="M385" s="24">
        <f t="shared" si="69"/>
        <v>1</v>
      </c>
      <c r="N385" s="711"/>
      <c r="O385" s="24">
        <f t="shared" si="70"/>
        <v>1</v>
      </c>
      <c r="P385" s="711"/>
      <c r="Q385" s="24">
        <f t="shared" si="71"/>
        <v>1</v>
      </c>
      <c r="R385" s="707">
        <f t="shared" si="72"/>
        <v>0</v>
      </c>
      <c r="S385" s="352">
        <f t="shared" ref="S385:S422" si="73">ROUND(R385*B385/10000,0)</f>
        <v>0</v>
      </c>
    </row>
    <row r="386" spans="1:19">
      <c r="A386" s="150"/>
      <c r="B386" s="58"/>
      <c r="C386" s="24">
        <f t="shared" si="64"/>
        <v>1</v>
      </c>
      <c r="D386" s="711"/>
      <c r="E386" s="24">
        <f t="shared" si="65"/>
        <v>1</v>
      </c>
      <c r="F386" s="711"/>
      <c r="G386" s="24">
        <f t="shared" si="66"/>
        <v>1</v>
      </c>
      <c r="H386" s="711"/>
      <c r="I386" s="24">
        <f t="shared" si="67"/>
        <v>1</v>
      </c>
      <c r="J386" s="711"/>
      <c r="K386" s="24">
        <f t="shared" si="68"/>
        <v>1</v>
      </c>
      <c r="L386" s="711"/>
      <c r="M386" s="24">
        <f t="shared" si="69"/>
        <v>1</v>
      </c>
      <c r="N386" s="711"/>
      <c r="O386" s="24">
        <f t="shared" si="70"/>
        <v>1</v>
      </c>
      <c r="P386" s="711"/>
      <c r="Q386" s="24">
        <f t="shared" si="71"/>
        <v>1</v>
      </c>
      <c r="R386" s="707">
        <f t="shared" si="72"/>
        <v>0</v>
      </c>
      <c r="S386" s="352">
        <f t="shared" si="73"/>
        <v>0</v>
      </c>
    </row>
    <row r="387" spans="1:19">
      <c r="A387" s="150"/>
      <c r="B387" s="58"/>
      <c r="C387" s="24">
        <f t="shared" si="64"/>
        <v>1</v>
      </c>
      <c r="D387" s="711"/>
      <c r="E387" s="24">
        <f t="shared" si="65"/>
        <v>1</v>
      </c>
      <c r="F387" s="711"/>
      <c r="G387" s="24">
        <f t="shared" si="66"/>
        <v>1</v>
      </c>
      <c r="H387" s="711"/>
      <c r="I387" s="24">
        <f t="shared" si="67"/>
        <v>1</v>
      </c>
      <c r="J387" s="711"/>
      <c r="K387" s="24">
        <f t="shared" si="68"/>
        <v>1</v>
      </c>
      <c r="L387" s="711"/>
      <c r="M387" s="24">
        <f t="shared" si="69"/>
        <v>1</v>
      </c>
      <c r="N387" s="711"/>
      <c r="O387" s="24">
        <f t="shared" si="70"/>
        <v>1</v>
      </c>
      <c r="P387" s="711"/>
      <c r="Q387" s="24">
        <f t="shared" si="71"/>
        <v>1</v>
      </c>
      <c r="R387" s="707">
        <f t="shared" si="72"/>
        <v>0</v>
      </c>
      <c r="S387" s="352">
        <f t="shared" si="73"/>
        <v>0</v>
      </c>
    </row>
    <row r="388" spans="1:19">
      <c r="A388" s="150"/>
      <c r="B388" s="58"/>
      <c r="C388" s="24">
        <f t="shared" si="64"/>
        <v>1</v>
      </c>
      <c r="D388" s="711"/>
      <c r="E388" s="24">
        <f t="shared" si="65"/>
        <v>1</v>
      </c>
      <c r="F388" s="711"/>
      <c r="G388" s="24">
        <f t="shared" si="66"/>
        <v>1</v>
      </c>
      <c r="H388" s="711"/>
      <c r="I388" s="24">
        <f t="shared" si="67"/>
        <v>1</v>
      </c>
      <c r="J388" s="711"/>
      <c r="K388" s="24">
        <f t="shared" si="68"/>
        <v>1</v>
      </c>
      <c r="L388" s="711"/>
      <c r="M388" s="24">
        <f t="shared" si="69"/>
        <v>1</v>
      </c>
      <c r="N388" s="711"/>
      <c r="O388" s="24">
        <f t="shared" si="70"/>
        <v>1</v>
      </c>
      <c r="P388" s="711"/>
      <c r="Q388" s="24">
        <f t="shared" si="71"/>
        <v>1</v>
      </c>
      <c r="R388" s="707">
        <f t="shared" si="72"/>
        <v>0</v>
      </c>
      <c r="S388" s="352">
        <f t="shared" si="73"/>
        <v>0</v>
      </c>
    </row>
    <row r="389" spans="1:19">
      <c r="A389" s="150"/>
      <c r="B389" s="58"/>
      <c r="C389" s="24">
        <f t="shared" si="64"/>
        <v>1</v>
      </c>
      <c r="D389" s="711"/>
      <c r="E389" s="24">
        <f t="shared" si="65"/>
        <v>1</v>
      </c>
      <c r="F389" s="711"/>
      <c r="G389" s="24">
        <f t="shared" si="66"/>
        <v>1</v>
      </c>
      <c r="H389" s="711"/>
      <c r="I389" s="24">
        <f t="shared" si="67"/>
        <v>1</v>
      </c>
      <c r="J389" s="711"/>
      <c r="K389" s="24">
        <f t="shared" si="68"/>
        <v>1</v>
      </c>
      <c r="L389" s="711"/>
      <c r="M389" s="24">
        <f t="shared" si="69"/>
        <v>1</v>
      </c>
      <c r="N389" s="711"/>
      <c r="O389" s="24">
        <f t="shared" si="70"/>
        <v>1</v>
      </c>
      <c r="P389" s="711"/>
      <c r="Q389" s="24">
        <f t="shared" si="71"/>
        <v>1</v>
      </c>
      <c r="R389" s="707">
        <f t="shared" si="72"/>
        <v>0</v>
      </c>
      <c r="S389" s="352">
        <f t="shared" si="73"/>
        <v>0</v>
      </c>
    </row>
    <row r="390" spans="1:19">
      <c r="A390" s="150"/>
      <c r="B390" s="58"/>
      <c r="C390" s="24">
        <f t="shared" si="64"/>
        <v>1</v>
      </c>
      <c r="D390" s="711"/>
      <c r="E390" s="24">
        <f t="shared" si="65"/>
        <v>1</v>
      </c>
      <c r="F390" s="711"/>
      <c r="G390" s="24">
        <f t="shared" si="66"/>
        <v>1</v>
      </c>
      <c r="H390" s="711"/>
      <c r="I390" s="24">
        <f t="shared" si="67"/>
        <v>1</v>
      </c>
      <c r="J390" s="711"/>
      <c r="K390" s="24">
        <f t="shared" si="68"/>
        <v>1</v>
      </c>
      <c r="L390" s="711"/>
      <c r="M390" s="24">
        <f t="shared" si="69"/>
        <v>1</v>
      </c>
      <c r="N390" s="711"/>
      <c r="O390" s="24">
        <f t="shared" si="70"/>
        <v>1</v>
      </c>
      <c r="P390" s="711"/>
      <c r="Q390" s="24">
        <f t="shared" si="71"/>
        <v>1</v>
      </c>
      <c r="R390" s="707">
        <f t="shared" si="72"/>
        <v>0</v>
      </c>
      <c r="S390" s="352">
        <f t="shared" si="73"/>
        <v>0</v>
      </c>
    </row>
    <row r="391" spans="1:19">
      <c r="A391" s="150"/>
      <c r="B391" s="58"/>
      <c r="C391" s="24">
        <f t="shared" si="64"/>
        <v>1</v>
      </c>
      <c r="D391" s="711"/>
      <c r="E391" s="24">
        <f t="shared" si="65"/>
        <v>1</v>
      </c>
      <c r="F391" s="711"/>
      <c r="G391" s="24">
        <f t="shared" si="66"/>
        <v>1</v>
      </c>
      <c r="H391" s="711"/>
      <c r="I391" s="24">
        <f t="shared" si="67"/>
        <v>1</v>
      </c>
      <c r="J391" s="711"/>
      <c r="K391" s="24">
        <f t="shared" si="68"/>
        <v>1</v>
      </c>
      <c r="L391" s="711"/>
      <c r="M391" s="24">
        <f t="shared" si="69"/>
        <v>1</v>
      </c>
      <c r="N391" s="711"/>
      <c r="O391" s="24">
        <f t="shared" si="70"/>
        <v>1</v>
      </c>
      <c r="P391" s="711"/>
      <c r="Q391" s="24">
        <f t="shared" si="71"/>
        <v>1</v>
      </c>
      <c r="R391" s="707">
        <f t="shared" si="72"/>
        <v>0</v>
      </c>
      <c r="S391" s="352">
        <f t="shared" si="73"/>
        <v>0</v>
      </c>
    </row>
    <row r="392" spans="1:19">
      <c r="A392" s="150"/>
      <c r="B392" s="58"/>
      <c r="C392" s="24">
        <f t="shared" si="64"/>
        <v>1</v>
      </c>
      <c r="D392" s="711"/>
      <c r="E392" s="24">
        <f t="shared" si="65"/>
        <v>1</v>
      </c>
      <c r="F392" s="711"/>
      <c r="G392" s="24">
        <f t="shared" si="66"/>
        <v>1</v>
      </c>
      <c r="H392" s="711"/>
      <c r="I392" s="24">
        <f t="shared" si="67"/>
        <v>1</v>
      </c>
      <c r="J392" s="711"/>
      <c r="K392" s="24">
        <f t="shared" si="68"/>
        <v>1</v>
      </c>
      <c r="L392" s="711"/>
      <c r="M392" s="24">
        <f t="shared" si="69"/>
        <v>1</v>
      </c>
      <c r="N392" s="711"/>
      <c r="O392" s="24">
        <f t="shared" si="70"/>
        <v>1</v>
      </c>
      <c r="P392" s="711"/>
      <c r="Q392" s="24">
        <f t="shared" si="71"/>
        <v>1</v>
      </c>
      <c r="R392" s="707">
        <f t="shared" si="72"/>
        <v>0</v>
      </c>
      <c r="S392" s="352">
        <f t="shared" si="73"/>
        <v>0</v>
      </c>
    </row>
    <row r="393" spans="1:19">
      <c r="A393" s="150"/>
      <c r="B393" s="58"/>
      <c r="C393" s="24">
        <f t="shared" si="64"/>
        <v>1</v>
      </c>
      <c r="D393" s="711"/>
      <c r="E393" s="24">
        <f t="shared" si="65"/>
        <v>1</v>
      </c>
      <c r="F393" s="711"/>
      <c r="G393" s="24">
        <f t="shared" si="66"/>
        <v>1</v>
      </c>
      <c r="H393" s="711"/>
      <c r="I393" s="24">
        <f t="shared" si="67"/>
        <v>1</v>
      </c>
      <c r="J393" s="711"/>
      <c r="K393" s="24">
        <f t="shared" si="68"/>
        <v>1</v>
      </c>
      <c r="L393" s="711"/>
      <c r="M393" s="24">
        <f t="shared" si="69"/>
        <v>1</v>
      </c>
      <c r="N393" s="711"/>
      <c r="O393" s="24">
        <f t="shared" si="70"/>
        <v>1</v>
      </c>
      <c r="P393" s="711"/>
      <c r="Q393" s="24">
        <f t="shared" si="71"/>
        <v>1</v>
      </c>
      <c r="R393" s="707">
        <f t="shared" si="72"/>
        <v>0</v>
      </c>
      <c r="S393" s="352">
        <f t="shared" si="73"/>
        <v>0</v>
      </c>
    </row>
    <row r="394" spans="1:19">
      <c r="A394" s="150"/>
      <c r="B394" s="58"/>
      <c r="C394" s="24">
        <f t="shared" si="64"/>
        <v>1</v>
      </c>
      <c r="D394" s="711"/>
      <c r="E394" s="24">
        <f t="shared" si="65"/>
        <v>1</v>
      </c>
      <c r="F394" s="711"/>
      <c r="G394" s="24">
        <f t="shared" si="66"/>
        <v>1</v>
      </c>
      <c r="H394" s="711"/>
      <c r="I394" s="24">
        <f t="shared" si="67"/>
        <v>1</v>
      </c>
      <c r="J394" s="711"/>
      <c r="K394" s="24">
        <f t="shared" si="68"/>
        <v>1</v>
      </c>
      <c r="L394" s="711"/>
      <c r="M394" s="24">
        <f t="shared" si="69"/>
        <v>1</v>
      </c>
      <c r="N394" s="711"/>
      <c r="O394" s="24">
        <f t="shared" si="70"/>
        <v>1</v>
      </c>
      <c r="P394" s="711"/>
      <c r="Q394" s="24">
        <f t="shared" si="71"/>
        <v>1</v>
      </c>
      <c r="R394" s="707">
        <f t="shared" si="72"/>
        <v>0</v>
      </c>
      <c r="S394" s="352">
        <f t="shared" si="73"/>
        <v>0</v>
      </c>
    </row>
    <row r="395" spans="1:19">
      <c r="A395" s="150"/>
      <c r="B395" s="58"/>
      <c r="C395" s="24">
        <f t="shared" si="64"/>
        <v>1</v>
      </c>
      <c r="D395" s="711"/>
      <c r="E395" s="24">
        <f t="shared" si="65"/>
        <v>1</v>
      </c>
      <c r="F395" s="711"/>
      <c r="G395" s="24">
        <f t="shared" si="66"/>
        <v>1</v>
      </c>
      <c r="H395" s="711"/>
      <c r="I395" s="24">
        <f t="shared" si="67"/>
        <v>1</v>
      </c>
      <c r="J395" s="711"/>
      <c r="K395" s="24">
        <f t="shared" si="68"/>
        <v>1</v>
      </c>
      <c r="L395" s="711"/>
      <c r="M395" s="24">
        <f t="shared" si="69"/>
        <v>1</v>
      </c>
      <c r="N395" s="711"/>
      <c r="O395" s="24">
        <f t="shared" si="70"/>
        <v>1</v>
      </c>
      <c r="P395" s="711"/>
      <c r="Q395" s="24">
        <f t="shared" si="71"/>
        <v>1</v>
      </c>
      <c r="R395" s="707">
        <f t="shared" si="72"/>
        <v>0</v>
      </c>
      <c r="S395" s="352">
        <f t="shared" si="73"/>
        <v>0</v>
      </c>
    </row>
    <row r="396" spans="1:19">
      <c r="A396" s="150"/>
      <c r="B396" s="58"/>
      <c r="C396" s="24">
        <f t="shared" si="64"/>
        <v>1</v>
      </c>
      <c r="D396" s="711"/>
      <c r="E396" s="24">
        <f t="shared" si="65"/>
        <v>1</v>
      </c>
      <c r="F396" s="711"/>
      <c r="G396" s="24">
        <f t="shared" si="66"/>
        <v>1</v>
      </c>
      <c r="H396" s="711"/>
      <c r="I396" s="24">
        <f t="shared" si="67"/>
        <v>1</v>
      </c>
      <c r="J396" s="711"/>
      <c r="K396" s="24">
        <f t="shared" si="68"/>
        <v>1</v>
      </c>
      <c r="L396" s="711"/>
      <c r="M396" s="24">
        <f t="shared" si="69"/>
        <v>1</v>
      </c>
      <c r="N396" s="711"/>
      <c r="O396" s="24">
        <f t="shared" si="70"/>
        <v>1</v>
      </c>
      <c r="P396" s="711"/>
      <c r="Q396" s="24">
        <f t="shared" si="71"/>
        <v>1</v>
      </c>
      <c r="R396" s="707">
        <f t="shared" si="72"/>
        <v>0</v>
      </c>
      <c r="S396" s="352">
        <f t="shared" si="73"/>
        <v>0</v>
      </c>
    </row>
    <row r="397" spans="1:19">
      <c r="A397" s="150"/>
      <c r="B397" s="58"/>
      <c r="C397" s="24">
        <f t="shared" si="64"/>
        <v>1</v>
      </c>
      <c r="D397" s="711"/>
      <c r="E397" s="24">
        <f t="shared" si="65"/>
        <v>1</v>
      </c>
      <c r="F397" s="711"/>
      <c r="G397" s="24">
        <f t="shared" si="66"/>
        <v>1</v>
      </c>
      <c r="H397" s="711"/>
      <c r="I397" s="24">
        <f t="shared" si="67"/>
        <v>1</v>
      </c>
      <c r="J397" s="711"/>
      <c r="K397" s="24">
        <f t="shared" si="68"/>
        <v>1</v>
      </c>
      <c r="L397" s="711"/>
      <c r="M397" s="24">
        <f t="shared" si="69"/>
        <v>1</v>
      </c>
      <c r="N397" s="711"/>
      <c r="O397" s="24">
        <f t="shared" si="70"/>
        <v>1</v>
      </c>
      <c r="P397" s="711"/>
      <c r="Q397" s="24">
        <f t="shared" si="71"/>
        <v>1</v>
      </c>
      <c r="R397" s="707">
        <f t="shared" si="72"/>
        <v>0</v>
      </c>
      <c r="S397" s="352">
        <f t="shared" si="73"/>
        <v>0</v>
      </c>
    </row>
    <row r="398" spans="1:19">
      <c r="A398" s="150"/>
      <c r="B398" s="58"/>
      <c r="C398" s="24">
        <f t="shared" si="64"/>
        <v>1</v>
      </c>
      <c r="D398" s="711"/>
      <c r="E398" s="24">
        <f t="shared" si="65"/>
        <v>1</v>
      </c>
      <c r="F398" s="711"/>
      <c r="G398" s="24">
        <f t="shared" si="66"/>
        <v>1</v>
      </c>
      <c r="H398" s="711"/>
      <c r="I398" s="24">
        <f t="shared" si="67"/>
        <v>1</v>
      </c>
      <c r="J398" s="711"/>
      <c r="K398" s="24">
        <f t="shared" si="68"/>
        <v>1</v>
      </c>
      <c r="L398" s="711"/>
      <c r="M398" s="24">
        <f t="shared" si="69"/>
        <v>1</v>
      </c>
      <c r="N398" s="711"/>
      <c r="O398" s="24">
        <f t="shared" si="70"/>
        <v>1</v>
      </c>
      <c r="P398" s="711"/>
      <c r="Q398" s="24">
        <f t="shared" si="71"/>
        <v>1</v>
      </c>
      <c r="R398" s="707">
        <f t="shared" si="72"/>
        <v>0</v>
      </c>
      <c r="S398" s="352">
        <f t="shared" si="73"/>
        <v>0</v>
      </c>
    </row>
    <row r="399" spans="1:19">
      <c r="A399" s="150"/>
      <c r="B399" s="58"/>
      <c r="C399" s="24">
        <f t="shared" si="64"/>
        <v>1</v>
      </c>
      <c r="D399" s="711"/>
      <c r="E399" s="24">
        <f t="shared" si="65"/>
        <v>1</v>
      </c>
      <c r="F399" s="711"/>
      <c r="G399" s="24">
        <f t="shared" si="66"/>
        <v>1</v>
      </c>
      <c r="H399" s="711"/>
      <c r="I399" s="24">
        <f t="shared" si="67"/>
        <v>1</v>
      </c>
      <c r="J399" s="711"/>
      <c r="K399" s="24">
        <f t="shared" si="68"/>
        <v>1</v>
      </c>
      <c r="L399" s="711"/>
      <c r="M399" s="24">
        <f t="shared" si="69"/>
        <v>1</v>
      </c>
      <c r="N399" s="711"/>
      <c r="O399" s="24">
        <f t="shared" si="70"/>
        <v>1</v>
      </c>
      <c r="P399" s="711"/>
      <c r="Q399" s="24">
        <f t="shared" si="71"/>
        <v>1</v>
      </c>
      <c r="R399" s="707">
        <f t="shared" si="72"/>
        <v>0</v>
      </c>
      <c r="S399" s="352">
        <f t="shared" si="73"/>
        <v>0</v>
      </c>
    </row>
    <row r="400" spans="1:19">
      <c r="A400" s="150"/>
      <c r="B400" s="58"/>
      <c r="C400" s="24">
        <f t="shared" si="64"/>
        <v>1</v>
      </c>
      <c r="D400" s="711"/>
      <c r="E400" s="24">
        <f t="shared" si="65"/>
        <v>1</v>
      </c>
      <c r="F400" s="711"/>
      <c r="G400" s="24">
        <f t="shared" si="66"/>
        <v>1</v>
      </c>
      <c r="H400" s="711"/>
      <c r="I400" s="24">
        <f t="shared" si="67"/>
        <v>1</v>
      </c>
      <c r="J400" s="711"/>
      <c r="K400" s="24">
        <f t="shared" si="68"/>
        <v>1</v>
      </c>
      <c r="L400" s="711"/>
      <c r="M400" s="24">
        <f t="shared" si="69"/>
        <v>1</v>
      </c>
      <c r="N400" s="711"/>
      <c r="O400" s="24">
        <f t="shared" si="70"/>
        <v>1</v>
      </c>
      <c r="P400" s="711"/>
      <c r="Q400" s="24">
        <f t="shared" si="71"/>
        <v>1</v>
      </c>
      <c r="R400" s="707">
        <f t="shared" si="72"/>
        <v>0</v>
      </c>
      <c r="S400" s="352">
        <f t="shared" si="73"/>
        <v>0</v>
      </c>
    </row>
    <row r="401" spans="1:19">
      <c r="A401" s="150"/>
      <c r="B401" s="58"/>
      <c r="C401" s="24">
        <f t="shared" si="64"/>
        <v>1</v>
      </c>
      <c r="D401" s="711"/>
      <c r="E401" s="24">
        <f t="shared" si="65"/>
        <v>1</v>
      </c>
      <c r="F401" s="711"/>
      <c r="G401" s="24">
        <f t="shared" si="66"/>
        <v>1</v>
      </c>
      <c r="H401" s="711"/>
      <c r="I401" s="24">
        <f t="shared" si="67"/>
        <v>1</v>
      </c>
      <c r="J401" s="711"/>
      <c r="K401" s="24">
        <f t="shared" si="68"/>
        <v>1</v>
      </c>
      <c r="L401" s="711"/>
      <c r="M401" s="24">
        <f t="shared" si="69"/>
        <v>1</v>
      </c>
      <c r="N401" s="711"/>
      <c r="O401" s="24">
        <f t="shared" si="70"/>
        <v>1</v>
      </c>
      <c r="P401" s="711"/>
      <c r="Q401" s="24">
        <f t="shared" si="71"/>
        <v>1</v>
      </c>
      <c r="R401" s="707">
        <f t="shared" si="72"/>
        <v>0</v>
      </c>
      <c r="S401" s="352">
        <f t="shared" si="73"/>
        <v>0</v>
      </c>
    </row>
    <row r="402" spans="1:19">
      <c r="A402" s="150"/>
      <c r="B402" s="58"/>
      <c r="C402" s="24">
        <f t="shared" si="64"/>
        <v>1</v>
      </c>
      <c r="D402" s="711"/>
      <c r="E402" s="24">
        <f t="shared" si="65"/>
        <v>1</v>
      </c>
      <c r="F402" s="711"/>
      <c r="G402" s="24">
        <f t="shared" si="66"/>
        <v>1</v>
      </c>
      <c r="H402" s="711"/>
      <c r="I402" s="24">
        <f t="shared" si="67"/>
        <v>1</v>
      </c>
      <c r="J402" s="711"/>
      <c r="K402" s="24">
        <f t="shared" si="68"/>
        <v>1</v>
      </c>
      <c r="L402" s="711"/>
      <c r="M402" s="24">
        <f t="shared" si="69"/>
        <v>1</v>
      </c>
      <c r="N402" s="711"/>
      <c r="O402" s="24">
        <f t="shared" si="70"/>
        <v>1</v>
      </c>
      <c r="P402" s="711"/>
      <c r="Q402" s="24">
        <f t="shared" si="71"/>
        <v>1</v>
      </c>
      <c r="R402" s="707">
        <f t="shared" si="72"/>
        <v>0</v>
      </c>
      <c r="S402" s="352">
        <f t="shared" si="73"/>
        <v>0</v>
      </c>
    </row>
    <row r="403" spans="1:19">
      <c r="A403" s="150"/>
      <c r="B403" s="58"/>
      <c r="C403" s="24">
        <f t="shared" si="64"/>
        <v>1</v>
      </c>
      <c r="D403" s="711"/>
      <c r="E403" s="24">
        <f t="shared" si="65"/>
        <v>1</v>
      </c>
      <c r="F403" s="711"/>
      <c r="G403" s="24">
        <f t="shared" si="66"/>
        <v>1</v>
      </c>
      <c r="H403" s="711"/>
      <c r="I403" s="24">
        <f t="shared" si="67"/>
        <v>1</v>
      </c>
      <c r="J403" s="711"/>
      <c r="K403" s="24">
        <f t="shared" si="68"/>
        <v>1</v>
      </c>
      <c r="L403" s="711"/>
      <c r="M403" s="24">
        <f t="shared" si="69"/>
        <v>1</v>
      </c>
      <c r="N403" s="711"/>
      <c r="O403" s="24">
        <f t="shared" si="70"/>
        <v>1</v>
      </c>
      <c r="P403" s="711"/>
      <c r="Q403" s="24">
        <f t="shared" si="71"/>
        <v>1</v>
      </c>
      <c r="R403" s="707">
        <f t="shared" si="72"/>
        <v>0</v>
      </c>
      <c r="S403" s="352">
        <f t="shared" si="73"/>
        <v>0</v>
      </c>
    </row>
    <row r="404" spans="1:19">
      <c r="A404" s="150"/>
      <c r="B404" s="58"/>
      <c r="C404" s="24">
        <f t="shared" si="64"/>
        <v>1</v>
      </c>
      <c r="D404" s="711"/>
      <c r="E404" s="24">
        <f t="shared" si="65"/>
        <v>1</v>
      </c>
      <c r="F404" s="711"/>
      <c r="G404" s="24">
        <f t="shared" si="66"/>
        <v>1</v>
      </c>
      <c r="H404" s="711"/>
      <c r="I404" s="24">
        <f t="shared" si="67"/>
        <v>1</v>
      </c>
      <c r="J404" s="711"/>
      <c r="K404" s="24">
        <f t="shared" si="68"/>
        <v>1</v>
      </c>
      <c r="L404" s="711"/>
      <c r="M404" s="24">
        <f t="shared" si="69"/>
        <v>1</v>
      </c>
      <c r="N404" s="711"/>
      <c r="O404" s="24">
        <f t="shared" si="70"/>
        <v>1</v>
      </c>
      <c r="P404" s="711"/>
      <c r="Q404" s="24">
        <f t="shared" si="71"/>
        <v>1</v>
      </c>
      <c r="R404" s="707">
        <f t="shared" si="72"/>
        <v>0</v>
      </c>
      <c r="S404" s="352">
        <f t="shared" si="73"/>
        <v>0</v>
      </c>
    </row>
    <row r="405" spans="1:19">
      <c r="A405" s="150"/>
      <c r="B405" s="58"/>
      <c r="C405" s="24">
        <f t="shared" si="64"/>
        <v>1</v>
      </c>
      <c r="D405" s="711"/>
      <c r="E405" s="24">
        <f t="shared" si="65"/>
        <v>1</v>
      </c>
      <c r="F405" s="711"/>
      <c r="G405" s="24">
        <f t="shared" si="66"/>
        <v>1</v>
      </c>
      <c r="H405" s="711"/>
      <c r="I405" s="24">
        <f t="shared" si="67"/>
        <v>1</v>
      </c>
      <c r="J405" s="711"/>
      <c r="K405" s="24">
        <f t="shared" si="68"/>
        <v>1</v>
      </c>
      <c r="L405" s="711"/>
      <c r="M405" s="24">
        <f t="shared" si="69"/>
        <v>1</v>
      </c>
      <c r="N405" s="711"/>
      <c r="O405" s="24">
        <f t="shared" si="70"/>
        <v>1</v>
      </c>
      <c r="P405" s="711"/>
      <c r="Q405" s="24">
        <f t="shared" si="71"/>
        <v>1</v>
      </c>
      <c r="R405" s="707">
        <f t="shared" si="72"/>
        <v>0</v>
      </c>
      <c r="S405" s="352">
        <f t="shared" si="73"/>
        <v>0</v>
      </c>
    </row>
    <row r="406" spans="1:19">
      <c r="A406" s="150"/>
      <c r="B406" s="58"/>
      <c r="C406" s="24">
        <f t="shared" si="64"/>
        <v>1</v>
      </c>
      <c r="D406" s="711"/>
      <c r="E406" s="24">
        <f t="shared" si="65"/>
        <v>1</v>
      </c>
      <c r="F406" s="711"/>
      <c r="G406" s="24">
        <f t="shared" si="66"/>
        <v>1</v>
      </c>
      <c r="H406" s="711"/>
      <c r="I406" s="24">
        <f t="shared" si="67"/>
        <v>1</v>
      </c>
      <c r="J406" s="711"/>
      <c r="K406" s="24">
        <f t="shared" si="68"/>
        <v>1</v>
      </c>
      <c r="L406" s="711"/>
      <c r="M406" s="24">
        <f t="shared" si="69"/>
        <v>1</v>
      </c>
      <c r="N406" s="711"/>
      <c r="O406" s="24">
        <f t="shared" si="70"/>
        <v>1</v>
      </c>
      <c r="P406" s="711"/>
      <c r="Q406" s="24">
        <f t="shared" si="71"/>
        <v>1</v>
      </c>
      <c r="R406" s="707">
        <f t="shared" si="72"/>
        <v>0</v>
      </c>
      <c r="S406" s="352">
        <f t="shared" si="73"/>
        <v>0</v>
      </c>
    </row>
    <row r="407" spans="1:19">
      <c r="A407" s="150"/>
      <c r="B407" s="58"/>
      <c r="C407" s="24">
        <f t="shared" si="64"/>
        <v>1</v>
      </c>
      <c r="D407" s="711"/>
      <c r="E407" s="24">
        <f t="shared" si="65"/>
        <v>1</v>
      </c>
      <c r="F407" s="711"/>
      <c r="G407" s="24">
        <f t="shared" si="66"/>
        <v>1</v>
      </c>
      <c r="H407" s="711"/>
      <c r="I407" s="24">
        <f t="shared" si="67"/>
        <v>1</v>
      </c>
      <c r="J407" s="711"/>
      <c r="K407" s="24">
        <f t="shared" si="68"/>
        <v>1</v>
      </c>
      <c r="L407" s="711"/>
      <c r="M407" s="24">
        <f t="shared" si="69"/>
        <v>1</v>
      </c>
      <c r="N407" s="711"/>
      <c r="O407" s="24">
        <f t="shared" si="70"/>
        <v>1</v>
      </c>
      <c r="P407" s="711"/>
      <c r="Q407" s="24">
        <f t="shared" si="71"/>
        <v>1</v>
      </c>
      <c r="R407" s="707">
        <f t="shared" si="72"/>
        <v>0</v>
      </c>
      <c r="S407" s="352">
        <f t="shared" si="73"/>
        <v>0</v>
      </c>
    </row>
    <row r="408" spans="1:19">
      <c r="A408" s="150"/>
      <c r="B408" s="58"/>
      <c r="C408" s="24">
        <f t="shared" si="64"/>
        <v>1</v>
      </c>
      <c r="D408" s="711"/>
      <c r="E408" s="24">
        <f t="shared" si="65"/>
        <v>1</v>
      </c>
      <c r="F408" s="711"/>
      <c r="G408" s="24">
        <f t="shared" si="66"/>
        <v>1</v>
      </c>
      <c r="H408" s="711"/>
      <c r="I408" s="24">
        <f t="shared" si="67"/>
        <v>1</v>
      </c>
      <c r="J408" s="711"/>
      <c r="K408" s="24">
        <f t="shared" si="68"/>
        <v>1</v>
      </c>
      <c r="L408" s="711"/>
      <c r="M408" s="24">
        <f t="shared" si="69"/>
        <v>1</v>
      </c>
      <c r="N408" s="711"/>
      <c r="O408" s="24">
        <f t="shared" si="70"/>
        <v>1</v>
      </c>
      <c r="P408" s="711"/>
      <c r="Q408" s="24">
        <f t="shared" si="71"/>
        <v>1</v>
      </c>
      <c r="R408" s="707">
        <f t="shared" si="72"/>
        <v>0</v>
      </c>
      <c r="S408" s="352">
        <f t="shared" si="73"/>
        <v>0</v>
      </c>
    </row>
    <row r="409" spans="1:19">
      <c r="A409" s="150"/>
      <c r="B409" s="58"/>
      <c r="C409" s="24">
        <f t="shared" si="64"/>
        <v>1</v>
      </c>
      <c r="D409" s="711"/>
      <c r="E409" s="24">
        <f t="shared" si="65"/>
        <v>1</v>
      </c>
      <c r="F409" s="711"/>
      <c r="G409" s="24">
        <f t="shared" si="66"/>
        <v>1</v>
      </c>
      <c r="H409" s="711"/>
      <c r="I409" s="24">
        <f t="shared" si="67"/>
        <v>1</v>
      </c>
      <c r="J409" s="711"/>
      <c r="K409" s="24">
        <f t="shared" si="68"/>
        <v>1</v>
      </c>
      <c r="L409" s="711"/>
      <c r="M409" s="24">
        <f t="shared" si="69"/>
        <v>1</v>
      </c>
      <c r="N409" s="711"/>
      <c r="O409" s="24">
        <f t="shared" si="70"/>
        <v>1</v>
      </c>
      <c r="P409" s="711"/>
      <c r="Q409" s="24">
        <f t="shared" si="71"/>
        <v>1</v>
      </c>
      <c r="R409" s="707">
        <f t="shared" si="72"/>
        <v>0</v>
      </c>
      <c r="S409" s="352">
        <f t="shared" si="73"/>
        <v>0</v>
      </c>
    </row>
    <row r="410" spans="1:19">
      <c r="A410" s="150"/>
      <c r="B410" s="58"/>
      <c r="C410" s="24">
        <f t="shared" ref="C410:C473" si="74">IF(B410="",1,(LOOKUP(B410,$3:$3,$4:$4)-LOOKUP($B$24,$3:$3,$4:$4)+100)/100)</f>
        <v>1</v>
      </c>
      <c r="D410" s="711"/>
      <c r="E410" s="24">
        <f t="shared" ref="E410:E473" si="75">(SUMIF($5:$5,D410,$6:$6)-SUMIF($5:$5,$D$24,$6:$6)+100)/100</f>
        <v>1</v>
      </c>
      <c r="F410" s="711"/>
      <c r="G410" s="24">
        <f t="shared" ref="G410:G473" si="76">(SUMIF($7:$7,F410,$8:$8)-SUMIF($7:$7,$F$24,$8:$8)+100)/100</f>
        <v>1</v>
      </c>
      <c r="H410" s="711"/>
      <c r="I410" s="24">
        <f t="shared" ref="I410:I473" si="77">(SUMIF($9:$9,H410,$10:$10)-SUMIF($9:$9,$H$24,$10:$10)+100)/100</f>
        <v>1</v>
      </c>
      <c r="J410" s="711"/>
      <c r="K410" s="24">
        <f t="shared" ref="K410:K473" si="78">(SUMIF($11:$11,J410,$12:$12)-SUMIF($11:$11,$J$24,$12:$12)+100)/100</f>
        <v>1</v>
      </c>
      <c r="L410" s="711"/>
      <c r="M410" s="24">
        <f t="shared" ref="M410:M473" si="79">(SUMIF($13:$13,L410,$14:$14)-SUMIF($13:$13,$L$24,$14:$14)+100)/100</f>
        <v>1</v>
      </c>
      <c r="N410" s="711"/>
      <c r="O410" s="24">
        <f t="shared" ref="O410:O473" si="80">(SUMIF($15:$15,N410,$16:$16)-SUMIF($15:$15,$N$24,$16:$16)+100)/100</f>
        <v>1</v>
      </c>
      <c r="P410" s="711"/>
      <c r="Q410" s="24">
        <f t="shared" ref="Q410:Q473" si="81">(SUMIF($17:$17,P410,$18:$18)-SUMIF($17:$17,$P$24,$18:$18)+100)/100</f>
        <v>1</v>
      </c>
      <c r="R410" s="707">
        <f t="shared" ref="R410:R473" si="82">IF(B410="",0,ROUND($R$24*C410*E410*G410*I410*K410*M410*O410*Q410,0))</f>
        <v>0</v>
      </c>
      <c r="S410" s="352">
        <f t="shared" si="73"/>
        <v>0</v>
      </c>
    </row>
    <row r="411" spans="1:19">
      <c r="A411" s="150"/>
      <c r="B411" s="58"/>
      <c r="C411" s="24">
        <f t="shared" si="74"/>
        <v>1</v>
      </c>
      <c r="D411" s="711"/>
      <c r="E411" s="24">
        <f t="shared" si="75"/>
        <v>1</v>
      </c>
      <c r="F411" s="711"/>
      <c r="G411" s="24">
        <f t="shared" si="76"/>
        <v>1</v>
      </c>
      <c r="H411" s="711"/>
      <c r="I411" s="24">
        <f t="shared" si="77"/>
        <v>1</v>
      </c>
      <c r="J411" s="711"/>
      <c r="K411" s="24">
        <f t="shared" si="78"/>
        <v>1</v>
      </c>
      <c r="L411" s="711"/>
      <c r="M411" s="24">
        <f t="shared" si="79"/>
        <v>1</v>
      </c>
      <c r="N411" s="711"/>
      <c r="O411" s="24">
        <f t="shared" si="80"/>
        <v>1</v>
      </c>
      <c r="P411" s="711"/>
      <c r="Q411" s="24">
        <f t="shared" si="81"/>
        <v>1</v>
      </c>
      <c r="R411" s="707">
        <f t="shared" si="82"/>
        <v>0</v>
      </c>
      <c r="S411" s="352">
        <f t="shared" si="73"/>
        <v>0</v>
      </c>
    </row>
    <row r="412" spans="1:19">
      <c r="A412" s="150"/>
      <c r="B412" s="58"/>
      <c r="C412" s="24">
        <f t="shared" si="74"/>
        <v>1</v>
      </c>
      <c r="D412" s="711"/>
      <c r="E412" s="24">
        <f t="shared" si="75"/>
        <v>1</v>
      </c>
      <c r="F412" s="711"/>
      <c r="G412" s="24">
        <f t="shared" si="76"/>
        <v>1</v>
      </c>
      <c r="H412" s="711"/>
      <c r="I412" s="24">
        <f t="shared" si="77"/>
        <v>1</v>
      </c>
      <c r="J412" s="711"/>
      <c r="K412" s="24">
        <f t="shared" si="78"/>
        <v>1</v>
      </c>
      <c r="L412" s="711"/>
      <c r="M412" s="24">
        <f t="shared" si="79"/>
        <v>1</v>
      </c>
      <c r="N412" s="711"/>
      <c r="O412" s="24">
        <f t="shared" si="80"/>
        <v>1</v>
      </c>
      <c r="P412" s="711"/>
      <c r="Q412" s="24">
        <f t="shared" si="81"/>
        <v>1</v>
      </c>
      <c r="R412" s="707">
        <f t="shared" si="82"/>
        <v>0</v>
      </c>
      <c r="S412" s="352">
        <f t="shared" si="73"/>
        <v>0</v>
      </c>
    </row>
    <row r="413" spans="1:19">
      <c r="A413" s="150"/>
      <c r="B413" s="58"/>
      <c r="C413" s="24">
        <f t="shared" si="74"/>
        <v>1</v>
      </c>
      <c r="D413" s="711"/>
      <c r="E413" s="24">
        <f t="shared" si="75"/>
        <v>1</v>
      </c>
      <c r="F413" s="711"/>
      <c r="G413" s="24">
        <f t="shared" si="76"/>
        <v>1</v>
      </c>
      <c r="H413" s="711"/>
      <c r="I413" s="24">
        <f t="shared" si="77"/>
        <v>1</v>
      </c>
      <c r="J413" s="711"/>
      <c r="K413" s="24">
        <f t="shared" si="78"/>
        <v>1</v>
      </c>
      <c r="L413" s="711"/>
      <c r="M413" s="24">
        <f t="shared" si="79"/>
        <v>1</v>
      </c>
      <c r="N413" s="711"/>
      <c r="O413" s="24">
        <f t="shared" si="80"/>
        <v>1</v>
      </c>
      <c r="P413" s="711"/>
      <c r="Q413" s="24">
        <f t="shared" si="81"/>
        <v>1</v>
      </c>
      <c r="R413" s="707">
        <f t="shared" si="82"/>
        <v>0</v>
      </c>
      <c r="S413" s="352">
        <f t="shared" si="73"/>
        <v>0</v>
      </c>
    </row>
    <row r="414" spans="1:19">
      <c r="A414" s="150"/>
      <c r="B414" s="58"/>
      <c r="C414" s="24">
        <f t="shared" si="74"/>
        <v>1</v>
      </c>
      <c r="D414" s="711"/>
      <c r="E414" s="24">
        <f t="shared" si="75"/>
        <v>1</v>
      </c>
      <c r="F414" s="711"/>
      <c r="G414" s="24">
        <f t="shared" si="76"/>
        <v>1</v>
      </c>
      <c r="H414" s="711"/>
      <c r="I414" s="24">
        <f t="shared" si="77"/>
        <v>1</v>
      </c>
      <c r="J414" s="711"/>
      <c r="K414" s="24">
        <f t="shared" si="78"/>
        <v>1</v>
      </c>
      <c r="L414" s="711"/>
      <c r="M414" s="24">
        <f t="shared" si="79"/>
        <v>1</v>
      </c>
      <c r="N414" s="711"/>
      <c r="O414" s="24">
        <f t="shared" si="80"/>
        <v>1</v>
      </c>
      <c r="P414" s="711"/>
      <c r="Q414" s="24">
        <f t="shared" si="81"/>
        <v>1</v>
      </c>
      <c r="R414" s="707">
        <f t="shared" si="82"/>
        <v>0</v>
      </c>
      <c r="S414" s="352">
        <f t="shared" si="73"/>
        <v>0</v>
      </c>
    </row>
    <row r="415" spans="1:19">
      <c r="A415" s="150"/>
      <c r="B415" s="58"/>
      <c r="C415" s="24">
        <f t="shared" si="74"/>
        <v>1</v>
      </c>
      <c r="D415" s="711"/>
      <c r="E415" s="24">
        <f t="shared" si="75"/>
        <v>1</v>
      </c>
      <c r="F415" s="711"/>
      <c r="G415" s="24">
        <f t="shared" si="76"/>
        <v>1</v>
      </c>
      <c r="H415" s="711"/>
      <c r="I415" s="24">
        <f t="shared" si="77"/>
        <v>1</v>
      </c>
      <c r="J415" s="711"/>
      <c r="K415" s="24">
        <f t="shared" si="78"/>
        <v>1</v>
      </c>
      <c r="L415" s="711"/>
      <c r="M415" s="24">
        <f t="shared" si="79"/>
        <v>1</v>
      </c>
      <c r="N415" s="711"/>
      <c r="O415" s="24">
        <f t="shared" si="80"/>
        <v>1</v>
      </c>
      <c r="P415" s="711"/>
      <c r="Q415" s="24">
        <f t="shared" si="81"/>
        <v>1</v>
      </c>
      <c r="R415" s="707">
        <f t="shared" si="82"/>
        <v>0</v>
      </c>
      <c r="S415" s="352">
        <f t="shared" si="73"/>
        <v>0</v>
      </c>
    </row>
    <row r="416" spans="1:19">
      <c r="A416" s="150"/>
      <c r="B416" s="58"/>
      <c r="C416" s="24">
        <f t="shared" si="74"/>
        <v>1</v>
      </c>
      <c r="D416" s="711"/>
      <c r="E416" s="24">
        <f t="shared" si="75"/>
        <v>1</v>
      </c>
      <c r="F416" s="711"/>
      <c r="G416" s="24">
        <f t="shared" si="76"/>
        <v>1</v>
      </c>
      <c r="H416" s="711"/>
      <c r="I416" s="24">
        <f t="shared" si="77"/>
        <v>1</v>
      </c>
      <c r="J416" s="711"/>
      <c r="K416" s="24">
        <f t="shared" si="78"/>
        <v>1</v>
      </c>
      <c r="L416" s="711"/>
      <c r="M416" s="24">
        <f t="shared" si="79"/>
        <v>1</v>
      </c>
      <c r="N416" s="711"/>
      <c r="O416" s="24">
        <f t="shared" si="80"/>
        <v>1</v>
      </c>
      <c r="P416" s="711"/>
      <c r="Q416" s="24">
        <f t="shared" si="81"/>
        <v>1</v>
      </c>
      <c r="R416" s="707">
        <f t="shared" si="82"/>
        <v>0</v>
      </c>
      <c r="S416" s="352">
        <f t="shared" si="73"/>
        <v>0</v>
      </c>
    </row>
    <row r="417" spans="1:19">
      <c r="A417" s="150"/>
      <c r="B417" s="58"/>
      <c r="C417" s="24">
        <f t="shared" si="74"/>
        <v>1</v>
      </c>
      <c r="D417" s="711"/>
      <c r="E417" s="24">
        <f t="shared" si="75"/>
        <v>1</v>
      </c>
      <c r="F417" s="711"/>
      <c r="G417" s="24">
        <f t="shared" si="76"/>
        <v>1</v>
      </c>
      <c r="H417" s="711"/>
      <c r="I417" s="24">
        <f t="shared" si="77"/>
        <v>1</v>
      </c>
      <c r="J417" s="711"/>
      <c r="K417" s="24">
        <f t="shared" si="78"/>
        <v>1</v>
      </c>
      <c r="L417" s="711"/>
      <c r="M417" s="24">
        <f t="shared" si="79"/>
        <v>1</v>
      </c>
      <c r="N417" s="711"/>
      <c r="O417" s="24">
        <f t="shared" si="80"/>
        <v>1</v>
      </c>
      <c r="P417" s="711"/>
      <c r="Q417" s="24">
        <f t="shared" si="81"/>
        <v>1</v>
      </c>
      <c r="R417" s="707">
        <f t="shared" si="82"/>
        <v>0</v>
      </c>
      <c r="S417" s="352">
        <f t="shared" si="73"/>
        <v>0</v>
      </c>
    </row>
    <row r="418" spans="1:19">
      <c r="A418" s="150"/>
      <c r="B418" s="58"/>
      <c r="C418" s="24">
        <f t="shared" si="74"/>
        <v>1</v>
      </c>
      <c r="D418" s="711"/>
      <c r="E418" s="24">
        <f t="shared" si="75"/>
        <v>1</v>
      </c>
      <c r="F418" s="711"/>
      <c r="G418" s="24">
        <f t="shared" si="76"/>
        <v>1</v>
      </c>
      <c r="H418" s="711"/>
      <c r="I418" s="24">
        <f t="shared" si="77"/>
        <v>1</v>
      </c>
      <c r="J418" s="711"/>
      <c r="K418" s="24">
        <f t="shared" si="78"/>
        <v>1</v>
      </c>
      <c r="L418" s="711"/>
      <c r="M418" s="24">
        <f t="shared" si="79"/>
        <v>1</v>
      </c>
      <c r="N418" s="711"/>
      <c r="O418" s="24">
        <f t="shared" si="80"/>
        <v>1</v>
      </c>
      <c r="P418" s="711"/>
      <c r="Q418" s="24">
        <f t="shared" si="81"/>
        <v>1</v>
      </c>
      <c r="R418" s="707">
        <f t="shared" si="82"/>
        <v>0</v>
      </c>
      <c r="S418" s="352">
        <f t="shared" si="73"/>
        <v>0</v>
      </c>
    </row>
    <row r="419" spans="1:19">
      <c r="A419" s="150"/>
      <c r="B419" s="58"/>
      <c r="C419" s="24">
        <f t="shared" si="74"/>
        <v>1</v>
      </c>
      <c r="D419" s="711"/>
      <c r="E419" s="24">
        <f t="shared" si="75"/>
        <v>1</v>
      </c>
      <c r="F419" s="711"/>
      <c r="G419" s="24">
        <f t="shared" si="76"/>
        <v>1</v>
      </c>
      <c r="H419" s="711"/>
      <c r="I419" s="24">
        <f t="shared" si="77"/>
        <v>1</v>
      </c>
      <c r="J419" s="711"/>
      <c r="K419" s="24">
        <f t="shared" si="78"/>
        <v>1</v>
      </c>
      <c r="L419" s="711"/>
      <c r="M419" s="24">
        <f t="shared" si="79"/>
        <v>1</v>
      </c>
      <c r="N419" s="711"/>
      <c r="O419" s="24">
        <f t="shared" si="80"/>
        <v>1</v>
      </c>
      <c r="P419" s="711"/>
      <c r="Q419" s="24">
        <f t="shared" si="81"/>
        <v>1</v>
      </c>
      <c r="R419" s="707">
        <f t="shared" si="82"/>
        <v>0</v>
      </c>
      <c r="S419" s="352">
        <f t="shared" si="73"/>
        <v>0</v>
      </c>
    </row>
    <row r="420" spans="1:19">
      <c r="A420" s="150"/>
      <c r="B420" s="58"/>
      <c r="C420" s="24">
        <f t="shared" si="74"/>
        <v>1</v>
      </c>
      <c r="D420" s="711"/>
      <c r="E420" s="24">
        <f t="shared" si="75"/>
        <v>1</v>
      </c>
      <c r="F420" s="711"/>
      <c r="G420" s="24">
        <f t="shared" si="76"/>
        <v>1</v>
      </c>
      <c r="H420" s="711"/>
      <c r="I420" s="24">
        <f t="shared" si="77"/>
        <v>1</v>
      </c>
      <c r="J420" s="711"/>
      <c r="K420" s="24">
        <f t="shared" si="78"/>
        <v>1</v>
      </c>
      <c r="L420" s="711"/>
      <c r="M420" s="24">
        <f t="shared" si="79"/>
        <v>1</v>
      </c>
      <c r="N420" s="711"/>
      <c r="O420" s="24">
        <f t="shared" si="80"/>
        <v>1</v>
      </c>
      <c r="P420" s="711"/>
      <c r="Q420" s="24">
        <f t="shared" si="81"/>
        <v>1</v>
      </c>
      <c r="R420" s="707">
        <f t="shared" si="82"/>
        <v>0</v>
      </c>
      <c r="S420" s="352">
        <f t="shared" si="73"/>
        <v>0</v>
      </c>
    </row>
    <row r="421" spans="1:19">
      <c r="A421" s="150"/>
      <c r="B421" s="58"/>
      <c r="C421" s="24">
        <f t="shared" si="74"/>
        <v>1</v>
      </c>
      <c r="D421" s="711"/>
      <c r="E421" s="24">
        <f t="shared" si="75"/>
        <v>1</v>
      </c>
      <c r="F421" s="711"/>
      <c r="G421" s="24">
        <f t="shared" si="76"/>
        <v>1</v>
      </c>
      <c r="H421" s="711"/>
      <c r="I421" s="24">
        <f t="shared" si="77"/>
        <v>1</v>
      </c>
      <c r="J421" s="711"/>
      <c r="K421" s="24">
        <f t="shared" si="78"/>
        <v>1</v>
      </c>
      <c r="L421" s="711"/>
      <c r="M421" s="24">
        <f t="shared" si="79"/>
        <v>1</v>
      </c>
      <c r="N421" s="711"/>
      <c r="O421" s="24">
        <f t="shared" si="80"/>
        <v>1</v>
      </c>
      <c r="P421" s="711"/>
      <c r="Q421" s="24">
        <f t="shared" si="81"/>
        <v>1</v>
      </c>
      <c r="R421" s="707">
        <f t="shared" si="82"/>
        <v>0</v>
      </c>
      <c r="S421" s="352">
        <f t="shared" si="73"/>
        <v>0</v>
      </c>
    </row>
    <row r="422" spans="1:19">
      <c r="A422" s="150"/>
      <c r="B422" s="58"/>
      <c r="C422" s="24">
        <f t="shared" si="74"/>
        <v>1</v>
      </c>
      <c r="D422" s="711"/>
      <c r="E422" s="24">
        <f t="shared" si="75"/>
        <v>1</v>
      </c>
      <c r="F422" s="711"/>
      <c r="G422" s="24">
        <f t="shared" si="76"/>
        <v>1</v>
      </c>
      <c r="H422" s="711"/>
      <c r="I422" s="24">
        <f t="shared" si="77"/>
        <v>1</v>
      </c>
      <c r="J422" s="711"/>
      <c r="K422" s="24">
        <f t="shared" si="78"/>
        <v>1</v>
      </c>
      <c r="L422" s="711"/>
      <c r="M422" s="24">
        <f t="shared" si="79"/>
        <v>1</v>
      </c>
      <c r="N422" s="711"/>
      <c r="O422" s="24">
        <f t="shared" si="80"/>
        <v>1</v>
      </c>
      <c r="P422" s="711"/>
      <c r="Q422" s="24">
        <f t="shared" si="81"/>
        <v>1</v>
      </c>
      <c r="R422" s="707">
        <f t="shared" si="82"/>
        <v>0</v>
      </c>
      <c r="S422" s="352">
        <f t="shared" si="73"/>
        <v>0</v>
      </c>
    </row>
    <row r="423" spans="1:19">
      <c r="A423" s="150"/>
      <c r="B423" s="58"/>
      <c r="C423" s="24">
        <f t="shared" si="74"/>
        <v>1</v>
      </c>
      <c r="D423" s="711"/>
      <c r="E423" s="24">
        <f t="shared" si="75"/>
        <v>1</v>
      </c>
      <c r="F423" s="711"/>
      <c r="G423" s="24">
        <f t="shared" si="76"/>
        <v>1</v>
      </c>
      <c r="H423" s="711"/>
      <c r="I423" s="24">
        <f t="shared" si="77"/>
        <v>1</v>
      </c>
      <c r="J423" s="711"/>
      <c r="K423" s="24">
        <f t="shared" si="78"/>
        <v>1</v>
      </c>
      <c r="L423" s="711"/>
      <c r="M423" s="24">
        <f t="shared" si="79"/>
        <v>1</v>
      </c>
      <c r="N423" s="711"/>
      <c r="O423" s="24">
        <f t="shared" si="80"/>
        <v>1</v>
      </c>
      <c r="P423" s="711"/>
      <c r="Q423" s="24">
        <f t="shared" si="81"/>
        <v>1</v>
      </c>
      <c r="R423" s="707">
        <f t="shared" si="82"/>
        <v>0</v>
      </c>
      <c r="S423" s="352">
        <f t="shared" ref="S423:S467" si="83">ROUND(R423*B423/10000,0)</f>
        <v>0</v>
      </c>
    </row>
    <row r="424" spans="1:19">
      <c r="A424" s="150"/>
      <c r="B424" s="58"/>
      <c r="C424" s="24">
        <f t="shared" si="74"/>
        <v>1</v>
      </c>
      <c r="D424" s="711"/>
      <c r="E424" s="24">
        <f t="shared" si="75"/>
        <v>1</v>
      </c>
      <c r="F424" s="711"/>
      <c r="G424" s="24">
        <f t="shared" si="76"/>
        <v>1</v>
      </c>
      <c r="H424" s="711"/>
      <c r="I424" s="24">
        <f t="shared" si="77"/>
        <v>1</v>
      </c>
      <c r="J424" s="711"/>
      <c r="K424" s="24">
        <f t="shared" si="78"/>
        <v>1</v>
      </c>
      <c r="L424" s="711"/>
      <c r="M424" s="24">
        <f t="shared" si="79"/>
        <v>1</v>
      </c>
      <c r="N424" s="711"/>
      <c r="O424" s="24">
        <f t="shared" si="80"/>
        <v>1</v>
      </c>
      <c r="P424" s="711"/>
      <c r="Q424" s="24">
        <f t="shared" si="81"/>
        <v>1</v>
      </c>
      <c r="R424" s="707">
        <f t="shared" si="82"/>
        <v>0</v>
      </c>
      <c r="S424" s="352">
        <f t="shared" si="83"/>
        <v>0</v>
      </c>
    </row>
    <row r="425" spans="1:19">
      <c r="A425" s="150"/>
      <c r="B425" s="58"/>
      <c r="C425" s="24">
        <f t="shared" si="74"/>
        <v>1</v>
      </c>
      <c r="D425" s="711"/>
      <c r="E425" s="24">
        <f t="shared" si="75"/>
        <v>1</v>
      </c>
      <c r="F425" s="711"/>
      <c r="G425" s="24">
        <f t="shared" si="76"/>
        <v>1</v>
      </c>
      <c r="H425" s="711"/>
      <c r="I425" s="24">
        <f t="shared" si="77"/>
        <v>1</v>
      </c>
      <c r="J425" s="711"/>
      <c r="K425" s="24">
        <f t="shared" si="78"/>
        <v>1</v>
      </c>
      <c r="L425" s="711"/>
      <c r="M425" s="24">
        <f t="shared" si="79"/>
        <v>1</v>
      </c>
      <c r="N425" s="711"/>
      <c r="O425" s="24">
        <f t="shared" si="80"/>
        <v>1</v>
      </c>
      <c r="P425" s="711"/>
      <c r="Q425" s="24">
        <f t="shared" si="81"/>
        <v>1</v>
      </c>
      <c r="R425" s="707">
        <f t="shared" si="82"/>
        <v>0</v>
      </c>
      <c r="S425" s="352">
        <f t="shared" si="83"/>
        <v>0</v>
      </c>
    </row>
    <row r="426" spans="1:19">
      <c r="A426" s="150"/>
      <c r="B426" s="58"/>
      <c r="C426" s="24">
        <f t="shared" si="74"/>
        <v>1</v>
      </c>
      <c r="D426" s="711"/>
      <c r="E426" s="24">
        <f t="shared" si="75"/>
        <v>1</v>
      </c>
      <c r="F426" s="711"/>
      <c r="G426" s="24">
        <f t="shared" si="76"/>
        <v>1</v>
      </c>
      <c r="H426" s="711"/>
      <c r="I426" s="24">
        <f t="shared" si="77"/>
        <v>1</v>
      </c>
      <c r="J426" s="711"/>
      <c r="K426" s="24">
        <f t="shared" si="78"/>
        <v>1</v>
      </c>
      <c r="L426" s="711"/>
      <c r="M426" s="24">
        <f t="shared" si="79"/>
        <v>1</v>
      </c>
      <c r="N426" s="711"/>
      <c r="O426" s="24">
        <f t="shared" si="80"/>
        <v>1</v>
      </c>
      <c r="P426" s="711"/>
      <c r="Q426" s="24">
        <f t="shared" si="81"/>
        <v>1</v>
      </c>
      <c r="R426" s="707">
        <f t="shared" si="82"/>
        <v>0</v>
      </c>
      <c r="S426" s="352">
        <f t="shared" si="83"/>
        <v>0</v>
      </c>
    </row>
    <row r="427" spans="1:19">
      <c r="A427" s="150"/>
      <c r="B427" s="58"/>
      <c r="C427" s="24">
        <f t="shared" si="74"/>
        <v>1</v>
      </c>
      <c r="D427" s="711"/>
      <c r="E427" s="24">
        <f t="shared" si="75"/>
        <v>1</v>
      </c>
      <c r="F427" s="711"/>
      <c r="G427" s="24">
        <f t="shared" si="76"/>
        <v>1</v>
      </c>
      <c r="H427" s="711"/>
      <c r="I427" s="24">
        <f t="shared" si="77"/>
        <v>1</v>
      </c>
      <c r="J427" s="711"/>
      <c r="K427" s="24">
        <f t="shared" si="78"/>
        <v>1</v>
      </c>
      <c r="L427" s="711"/>
      <c r="M427" s="24">
        <f t="shared" si="79"/>
        <v>1</v>
      </c>
      <c r="N427" s="711"/>
      <c r="O427" s="24">
        <f t="shared" si="80"/>
        <v>1</v>
      </c>
      <c r="P427" s="711"/>
      <c r="Q427" s="24">
        <f t="shared" si="81"/>
        <v>1</v>
      </c>
      <c r="R427" s="707">
        <f t="shared" si="82"/>
        <v>0</v>
      </c>
      <c r="S427" s="352">
        <f t="shared" si="83"/>
        <v>0</v>
      </c>
    </row>
    <row r="428" spans="1:19">
      <c r="A428" s="150"/>
      <c r="B428" s="58"/>
      <c r="C428" s="24">
        <f t="shared" si="74"/>
        <v>1</v>
      </c>
      <c r="D428" s="711"/>
      <c r="E428" s="24">
        <f t="shared" si="75"/>
        <v>1</v>
      </c>
      <c r="F428" s="711"/>
      <c r="G428" s="24">
        <f t="shared" si="76"/>
        <v>1</v>
      </c>
      <c r="H428" s="711"/>
      <c r="I428" s="24">
        <f t="shared" si="77"/>
        <v>1</v>
      </c>
      <c r="J428" s="711"/>
      <c r="K428" s="24">
        <f t="shared" si="78"/>
        <v>1</v>
      </c>
      <c r="L428" s="711"/>
      <c r="M428" s="24">
        <f t="shared" si="79"/>
        <v>1</v>
      </c>
      <c r="N428" s="711"/>
      <c r="O428" s="24">
        <f t="shared" si="80"/>
        <v>1</v>
      </c>
      <c r="P428" s="711"/>
      <c r="Q428" s="24">
        <f t="shared" si="81"/>
        <v>1</v>
      </c>
      <c r="R428" s="707">
        <f t="shared" si="82"/>
        <v>0</v>
      </c>
      <c r="S428" s="352">
        <f t="shared" si="83"/>
        <v>0</v>
      </c>
    </row>
    <row r="429" spans="1:19">
      <c r="A429" s="150"/>
      <c r="B429" s="58"/>
      <c r="C429" s="24">
        <f t="shared" si="74"/>
        <v>1</v>
      </c>
      <c r="D429" s="711"/>
      <c r="E429" s="24">
        <f t="shared" si="75"/>
        <v>1</v>
      </c>
      <c r="F429" s="711"/>
      <c r="G429" s="24">
        <f t="shared" si="76"/>
        <v>1</v>
      </c>
      <c r="H429" s="711"/>
      <c r="I429" s="24">
        <f t="shared" si="77"/>
        <v>1</v>
      </c>
      <c r="J429" s="711"/>
      <c r="K429" s="24">
        <f t="shared" si="78"/>
        <v>1</v>
      </c>
      <c r="L429" s="711"/>
      <c r="M429" s="24">
        <f t="shared" si="79"/>
        <v>1</v>
      </c>
      <c r="N429" s="711"/>
      <c r="O429" s="24">
        <f t="shared" si="80"/>
        <v>1</v>
      </c>
      <c r="P429" s="711"/>
      <c r="Q429" s="24">
        <f t="shared" si="81"/>
        <v>1</v>
      </c>
      <c r="R429" s="707">
        <f t="shared" si="82"/>
        <v>0</v>
      </c>
      <c r="S429" s="352">
        <f t="shared" si="83"/>
        <v>0</v>
      </c>
    </row>
    <row r="430" spans="1:19">
      <c r="A430" s="150"/>
      <c r="B430" s="58"/>
      <c r="C430" s="24">
        <f t="shared" si="74"/>
        <v>1</v>
      </c>
      <c r="D430" s="711"/>
      <c r="E430" s="24">
        <f t="shared" si="75"/>
        <v>1</v>
      </c>
      <c r="F430" s="711"/>
      <c r="G430" s="24">
        <f t="shared" si="76"/>
        <v>1</v>
      </c>
      <c r="H430" s="711"/>
      <c r="I430" s="24">
        <f t="shared" si="77"/>
        <v>1</v>
      </c>
      <c r="J430" s="711"/>
      <c r="K430" s="24">
        <f t="shared" si="78"/>
        <v>1</v>
      </c>
      <c r="L430" s="711"/>
      <c r="M430" s="24">
        <f t="shared" si="79"/>
        <v>1</v>
      </c>
      <c r="N430" s="711"/>
      <c r="O430" s="24">
        <f t="shared" si="80"/>
        <v>1</v>
      </c>
      <c r="P430" s="711"/>
      <c r="Q430" s="24">
        <f t="shared" si="81"/>
        <v>1</v>
      </c>
      <c r="R430" s="707">
        <f t="shared" si="82"/>
        <v>0</v>
      </c>
      <c r="S430" s="352">
        <f t="shared" si="83"/>
        <v>0</v>
      </c>
    </row>
    <row r="431" spans="1:19">
      <c r="A431" s="150"/>
      <c r="B431" s="58"/>
      <c r="C431" s="24">
        <f t="shared" si="74"/>
        <v>1</v>
      </c>
      <c r="D431" s="711"/>
      <c r="E431" s="24">
        <f t="shared" si="75"/>
        <v>1</v>
      </c>
      <c r="F431" s="711"/>
      <c r="G431" s="24">
        <f t="shared" si="76"/>
        <v>1</v>
      </c>
      <c r="H431" s="711"/>
      <c r="I431" s="24">
        <f t="shared" si="77"/>
        <v>1</v>
      </c>
      <c r="J431" s="711"/>
      <c r="K431" s="24">
        <f t="shared" si="78"/>
        <v>1</v>
      </c>
      <c r="L431" s="711"/>
      <c r="M431" s="24">
        <f t="shared" si="79"/>
        <v>1</v>
      </c>
      <c r="N431" s="711"/>
      <c r="O431" s="24">
        <f t="shared" si="80"/>
        <v>1</v>
      </c>
      <c r="P431" s="711"/>
      <c r="Q431" s="24">
        <f t="shared" si="81"/>
        <v>1</v>
      </c>
      <c r="R431" s="707">
        <f t="shared" si="82"/>
        <v>0</v>
      </c>
      <c r="S431" s="352">
        <f t="shared" si="83"/>
        <v>0</v>
      </c>
    </row>
    <row r="432" spans="1:19">
      <c r="A432" s="150"/>
      <c r="B432" s="58"/>
      <c r="C432" s="24">
        <f t="shared" si="74"/>
        <v>1</v>
      </c>
      <c r="D432" s="711"/>
      <c r="E432" s="24">
        <f t="shared" si="75"/>
        <v>1</v>
      </c>
      <c r="F432" s="711"/>
      <c r="G432" s="24">
        <f t="shared" si="76"/>
        <v>1</v>
      </c>
      <c r="H432" s="711"/>
      <c r="I432" s="24">
        <f t="shared" si="77"/>
        <v>1</v>
      </c>
      <c r="J432" s="711"/>
      <c r="K432" s="24">
        <f t="shared" si="78"/>
        <v>1</v>
      </c>
      <c r="L432" s="711"/>
      <c r="M432" s="24">
        <f t="shared" si="79"/>
        <v>1</v>
      </c>
      <c r="N432" s="711"/>
      <c r="O432" s="24">
        <f t="shared" si="80"/>
        <v>1</v>
      </c>
      <c r="P432" s="711"/>
      <c r="Q432" s="24">
        <f t="shared" si="81"/>
        <v>1</v>
      </c>
      <c r="R432" s="707">
        <f t="shared" si="82"/>
        <v>0</v>
      </c>
      <c r="S432" s="352">
        <f t="shared" si="83"/>
        <v>0</v>
      </c>
    </row>
    <row r="433" spans="1:19">
      <c r="A433" s="150"/>
      <c r="B433" s="58"/>
      <c r="C433" s="24">
        <f t="shared" si="74"/>
        <v>1</v>
      </c>
      <c r="D433" s="711"/>
      <c r="E433" s="24">
        <f t="shared" si="75"/>
        <v>1</v>
      </c>
      <c r="F433" s="711"/>
      <c r="G433" s="24">
        <f t="shared" si="76"/>
        <v>1</v>
      </c>
      <c r="H433" s="711"/>
      <c r="I433" s="24">
        <f t="shared" si="77"/>
        <v>1</v>
      </c>
      <c r="J433" s="711"/>
      <c r="K433" s="24">
        <f t="shared" si="78"/>
        <v>1</v>
      </c>
      <c r="L433" s="711"/>
      <c r="M433" s="24">
        <f t="shared" si="79"/>
        <v>1</v>
      </c>
      <c r="N433" s="711"/>
      <c r="O433" s="24">
        <f t="shared" si="80"/>
        <v>1</v>
      </c>
      <c r="P433" s="711"/>
      <c r="Q433" s="24">
        <f t="shared" si="81"/>
        <v>1</v>
      </c>
      <c r="R433" s="707">
        <f t="shared" si="82"/>
        <v>0</v>
      </c>
      <c r="S433" s="352">
        <f t="shared" si="83"/>
        <v>0</v>
      </c>
    </row>
    <row r="434" spans="1:19">
      <c r="A434" s="150"/>
      <c r="B434" s="58"/>
      <c r="C434" s="24">
        <f t="shared" si="74"/>
        <v>1</v>
      </c>
      <c r="D434" s="711"/>
      <c r="E434" s="24">
        <f t="shared" si="75"/>
        <v>1</v>
      </c>
      <c r="F434" s="711"/>
      <c r="G434" s="24">
        <f t="shared" si="76"/>
        <v>1</v>
      </c>
      <c r="H434" s="711"/>
      <c r="I434" s="24">
        <f t="shared" si="77"/>
        <v>1</v>
      </c>
      <c r="J434" s="711"/>
      <c r="K434" s="24">
        <f t="shared" si="78"/>
        <v>1</v>
      </c>
      <c r="L434" s="711"/>
      <c r="M434" s="24">
        <f t="shared" si="79"/>
        <v>1</v>
      </c>
      <c r="N434" s="711"/>
      <c r="O434" s="24">
        <f t="shared" si="80"/>
        <v>1</v>
      </c>
      <c r="P434" s="711"/>
      <c r="Q434" s="24">
        <f t="shared" si="81"/>
        <v>1</v>
      </c>
      <c r="R434" s="707">
        <f t="shared" si="82"/>
        <v>0</v>
      </c>
      <c r="S434" s="352">
        <f t="shared" si="83"/>
        <v>0</v>
      </c>
    </row>
    <row r="435" spans="1:19">
      <c r="A435" s="150"/>
      <c r="B435" s="58"/>
      <c r="C435" s="24">
        <f t="shared" si="74"/>
        <v>1</v>
      </c>
      <c r="D435" s="711"/>
      <c r="E435" s="24">
        <f t="shared" si="75"/>
        <v>1</v>
      </c>
      <c r="F435" s="711"/>
      <c r="G435" s="24">
        <f t="shared" si="76"/>
        <v>1</v>
      </c>
      <c r="H435" s="711"/>
      <c r="I435" s="24">
        <f t="shared" si="77"/>
        <v>1</v>
      </c>
      <c r="J435" s="711"/>
      <c r="K435" s="24">
        <f t="shared" si="78"/>
        <v>1</v>
      </c>
      <c r="L435" s="711"/>
      <c r="M435" s="24">
        <f t="shared" si="79"/>
        <v>1</v>
      </c>
      <c r="N435" s="711"/>
      <c r="O435" s="24">
        <f t="shared" si="80"/>
        <v>1</v>
      </c>
      <c r="P435" s="711"/>
      <c r="Q435" s="24">
        <f t="shared" si="81"/>
        <v>1</v>
      </c>
      <c r="R435" s="707">
        <f t="shared" si="82"/>
        <v>0</v>
      </c>
      <c r="S435" s="352">
        <f t="shared" si="83"/>
        <v>0</v>
      </c>
    </row>
    <row r="436" spans="1:19">
      <c r="A436" s="150"/>
      <c r="B436" s="58"/>
      <c r="C436" s="24">
        <f t="shared" si="74"/>
        <v>1</v>
      </c>
      <c r="D436" s="711"/>
      <c r="E436" s="24">
        <f t="shared" si="75"/>
        <v>1</v>
      </c>
      <c r="F436" s="711"/>
      <c r="G436" s="24">
        <f t="shared" si="76"/>
        <v>1</v>
      </c>
      <c r="H436" s="711"/>
      <c r="I436" s="24">
        <f t="shared" si="77"/>
        <v>1</v>
      </c>
      <c r="J436" s="711"/>
      <c r="K436" s="24">
        <f t="shared" si="78"/>
        <v>1</v>
      </c>
      <c r="L436" s="711"/>
      <c r="M436" s="24">
        <f t="shared" si="79"/>
        <v>1</v>
      </c>
      <c r="N436" s="711"/>
      <c r="O436" s="24">
        <f t="shared" si="80"/>
        <v>1</v>
      </c>
      <c r="P436" s="711"/>
      <c r="Q436" s="24">
        <f t="shared" si="81"/>
        <v>1</v>
      </c>
      <c r="R436" s="707">
        <f t="shared" si="82"/>
        <v>0</v>
      </c>
      <c r="S436" s="352">
        <f t="shared" si="83"/>
        <v>0</v>
      </c>
    </row>
    <row r="437" spans="1:19">
      <c r="A437" s="150"/>
      <c r="B437" s="58"/>
      <c r="C437" s="24">
        <f t="shared" si="74"/>
        <v>1</v>
      </c>
      <c r="D437" s="711"/>
      <c r="E437" s="24">
        <f t="shared" si="75"/>
        <v>1</v>
      </c>
      <c r="F437" s="711"/>
      <c r="G437" s="24">
        <f t="shared" si="76"/>
        <v>1</v>
      </c>
      <c r="H437" s="711"/>
      <c r="I437" s="24">
        <f t="shared" si="77"/>
        <v>1</v>
      </c>
      <c r="J437" s="711"/>
      <c r="K437" s="24">
        <f t="shared" si="78"/>
        <v>1</v>
      </c>
      <c r="L437" s="711"/>
      <c r="M437" s="24">
        <f t="shared" si="79"/>
        <v>1</v>
      </c>
      <c r="N437" s="711"/>
      <c r="O437" s="24">
        <f t="shared" si="80"/>
        <v>1</v>
      </c>
      <c r="P437" s="711"/>
      <c r="Q437" s="24">
        <f t="shared" si="81"/>
        <v>1</v>
      </c>
      <c r="R437" s="707">
        <f t="shared" si="82"/>
        <v>0</v>
      </c>
      <c r="S437" s="352">
        <f t="shared" si="83"/>
        <v>0</v>
      </c>
    </row>
    <row r="438" spans="1:19">
      <c r="A438" s="150"/>
      <c r="B438" s="58"/>
      <c r="C438" s="24">
        <f t="shared" si="74"/>
        <v>1</v>
      </c>
      <c r="D438" s="711"/>
      <c r="E438" s="24">
        <f t="shared" si="75"/>
        <v>1</v>
      </c>
      <c r="F438" s="711"/>
      <c r="G438" s="24">
        <f t="shared" si="76"/>
        <v>1</v>
      </c>
      <c r="H438" s="711"/>
      <c r="I438" s="24">
        <f t="shared" si="77"/>
        <v>1</v>
      </c>
      <c r="J438" s="711"/>
      <c r="K438" s="24">
        <f t="shared" si="78"/>
        <v>1</v>
      </c>
      <c r="L438" s="711"/>
      <c r="M438" s="24">
        <f t="shared" si="79"/>
        <v>1</v>
      </c>
      <c r="N438" s="711"/>
      <c r="O438" s="24">
        <f t="shared" si="80"/>
        <v>1</v>
      </c>
      <c r="P438" s="711"/>
      <c r="Q438" s="24">
        <f t="shared" si="81"/>
        <v>1</v>
      </c>
      <c r="R438" s="707">
        <f t="shared" si="82"/>
        <v>0</v>
      </c>
      <c r="S438" s="352">
        <f t="shared" si="83"/>
        <v>0</v>
      </c>
    </row>
    <row r="439" spans="1:19">
      <c r="A439" s="150"/>
      <c r="B439" s="58"/>
      <c r="C439" s="24">
        <f t="shared" si="74"/>
        <v>1</v>
      </c>
      <c r="D439" s="711"/>
      <c r="E439" s="24">
        <f t="shared" si="75"/>
        <v>1</v>
      </c>
      <c r="F439" s="711"/>
      <c r="G439" s="24">
        <f t="shared" si="76"/>
        <v>1</v>
      </c>
      <c r="H439" s="711"/>
      <c r="I439" s="24">
        <f t="shared" si="77"/>
        <v>1</v>
      </c>
      <c r="J439" s="711"/>
      <c r="K439" s="24">
        <f t="shared" si="78"/>
        <v>1</v>
      </c>
      <c r="L439" s="711"/>
      <c r="M439" s="24">
        <f t="shared" si="79"/>
        <v>1</v>
      </c>
      <c r="N439" s="711"/>
      <c r="O439" s="24">
        <f t="shared" si="80"/>
        <v>1</v>
      </c>
      <c r="P439" s="711"/>
      <c r="Q439" s="24">
        <f t="shared" si="81"/>
        <v>1</v>
      </c>
      <c r="R439" s="707">
        <f t="shared" si="82"/>
        <v>0</v>
      </c>
      <c r="S439" s="352">
        <f t="shared" si="83"/>
        <v>0</v>
      </c>
    </row>
    <row r="440" spans="1:19">
      <c r="A440" s="150"/>
      <c r="B440" s="58"/>
      <c r="C440" s="24">
        <f t="shared" si="74"/>
        <v>1</v>
      </c>
      <c r="D440" s="711"/>
      <c r="E440" s="24">
        <f t="shared" si="75"/>
        <v>1</v>
      </c>
      <c r="F440" s="711"/>
      <c r="G440" s="24">
        <f t="shared" si="76"/>
        <v>1</v>
      </c>
      <c r="H440" s="711"/>
      <c r="I440" s="24">
        <f t="shared" si="77"/>
        <v>1</v>
      </c>
      <c r="J440" s="711"/>
      <c r="K440" s="24">
        <f t="shared" si="78"/>
        <v>1</v>
      </c>
      <c r="L440" s="711"/>
      <c r="M440" s="24">
        <f t="shared" si="79"/>
        <v>1</v>
      </c>
      <c r="N440" s="711"/>
      <c r="O440" s="24">
        <f t="shared" si="80"/>
        <v>1</v>
      </c>
      <c r="P440" s="711"/>
      <c r="Q440" s="24">
        <f t="shared" si="81"/>
        <v>1</v>
      </c>
      <c r="R440" s="707">
        <f t="shared" si="82"/>
        <v>0</v>
      </c>
      <c r="S440" s="352">
        <f t="shared" si="83"/>
        <v>0</v>
      </c>
    </row>
    <row r="441" spans="1:19">
      <c r="A441" s="150"/>
      <c r="B441" s="58"/>
      <c r="C441" s="24">
        <f t="shared" si="74"/>
        <v>1</v>
      </c>
      <c r="D441" s="711"/>
      <c r="E441" s="24">
        <f t="shared" si="75"/>
        <v>1</v>
      </c>
      <c r="F441" s="711"/>
      <c r="G441" s="24">
        <f t="shared" si="76"/>
        <v>1</v>
      </c>
      <c r="H441" s="711"/>
      <c r="I441" s="24">
        <f t="shared" si="77"/>
        <v>1</v>
      </c>
      <c r="J441" s="711"/>
      <c r="K441" s="24">
        <f t="shared" si="78"/>
        <v>1</v>
      </c>
      <c r="L441" s="711"/>
      <c r="M441" s="24">
        <f t="shared" si="79"/>
        <v>1</v>
      </c>
      <c r="N441" s="711"/>
      <c r="O441" s="24">
        <f t="shared" si="80"/>
        <v>1</v>
      </c>
      <c r="P441" s="711"/>
      <c r="Q441" s="24">
        <f t="shared" si="81"/>
        <v>1</v>
      </c>
      <c r="R441" s="707">
        <f t="shared" si="82"/>
        <v>0</v>
      </c>
      <c r="S441" s="352">
        <f t="shared" si="83"/>
        <v>0</v>
      </c>
    </row>
    <row r="442" spans="1:19">
      <c r="A442" s="150"/>
      <c r="B442" s="58"/>
      <c r="C442" s="24">
        <f t="shared" si="74"/>
        <v>1</v>
      </c>
      <c r="D442" s="711"/>
      <c r="E442" s="24">
        <f t="shared" si="75"/>
        <v>1</v>
      </c>
      <c r="F442" s="711"/>
      <c r="G442" s="24">
        <f t="shared" si="76"/>
        <v>1</v>
      </c>
      <c r="H442" s="711"/>
      <c r="I442" s="24">
        <f t="shared" si="77"/>
        <v>1</v>
      </c>
      <c r="J442" s="711"/>
      <c r="K442" s="24">
        <f t="shared" si="78"/>
        <v>1</v>
      </c>
      <c r="L442" s="711"/>
      <c r="M442" s="24">
        <f t="shared" si="79"/>
        <v>1</v>
      </c>
      <c r="N442" s="711"/>
      <c r="O442" s="24">
        <f t="shared" si="80"/>
        <v>1</v>
      </c>
      <c r="P442" s="711"/>
      <c r="Q442" s="24">
        <f t="shared" si="81"/>
        <v>1</v>
      </c>
      <c r="R442" s="707">
        <f t="shared" si="82"/>
        <v>0</v>
      </c>
      <c r="S442" s="352">
        <f t="shared" si="83"/>
        <v>0</v>
      </c>
    </row>
    <row r="443" spans="1:19">
      <c r="A443" s="150"/>
      <c r="B443" s="58"/>
      <c r="C443" s="24">
        <f t="shared" si="74"/>
        <v>1</v>
      </c>
      <c r="D443" s="711"/>
      <c r="E443" s="24">
        <f t="shared" si="75"/>
        <v>1</v>
      </c>
      <c r="F443" s="711"/>
      <c r="G443" s="24">
        <f t="shared" si="76"/>
        <v>1</v>
      </c>
      <c r="H443" s="711"/>
      <c r="I443" s="24">
        <f t="shared" si="77"/>
        <v>1</v>
      </c>
      <c r="J443" s="711"/>
      <c r="K443" s="24">
        <f t="shared" si="78"/>
        <v>1</v>
      </c>
      <c r="L443" s="711"/>
      <c r="M443" s="24">
        <f t="shared" si="79"/>
        <v>1</v>
      </c>
      <c r="N443" s="711"/>
      <c r="O443" s="24">
        <f t="shared" si="80"/>
        <v>1</v>
      </c>
      <c r="P443" s="711"/>
      <c r="Q443" s="24">
        <f t="shared" si="81"/>
        <v>1</v>
      </c>
      <c r="R443" s="707">
        <f t="shared" si="82"/>
        <v>0</v>
      </c>
      <c r="S443" s="352">
        <f t="shared" si="83"/>
        <v>0</v>
      </c>
    </row>
    <row r="444" spans="1:19">
      <c r="A444" s="150"/>
      <c r="B444" s="58"/>
      <c r="C444" s="24">
        <f t="shared" si="74"/>
        <v>1</v>
      </c>
      <c r="D444" s="711"/>
      <c r="E444" s="24">
        <f t="shared" si="75"/>
        <v>1</v>
      </c>
      <c r="F444" s="711"/>
      <c r="G444" s="24">
        <f t="shared" si="76"/>
        <v>1</v>
      </c>
      <c r="H444" s="711"/>
      <c r="I444" s="24">
        <f t="shared" si="77"/>
        <v>1</v>
      </c>
      <c r="J444" s="711"/>
      <c r="K444" s="24">
        <f t="shared" si="78"/>
        <v>1</v>
      </c>
      <c r="L444" s="711"/>
      <c r="M444" s="24">
        <f t="shared" si="79"/>
        <v>1</v>
      </c>
      <c r="N444" s="711"/>
      <c r="O444" s="24">
        <f t="shared" si="80"/>
        <v>1</v>
      </c>
      <c r="P444" s="711"/>
      <c r="Q444" s="24">
        <f t="shared" si="81"/>
        <v>1</v>
      </c>
      <c r="R444" s="707">
        <f t="shared" si="82"/>
        <v>0</v>
      </c>
      <c r="S444" s="352">
        <f t="shared" si="83"/>
        <v>0</v>
      </c>
    </row>
    <row r="445" spans="1:19">
      <c r="A445" s="150"/>
      <c r="B445" s="58"/>
      <c r="C445" s="24">
        <f t="shared" si="74"/>
        <v>1</v>
      </c>
      <c r="D445" s="711"/>
      <c r="E445" s="24">
        <f t="shared" si="75"/>
        <v>1</v>
      </c>
      <c r="F445" s="711"/>
      <c r="G445" s="24">
        <f t="shared" si="76"/>
        <v>1</v>
      </c>
      <c r="H445" s="711"/>
      <c r="I445" s="24">
        <f t="shared" si="77"/>
        <v>1</v>
      </c>
      <c r="J445" s="711"/>
      <c r="K445" s="24">
        <f t="shared" si="78"/>
        <v>1</v>
      </c>
      <c r="L445" s="711"/>
      <c r="M445" s="24">
        <f t="shared" si="79"/>
        <v>1</v>
      </c>
      <c r="N445" s="711"/>
      <c r="O445" s="24">
        <f t="shared" si="80"/>
        <v>1</v>
      </c>
      <c r="P445" s="711"/>
      <c r="Q445" s="24">
        <f t="shared" si="81"/>
        <v>1</v>
      </c>
      <c r="R445" s="707">
        <f t="shared" si="82"/>
        <v>0</v>
      </c>
      <c r="S445" s="352">
        <f t="shared" si="83"/>
        <v>0</v>
      </c>
    </row>
    <row r="446" spans="1:19">
      <c r="A446" s="150"/>
      <c r="B446" s="58"/>
      <c r="C446" s="24">
        <f t="shared" si="74"/>
        <v>1</v>
      </c>
      <c r="D446" s="711"/>
      <c r="E446" s="24">
        <f t="shared" si="75"/>
        <v>1</v>
      </c>
      <c r="F446" s="711"/>
      <c r="G446" s="24">
        <f t="shared" si="76"/>
        <v>1</v>
      </c>
      <c r="H446" s="711"/>
      <c r="I446" s="24">
        <f t="shared" si="77"/>
        <v>1</v>
      </c>
      <c r="J446" s="711"/>
      <c r="K446" s="24">
        <f t="shared" si="78"/>
        <v>1</v>
      </c>
      <c r="L446" s="711"/>
      <c r="M446" s="24">
        <f t="shared" si="79"/>
        <v>1</v>
      </c>
      <c r="N446" s="711"/>
      <c r="O446" s="24">
        <f t="shared" si="80"/>
        <v>1</v>
      </c>
      <c r="P446" s="711"/>
      <c r="Q446" s="24">
        <f t="shared" si="81"/>
        <v>1</v>
      </c>
      <c r="R446" s="707">
        <f t="shared" si="82"/>
        <v>0</v>
      </c>
      <c r="S446" s="352">
        <f t="shared" si="83"/>
        <v>0</v>
      </c>
    </row>
    <row r="447" spans="1:19">
      <c r="A447" s="150"/>
      <c r="B447" s="58"/>
      <c r="C447" s="24">
        <f t="shared" si="74"/>
        <v>1</v>
      </c>
      <c r="D447" s="711"/>
      <c r="E447" s="24">
        <f t="shared" si="75"/>
        <v>1</v>
      </c>
      <c r="F447" s="711"/>
      <c r="G447" s="24">
        <f t="shared" si="76"/>
        <v>1</v>
      </c>
      <c r="H447" s="711"/>
      <c r="I447" s="24">
        <f t="shared" si="77"/>
        <v>1</v>
      </c>
      <c r="J447" s="711"/>
      <c r="K447" s="24">
        <f t="shared" si="78"/>
        <v>1</v>
      </c>
      <c r="L447" s="711"/>
      <c r="M447" s="24">
        <f t="shared" si="79"/>
        <v>1</v>
      </c>
      <c r="N447" s="711"/>
      <c r="O447" s="24">
        <f t="shared" si="80"/>
        <v>1</v>
      </c>
      <c r="P447" s="711"/>
      <c r="Q447" s="24">
        <f t="shared" si="81"/>
        <v>1</v>
      </c>
      <c r="R447" s="707">
        <f t="shared" si="82"/>
        <v>0</v>
      </c>
      <c r="S447" s="352">
        <f t="shared" si="83"/>
        <v>0</v>
      </c>
    </row>
    <row r="448" spans="1:19">
      <c r="A448" s="150"/>
      <c r="B448" s="58"/>
      <c r="C448" s="24">
        <f t="shared" si="74"/>
        <v>1</v>
      </c>
      <c r="D448" s="711"/>
      <c r="E448" s="24">
        <f t="shared" si="75"/>
        <v>1</v>
      </c>
      <c r="F448" s="711"/>
      <c r="G448" s="24">
        <f t="shared" si="76"/>
        <v>1</v>
      </c>
      <c r="H448" s="711"/>
      <c r="I448" s="24">
        <f t="shared" si="77"/>
        <v>1</v>
      </c>
      <c r="J448" s="711"/>
      <c r="K448" s="24">
        <f t="shared" si="78"/>
        <v>1</v>
      </c>
      <c r="L448" s="711"/>
      <c r="M448" s="24">
        <f t="shared" si="79"/>
        <v>1</v>
      </c>
      <c r="N448" s="711"/>
      <c r="O448" s="24">
        <f t="shared" si="80"/>
        <v>1</v>
      </c>
      <c r="P448" s="711"/>
      <c r="Q448" s="24">
        <f t="shared" si="81"/>
        <v>1</v>
      </c>
      <c r="R448" s="707">
        <f t="shared" si="82"/>
        <v>0</v>
      </c>
      <c r="S448" s="352">
        <f t="shared" si="83"/>
        <v>0</v>
      </c>
    </row>
    <row r="449" spans="1:19">
      <c r="A449" s="150"/>
      <c r="B449" s="58"/>
      <c r="C449" s="24">
        <f t="shared" si="74"/>
        <v>1</v>
      </c>
      <c r="D449" s="711"/>
      <c r="E449" s="24">
        <f t="shared" si="75"/>
        <v>1</v>
      </c>
      <c r="F449" s="711"/>
      <c r="G449" s="24">
        <f t="shared" si="76"/>
        <v>1</v>
      </c>
      <c r="H449" s="711"/>
      <c r="I449" s="24">
        <f t="shared" si="77"/>
        <v>1</v>
      </c>
      <c r="J449" s="711"/>
      <c r="K449" s="24">
        <f t="shared" si="78"/>
        <v>1</v>
      </c>
      <c r="L449" s="711"/>
      <c r="M449" s="24">
        <f t="shared" si="79"/>
        <v>1</v>
      </c>
      <c r="N449" s="711"/>
      <c r="O449" s="24">
        <f t="shared" si="80"/>
        <v>1</v>
      </c>
      <c r="P449" s="711"/>
      <c r="Q449" s="24">
        <f t="shared" si="81"/>
        <v>1</v>
      </c>
      <c r="R449" s="707">
        <f t="shared" si="82"/>
        <v>0</v>
      </c>
      <c r="S449" s="352">
        <f t="shared" si="83"/>
        <v>0</v>
      </c>
    </row>
    <row r="450" spans="1:19">
      <c r="A450" s="150"/>
      <c r="B450" s="58"/>
      <c r="C450" s="24">
        <f t="shared" si="74"/>
        <v>1</v>
      </c>
      <c r="D450" s="711"/>
      <c r="E450" s="24">
        <f t="shared" si="75"/>
        <v>1</v>
      </c>
      <c r="F450" s="711"/>
      <c r="G450" s="24">
        <f t="shared" si="76"/>
        <v>1</v>
      </c>
      <c r="H450" s="711"/>
      <c r="I450" s="24">
        <f t="shared" si="77"/>
        <v>1</v>
      </c>
      <c r="J450" s="711"/>
      <c r="K450" s="24">
        <f t="shared" si="78"/>
        <v>1</v>
      </c>
      <c r="L450" s="711"/>
      <c r="M450" s="24">
        <f t="shared" si="79"/>
        <v>1</v>
      </c>
      <c r="N450" s="711"/>
      <c r="O450" s="24">
        <f t="shared" si="80"/>
        <v>1</v>
      </c>
      <c r="P450" s="711"/>
      <c r="Q450" s="24">
        <f t="shared" si="81"/>
        <v>1</v>
      </c>
      <c r="R450" s="707">
        <f t="shared" si="82"/>
        <v>0</v>
      </c>
      <c r="S450" s="352">
        <f t="shared" si="83"/>
        <v>0</v>
      </c>
    </row>
    <row r="451" spans="1:19">
      <c r="A451" s="150"/>
      <c r="B451" s="58"/>
      <c r="C451" s="24">
        <f t="shared" si="74"/>
        <v>1</v>
      </c>
      <c r="D451" s="711"/>
      <c r="E451" s="24">
        <f t="shared" si="75"/>
        <v>1</v>
      </c>
      <c r="F451" s="711"/>
      <c r="G451" s="24">
        <f t="shared" si="76"/>
        <v>1</v>
      </c>
      <c r="H451" s="711"/>
      <c r="I451" s="24">
        <f t="shared" si="77"/>
        <v>1</v>
      </c>
      <c r="J451" s="711"/>
      <c r="K451" s="24">
        <f t="shared" si="78"/>
        <v>1</v>
      </c>
      <c r="L451" s="711"/>
      <c r="M451" s="24">
        <f t="shared" si="79"/>
        <v>1</v>
      </c>
      <c r="N451" s="711"/>
      <c r="O451" s="24">
        <f t="shared" si="80"/>
        <v>1</v>
      </c>
      <c r="P451" s="711"/>
      <c r="Q451" s="24">
        <f t="shared" si="81"/>
        <v>1</v>
      </c>
      <c r="R451" s="707">
        <f t="shared" si="82"/>
        <v>0</v>
      </c>
      <c r="S451" s="352">
        <f t="shared" si="83"/>
        <v>0</v>
      </c>
    </row>
    <row r="452" spans="1:19">
      <c r="A452" s="150"/>
      <c r="B452" s="58"/>
      <c r="C452" s="24">
        <f t="shared" si="74"/>
        <v>1</v>
      </c>
      <c r="D452" s="711"/>
      <c r="E452" s="24">
        <f t="shared" si="75"/>
        <v>1</v>
      </c>
      <c r="F452" s="711"/>
      <c r="G452" s="24">
        <f t="shared" si="76"/>
        <v>1</v>
      </c>
      <c r="H452" s="711"/>
      <c r="I452" s="24">
        <f t="shared" si="77"/>
        <v>1</v>
      </c>
      <c r="J452" s="711"/>
      <c r="K452" s="24">
        <f t="shared" si="78"/>
        <v>1</v>
      </c>
      <c r="L452" s="711"/>
      <c r="M452" s="24">
        <f t="shared" si="79"/>
        <v>1</v>
      </c>
      <c r="N452" s="711"/>
      <c r="O452" s="24">
        <f t="shared" si="80"/>
        <v>1</v>
      </c>
      <c r="P452" s="711"/>
      <c r="Q452" s="24">
        <f t="shared" si="81"/>
        <v>1</v>
      </c>
      <c r="R452" s="707">
        <f t="shared" si="82"/>
        <v>0</v>
      </c>
      <c r="S452" s="352">
        <f t="shared" si="83"/>
        <v>0</v>
      </c>
    </row>
    <row r="453" spans="1:19">
      <c r="A453" s="150"/>
      <c r="B453" s="58"/>
      <c r="C453" s="24">
        <f t="shared" si="74"/>
        <v>1</v>
      </c>
      <c r="D453" s="711"/>
      <c r="E453" s="24">
        <f t="shared" si="75"/>
        <v>1</v>
      </c>
      <c r="F453" s="711"/>
      <c r="G453" s="24">
        <f t="shared" si="76"/>
        <v>1</v>
      </c>
      <c r="H453" s="711"/>
      <c r="I453" s="24">
        <f t="shared" si="77"/>
        <v>1</v>
      </c>
      <c r="J453" s="711"/>
      <c r="K453" s="24">
        <f t="shared" si="78"/>
        <v>1</v>
      </c>
      <c r="L453" s="711"/>
      <c r="M453" s="24">
        <f t="shared" si="79"/>
        <v>1</v>
      </c>
      <c r="N453" s="711"/>
      <c r="O453" s="24">
        <f t="shared" si="80"/>
        <v>1</v>
      </c>
      <c r="P453" s="711"/>
      <c r="Q453" s="24">
        <f t="shared" si="81"/>
        <v>1</v>
      </c>
      <c r="R453" s="707">
        <f t="shared" si="82"/>
        <v>0</v>
      </c>
      <c r="S453" s="352">
        <f t="shared" si="83"/>
        <v>0</v>
      </c>
    </row>
    <row r="454" spans="1:19">
      <c r="A454" s="150"/>
      <c r="B454" s="58"/>
      <c r="C454" s="24">
        <f t="shared" si="74"/>
        <v>1</v>
      </c>
      <c r="D454" s="711"/>
      <c r="E454" s="24">
        <f t="shared" si="75"/>
        <v>1</v>
      </c>
      <c r="F454" s="711"/>
      <c r="G454" s="24">
        <f t="shared" si="76"/>
        <v>1</v>
      </c>
      <c r="H454" s="711"/>
      <c r="I454" s="24">
        <f t="shared" si="77"/>
        <v>1</v>
      </c>
      <c r="J454" s="711"/>
      <c r="K454" s="24">
        <f t="shared" si="78"/>
        <v>1</v>
      </c>
      <c r="L454" s="711"/>
      <c r="M454" s="24">
        <f t="shared" si="79"/>
        <v>1</v>
      </c>
      <c r="N454" s="711"/>
      <c r="O454" s="24">
        <f t="shared" si="80"/>
        <v>1</v>
      </c>
      <c r="P454" s="711"/>
      <c r="Q454" s="24">
        <f t="shared" si="81"/>
        <v>1</v>
      </c>
      <c r="R454" s="707">
        <f t="shared" si="82"/>
        <v>0</v>
      </c>
      <c r="S454" s="352">
        <f t="shared" si="83"/>
        <v>0</v>
      </c>
    </row>
    <row r="455" spans="1:19">
      <c r="A455" s="150"/>
      <c r="B455" s="58"/>
      <c r="C455" s="24">
        <f t="shared" si="74"/>
        <v>1</v>
      </c>
      <c r="D455" s="711"/>
      <c r="E455" s="24">
        <f t="shared" si="75"/>
        <v>1</v>
      </c>
      <c r="F455" s="711"/>
      <c r="G455" s="24">
        <f t="shared" si="76"/>
        <v>1</v>
      </c>
      <c r="H455" s="711"/>
      <c r="I455" s="24">
        <f t="shared" si="77"/>
        <v>1</v>
      </c>
      <c r="J455" s="711"/>
      <c r="K455" s="24">
        <f t="shared" si="78"/>
        <v>1</v>
      </c>
      <c r="L455" s="711"/>
      <c r="M455" s="24">
        <f t="shared" si="79"/>
        <v>1</v>
      </c>
      <c r="N455" s="711"/>
      <c r="O455" s="24">
        <f t="shared" si="80"/>
        <v>1</v>
      </c>
      <c r="P455" s="711"/>
      <c r="Q455" s="24">
        <f t="shared" si="81"/>
        <v>1</v>
      </c>
      <c r="R455" s="707">
        <f t="shared" si="82"/>
        <v>0</v>
      </c>
      <c r="S455" s="352">
        <f t="shared" si="83"/>
        <v>0</v>
      </c>
    </row>
    <row r="456" spans="1:19">
      <c r="A456" s="150"/>
      <c r="B456" s="58"/>
      <c r="C456" s="24">
        <f t="shared" si="74"/>
        <v>1</v>
      </c>
      <c r="D456" s="711"/>
      <c r="E456" s="24">
        <f t="shared" si="75"/>
        <v>1</v>
      </c>
      <c r="F456" s="711"/>
      <c r="G456" s="24">
        <f t="shared" si="76"/>
        <v>1</v>
      </c>
      <c r="H456" s="711"/>
      <c r="I456" s="24">
        <f t="shared" si="77"/>
        <v>1</v>
      </c>
      <c r="J456" s="711"/>
      <c r="K456" s="24">
        <f t="shared" si="78"/>
        <v>1</v>
      </c>
      <c r="L456" s="711"/>
      <c r="M456" s="24">
        <f t="shared" si="79"/>
        <v>1</v>
      </c>
      <c r="N456" s="711"/>
      <c r="O456" s="24">
        <f t="shared" si="80"/>
        <v>1</v>
      </c>
      <c r="P456" s="711"/>
      <c r="Q456" s="24">
        <f t="shared" si="81"/>
        <v>1</v>
      </c>
      <c r="R456" s="707">
        <f t="shared" si="82"/>
        <v>0</v>
      </c>
      <c r="S456" s="352">
        <f t="shared" si="83"/>
        <v>0</v>
      </c>
    </row>
    <row r="457" spans="1:19">
      <c r="A457" s="150"/>
      <c r="B457" s="58"/>
      <c r="C457" s="24">
        <f t="shared" si="74"/>
        <v>1</v>
      </c>
      <c r="D457" s="711"/>
      <c r="E457" s="24">
        <f t="shared" si="75"/>
        <v>1</v>
      </c>
      <c r="F457" s="711"/>
      <c r="G457" s="24">
        <f t="shared" si="76"/>
        <v>1</v>
      </c>
      <c r="H457" s="711"/>
      <c r="I457" s="24">
        <f t="shared" si="77"/>
        <v>1</v>
      </c>
      <c r="J457" s="711"/>
      <c r="K457" s="24">
        <f t="shared" si="78"/>
        <v>1</v>
      </c>
      <c r="L457" s="711"/>
      <c r="M457" s="24">
        <f t="shared" si="79"/>
        <v>1</v>
      </c>
      <c r="N457" s="711"/>
      <c r="O457" s="24">
        <f t="shared" si="80"/>
        <v>1</v>
      </c>
      <c r="P457" s="711"/>
      <c r="Q457" s="24">
        <f t="shared" si="81"/>
        <v>1</v>
      </c>
      <c r="R457" s="707">
        <f t="shared" si="82"/>
        <v>0</v>
      </c>
      <c r="S457" s="352">
        <f t="shared" si="83"/>
        <v>0</v>
      </c>
    </row>
    <row r="458" spans="1:19">
      <c r="A458" s="150"/>
      <c r="B458" s="58"/>
      <c r="C458" s="24">
        <f t="shared" si="74"/>
        <v>1</v>
      </c>
      <c r="D458" s="711"/>
      <c r="E458" s="24">
        <f t="shared" si="75"/>
        <v>1</v>
      </c>
      <c r="F458" s="711"/>
      <c r="G458" s="24">
        <f t="shared" si="76"/>
        <v>1</v>
      </c>
      <c r="H458" s="711"/>
      <c r="I458" s="24">
        <f t="shared" si="77"/>
        <v>1</v>
      </c>
      <c r="J458" s="711"/>
      <c r="K458" s="24">
        <f t="shared" si="78"/>
        <v>1</v>
      </c>
      <c r="L458" s="711"/>
      <c r="M458" s="24">
        <f t="shared" si="79"/>
        <v>1</v>
      </c>
      <c r="N458" s="711"/>
      <c r="O458" s="24">
        <f t="shared" si="80"/>
        <v>1</v>
      </c>
      <c r="P458" s="711"/>
      <c r="Q458" s="24">
        <f t="shared" si="81"/>
        <v>1</v>
      </c>
      <c r="R458" s="707">
        <f t="shared" si="82"/>
        <v>0</v>
      </c>
      <c r="S458" s="352">
        <f t="shared" si="83"/>
        <v>0</v>
      </c>
    </row>
    <row r="459" spans="1:19">
      <c r="A459" s="150"/>
      <c r="B459" s="58"/>
      <c r="C459" s="24">
        <f t="shared" si="74"/>
        <v>1</v>
      </c>
      <c r="D459" s="711"/>
      <c r="E459" s="24">
        <f t="shared" si="75"/>
        <v>1</v>
      </c>
      <c r="F459" s="711"/>
      <c r="G459" s="24">
        <f t="shared" si="76"/>
        <v>1</v>
      </c>
      <c r="H459" s="711"/>
      <c r="I459" s="24">
        <f t="shared" si="77"/>
        <v>1</v>
      </c>
      <c r="J459" s="711"/>
      <c r="K459" s="24">
        <f t="shared" si="78"/>
        <v>1</v>
      </c>
      <c r="L459" s="711"/>
      <c r="M459" s="24">
        <f t="shared" si="79"/>
        <v>1</v>
      </c>
      <c r="N459" s="711"/>
      <c r="O459" s="24">
        <f t="shared" si="80"/>
        <v>1</v>
      </c>
      <c r="P459" s="711"/>
      <c r="Q459" s="24">
        <f t="shared" si="81"/>
        <v>1</v>
      </c>
      <c r="R459" s="707">
        <f t="shared" si="82"/>
        <v>0</v>
      </c>
      <c r="S459" s="352">
        <f t="shared" si="83"/>
        <v>0</v>
      </c>
    </row>
    <row r="460" spans="1:19">
      <c r="A460" s="150"/>
      <c r="B460" s="58"/>
      <c r="C460" s="24">
        <f t="shared" si="74"/>
        <v>1</v>
      </c>
      <c r="D460" s="711"/>
      <c r="E460" s="24">
        <f t="shared" si="75"/>
        <v>1</v>
      </c>
      <c r="F460" s="711"/>
      <c r="G460" s="24">
        <f t="shared" si="76"/>
        <v>1</v>
      </c>
      <c r="H460" s="711"/>
      <c r="I460" s="24">
        <f t="shared" si="77"/>
        <v>1</v>
      </c>
      <c r="J460" s="711"/>
      <c r="K460" s="24">
        <f t="shared" si="78"/>
        <v>1</v>
      </c>
      <c r="L460" s="711"/>
      <c r="M460" s="24">
        <f t="shared" si="79"/>
        <v>1</v>
      </c>
      <c r="N460" s="711"/>
      <c r="O460" s="24">
        <f t="shared" si="80"/>
        <v>1</v>
      </c>
      <c r="P460" s="711"/>
      <c r="Q460" s="24">
        <f t="shared" si="81"/>
        <v>1</v>
      </c>
      <c r="R460" s="707">
        <f t="shared" si="82"/>
        <v>0</v>
      </c>
      <c r="S460" s="352">
        <f t="shared" si="83"/>
        <v>0</v>
      </c>
    </row>
    <row r="461" spans="1:19">
      <c r="A461" s="150"/>
      <c r="B461" s="58"/>
      <c r="C461" s="24">
        <f t="shared" si="74"/>
        <v>1</v>
      </c>
      <c r="D461" s="711"/>
      <c r="E461" s="24">
        <f t="shared" si="75"/>
        <v>1</v>
      </c>
      <c r="F461" s="711"/>
      <c r="G461" s="24">
        <f t="shared" si="76"/>
        <v>1</v>
      </c>
      <c r="H461" s="711"/>
      <c r="I461" s="24">
        <f t="shared" si="77"/>
        <v>1</v>
      </c>
      <c r="J461" s="711"/>
      <c r="K461" s="24">
        <f t="shared" si="78"/>
        <v>1</v>
      </c>
      <c r="L461" s="711"/>
      <c r="M461" s="24">
        <f t="shared" si="79"/>
        <v>1</v>
      </c>
      <c r="N461" s="711"/>
      <c r="O461" s="24">
        <f t="shared" si="80"/>
        <v>1</v>
      </c>
      <c r="P461" s="711"/>
      <c r="Q461" s="24">
        <f t="shared" si="81"/>
        <v>1</v>
      </c>
      <c r="R461" s="707">
        <f t="shared" si="82"/>
        <v>0</v>
      </c>
      <c r="S461" s="352">
        <f t="shared" si="83"/>
        <v>0</v>
      </c>
    </row>
    <row r="462" spans="1:19">
      <c r="A462" s="150"/>
      <c r="B462" s="58"/>
      <c r="C462" s="24">
        <f t="shared" si="74"/>
        <v>1</v>
      </c>
      <c r="D462" s="711"/>
      <c r="E462" s="24">
        <f t="shared" si="75"/>
        <v>1</v>
      </c>
      <c r="F462" s="711"/>
      <c r="G462" s="24">
        <f t="shared" si="76"/>
        <v>1</v>
      </c>
      <c r="H462" s="711"/>
      <c r="I462" s="24">
        <f t="shared" si="77"/>
        <v>1</v>
      </c>
      <c r="J462" s="711"/>
      <c r="K462" s="24">
        <f t="shared" si="78"/>
        <v>1</v>
      </c>
      <c r="L462" s="711"/>
      <c r="M462" s="24">
        <f t="shared" si="79"/>
        <v>1</v>
      </c>
      <c r="N462" s="711"/>
      <c r="O462" s="24">
        <f t="shared" si="80"/>
        <v>1</v>
      </c>
      <c r="P462" s="711"/>
      <c r="Q462" s="24">
        <f t="shared" si="81"/>
        <v>1</v>
      </c>
      <c r="R462" s="707">
        <f t="shared" si="82"/>
        <v>0</v>
      </c>
      <c r="S462" s="352">
        <f t="shared" si="83"/>
        <v>0</v>
      </c>
    </row>
    <row r="463" spans="1:19">
      <c r="A463" s="150"/>
      <c r="B463" s="58"/>
      <c r="C463" s="24">
        <f t="shared" si="74"/>
        <v>1</v>
      </c>
      <c r="D463" s="711"/>
      <c r="E463" s="24">
        <f t="shared" si="75"/>
        <v>1</v>
      </c>
      <c r="F463" s="711"/>
      <c r="G463" s="24">
        <f t="shared" si="76"/>
        <v>1</v>
      </c>
      <c r="H463" s="711"/>
      <c r="I463" s="24">
        <f t="shared" si="77"/>
        <v>1</v>
      </c>
      <c r="J463" s="711"/>
      <c r="K463" s="24">
        <f t="shared" si="78"/>
        <v>1</v>
      </c>
      <c r="L463" s="711"/>
      <c r="M463" s="24">
        <f t="shared" si="79"/>
        <v>1</v>
      </c>
      <c r="N463" s="711"/>
      <c r="O463" s="24">
        <f t="shared" si="80"/>
        <v>1</v>
      </c>
      <c r="P463" s="711"/>
      <c r="Q463" s="24">
        <f t="shared" si="81"/>
        <v>1</v>
      </c>
      <c r="R463" s="707">
        <f t="shared" si="82"/>
        <v>0</v>
      </c>
      <c r="S463" s="352">
        <f t="shared" si="83"/>
        <v>0</v>
      </c>
    </row>
    <row r="464" spans="1:19">
      <c r="A464" s="150"/>
      <c r="B464" s="58"/>
      <c r="C464" s="24">
        <f t="shared" si="74"/>
        <v>1</v>
      </c>
      <c r="D464" s="711"/>
      <c r="E464" s="24">
        <f t="shared" si="75"/>
        <v>1</v>
      </c>
      <c r="F464" s="711"/>
      <c r="G464" s="24">
        <f t="shared" si="76"/>
        <v>1</v>
      </c>
      <c r="H464" s="711"/>
      <c r="I464" s="24">
        <f t="shared" si="77"/>
        <v>1</v>
      </c>
      <c r="J464" s="711"/>
      <c r="K464" s="24">
        <f t="shared" si="78"/>
        <v>1</v>
      </c>
      <c r="L464" s="711"/>
      <c r="M464" s="24">
        <f t="shared" si="79"/>
        <v>1</v>
      </c>
      <c r="N464" s="711"/>
      <c r="O464" s="24">
        <f t="shared" si="80"/>
        <v>1</v>
      </c>
      <c r="P464" s="711"/>
      <c r="Q464" s="24">
        <f t="shared" si="81"/>
        <v>1</v>
      </c>
      <c r="R464" s="707">
        <f t="shared" si="82"/>
        <v>0</v>
      </c>
      <c r="S464" s="352">
        <f t="shared" si="83"/>
        <v>0</v>
      </c>
    </row>
    <row r="465" spans="1:19">
      <c r="A465" s="150"/>
      <c r="B465" s="58"/>
      <c r="C465" s="24">
        <f t="shared" si="74"/>
        <v>1</v>
      </c>
      <c r="D465" s="711"/>
      <c r="E465" s="24">
        <f t="shared" si="75"/>
        <v>1</v>
      </c>
      <c r="F465" s="711"/>
      <c r="G465" s="24">
        <f t="shared" si="76"/>
        <v>1</v>
      </c>
      <c r="H465" s="711"/>
      <c r="I465" s="24">
        <f t="shared" si="77"/>
        <v>1</v>
      </c>
      <c r="J465" s="711"/>
      <c r="K465" s="24">
        <f t="shared" si="78"/>
        <v>1</v>
      </c>
      <c r="L465" s="711"/>
      <c r="M465" s="24">
        <f t="shared" si="79"/>
        <v>1</v>
      </c>
      <c r="N465" s="711"/>
      <c r="O465" s="24">
        <f t="shared" si="80"/>
        <v>1</v>
      </c>
      <c r="P465" s="711"/>
      <c r="Q465" s="24">
        <f t="shared" si="81"/>
        <v>1</v>
      </c>
      <c r="R465" s="707">
        <f t="shared" si="82"/>
        <v>0</v>
      </c>
      <c r="S465" s="352">
        <f t="shared" si="83"/>
        <v>0</v>
      </c>
    </row>
    <row r="466" spans="1:19">
      <c r="A466" s="150"/>
      <c r="B466" s="58"/>
      <c r="C466" s="24">
        <f t="shared" si="74"/>
        <v>1</v>
      </c>
      <c r="D466" s="711"/>
      <c r="E466" s="24">
        <f t="shared" si="75"/>
        <v>1</v>
      </c>
      <c r="F466" s="711"/>
      <c r="G466" s="24">
        <f t="shared" si="76"/>
        <v>1</v>
      </c>
      <c r="H466" s="711"/>
      <c r="I466" s="24">
        <f t="shared" si="77"/>
        <v>1</v>
      </c>
      <c r="J466" s="711"/>
      <c r="K466" s="24">
        <f t="shared" si="78"/>
        <v>1</v>
      </c>
      <c r="L466" s="711"/>
      <c r="M466" s="24">
        <f t="shared" si="79"/>
        <v>1</v>
      </c>
      <c r="N466" s="711"/>
      <c r="O466" s="24">
        <f t="shared" si="80"/>
        <v>1</v>
      </c>
      <c r="P466" s="711"/>
      <c r="Q466" s="24">
        <f t="shared" si="81"/>
        <v>1</v>
      </c>
      <c r="R466" s="707">
        <f t="shared" si="82"/>
        <v>0</v>
      </c>
      <c r="S466" s="352">
        <f t="shared" si="83"/>
        <v>0</v>
      </c>
    </row>
    <row r="467" spans="1:19">
      <c r="A467" s="150"/>
      <c r="B467" s="58"/>
      <c r="C467" s="24">
        <f t="shared" si="74"/>
        <v>1</v>
      </c>
      <c r="D467" s="711"/>
      <c r="E467" s="24">
        <f t="shared" si="75"/>
        <v>1</v>
      </c>
      <c r="F467" s="711"/>
      <c r="G467" s="24">
        <f t="shared" si="76"/>
        <v>1</v>
      </c>
      <c r="H467" s="711"/>
      <c r="I467" s="24">
        <f t="shared" si="77"/>
        <v>1</v>
      </c>
      <c r="J467" s="711"/>
      <c r="K467" s="24">
        <f t="shared" si="78"/>
        <v>1</v>
      </c>
      <c r="L467" s="711"/>
      <c r="M467" s="24">
        <f t="shared" si="79"/>
        <v>1</v>
      </c>
      <c r="N467" s="711"/>
      <c r="O467" s="24">
        <f t="shared" si="80"/>
        <v>1</v>
      </c>
      <c r="P467" s="711"/>
      <c r="Q467" s="24">
        <f t="shared" si="81"/>
        <v>1</v>
      </c>
      <c r="R467" s="707">
        <f t="shared" si="82"/>
        <v>0</v>
      </c>
      <c r="S467" s="352">
        <f t="shared" si="83"/>
        <v>0</v>
      </c>
    </row>
    <row r="468" spans="1:19">
      <c r="A468" s="150"/>
      <c r="B468" s="58"/>
      <c r="C468" s="24">
        <f t="shared" si="74"/>
        <v>1</v>
      </c>
      <c r="D468" s="711"/>
      <c r="E468" s="24">
        <f t="shared" si="75"/>
        <v>1</v>
      </c>
      <c r="F468" s="711"/>
      <c r="G468" s="24">
        <f t="shared" si="76"/>
        <v>1</v>
      </c>
      <c r="H468" s="711"/>
      <c r="I468" s="24">
        <f t="shared" si="77"/>
        <v>1</v>
      </c>
      <c r="J468" s="711"/>
      <c r="K468" s="24">
        <f t="shared" si="78"/>
        <v>1</v>
      </c>
      <c r="L468" s="711"/>
      <c r="M468" s="24">
        <f t="shared" si="79"/>
        <v>1</v>
      </c>
      <c r="N468" s="711"/>
      <c r="O468" s="24">
        <f t="shared" si="80"/>
        <v>1</v>
      </c>
      <c r="P468" s="711"/>
      <c r="Q468" s="24">
        <f t="shared" si="81"/>
        <v>1</v>
      </c>
      <c r="R468" s="707">
        <f t="shared" si="82"/>
        <v>0</v>
      </c>
      <c r="S468" s="352">
        <f t="shared" ref="S468:S497" si="84">ROUND(R468*B468/10000,0)</f>
        <v>0</v>
      </c>
    </row>
    <row r="469" spans="1:19">
      <c r="A469" s="150"/>
      <c r="B469" s="58"/>
      <c r="C469" s="24">
        <f t="shared" si="74"/>
        <v>1</v>
      </c>
      <c r="D469" s="711"/>
      <c r="E469" s="24">
        <f t="shared" si="75"/>
        <v>1</v>
      </c>
      <c r="F469" s="711"/>
      <c r="G469" s="24">
        <f t="shared" si="76"/>
        <v>1</v>
      </c>
      <c r="H469" s="711"/>
      <c r="I469" s="24">
        <f t="shared" si="77"/>
        <v>1</v>
      </c>
      <c r="J469" s="711"/>
      <c r="K469" s="24">
        <f t="shared" si="78"/>
        <v>1</v>
      </c>
      <c r="L469" s="711"/>
      <c r="M469" s="24">
        <f t="shared" si="79"/>
        <v>1</v>
      </c>
      <c r="N469" s="711"/>
      <c r="O469" s="24">
        <f t="shared" si="80"/>
        <v>1</v>
      </c>
      <c r="P469" s="711"/>
      <c r="Q469" s="24">
        <f t="shared" si="81"/>
        <v>1</v>
      </c>
      <c r="R469" s="707">
        <f t="shared" si="82"/>
        <v>0</v>
      </c>
      <c r="S469" s="352">
        <f t="shared" si="84"/>
        <v>0</v>
      </c>
    </row>
    <row r="470" spans="1:19">
      <c r="A470" s="150"/>
      <c r="B470" s="58"/>
      <c r="C470" s="24">
        <f t="shared" si="74"/>
        <v>1</v>
      </c>
      <c r="D470" s="711"/>
      <c r="E470" s="24">
        <f t="shared" si="75"/>
        <v>1</v>
      </c>
      <c r="F470" s="711"/>
      <c r="G470" s="24">
        <f t="shared" si="76"/>
        <v>1</v>
      </c>
      <c r="H470" s="711"/>
      <c r="I470" s="24">
        <f t="shared" si="77"/>
        <v>1</v>
      </c>
      <c r="J470" s="711"/>
      <c r="K470" s="24">
        <f t="shared" si="78"/>
        <v>1</v>
      </c>
      <c r="L470" s="711"/>
      <c r="M470" s="24">
        <f t="shared" si="79"/>
        <v>1</v>
      </c>
      <c r="N470" s="711"/>
      <c r="O470" s="24">
        <f t="shared" si="80"/>
        <v>1</v>
      </c>
      <c r="P470" s="711"/>
      <c r="Q470" s="24">
        <f t="shared" si="81"/>
        <v>1</v>
      </c>
      <c r="R470" s="707">
        <f t="shared" si="82"/>
        <v>0</v>
      </c>
      <c r="S470" s="352">
        <f t="shared" si="84"/>
        <v>0</v>
      </c>
    </row>
    <row r="471" spans="1:19">
      <c r="A471" s="150"/>
      <c r="B471" s="58"/>
      <c r="C471" s="24">
        <f t="shared" si="74"/>
        <v>1</v>
      </c>
      <c r="D471" s="711"/>
      <c r="E471" s="24">
        <f t="shared" si="75"/>
        <v>1</v>
      </c>
      <c r="F471" s="711"/>
      <c r="G471" s="24">
        <f t="shared" si="76"/>
        <v>1</v>
      </c>
      <c r="H471" s="711"/>
      <c r="I471" s="24">
        <f t="shared" si="77"/>
        <v>1</v>
      </c>
      <c r="J471" s="711"/>
      <c r="K471" s="24">
        <f t="shared" si="78"/>
        <v>1</v>
      </c>
      <c r="L471" s="711"/>
      <c r="M471" s="24">
        <f t="shared" si="79"/>
        <v>1</v>
      </c>
      <c r="N471" s="711"/>
      <c r="O471" s="24">
        <f t="shared" si="80"/>
        <v>1</v>
      </c>
      <c r="P471" s="711"/>
      <c r="Q471" s="24">
        <f t="shared" si="81"/>
        <v>1</v>
      </c>
      <c r="R471" s="707">
        <f t="shared" si="82"/>
        <v>0</v>
      </c>
      <c r="S471" s="352">
        <f t="shared" si="84"/>
        <v>0</v>
      </c>
    </row>
    <row r="472" spans="1:19">
      <c r="A472" s="150"/>
      <c r="B472" s="58"/>
      <c r="C472" s="24">
        <f t="shared" si="74"/>
        <v>1</v>
      </c>
      <c r="D472" s="711"/>
      <c r="E472" s="24">
        <f t="shared" si="75"/>
        <v>1</v>
      </c>
      <c r="F472" s="711"/>
      <c r="G472" s="24">
        <f t="shared" si="76"/>
        <v>1</v>
      </c>
      <c r="H472" s="711"/>
      <c r="I472" s="24">
        <f t="shared" si="77"/>
        <v>1</v>
      </c>
      <c r="J472" s="711"/>
      <c r="K472" s="24">
        <f t="shared" si="78"/>
        <v>1</v>
      </c>
      <c r="L472" s="711"/>
      <c r="M472" s="24">
        <f t="shared" si="79"/>
        <v>1</v>
      </c>
      <c r="N472" s="711"/>
      <c r="O472" s="24">
        <f t="shared" si="80"/>
        <v>1</v>
      </c>
      <c r="P472" s="711"/>
      <c r="Q472" s="24">
        <f t="shared" si="81"/>
        <v>1</v>
      </c>
      <c r="R472" s="707">
        <f t="shared" si="82"/>
        <v>0</v>
      </c>
      <c r="S472" s="352">
        <f t="shared" si="84"/>
        <v>0</v>
      </c>
    </row>
    <row r="473" spans="1:19">
      <c r="A473" s="150"/>
      <c r="B473" s="58"/>
      <c r="C473" s="24">
        <f t="shared" si="74"/>
        <v>1</v>
      </c>
      <c r="D473" s="711"/>
      <c r="E473" s="24">
        <f t="shared" si="75"/>
        <v>1</v>
      </c>
      <c r="F473" s="711"/>
      <c r="G473" s="24">
        <f t="shared" si="76"/>
        <v>1</v>
      </c>
      <c r="H473" s="711"/>
      <c r="I473" s="24">
        <f t="shared" si="77"/>
        <v>1</v>
      </c>
      <c r="J473" s="711"/>
      <c r="K473" s="24">
        <f t="shared" si="78"/>
        <v>1</v>
      </c>
      <c r="L473" s="711"/>
      <c r="M473" s="24">
        <f t="shared" si="79"/>
        <v>1</v>
      </c>
      <c r="N473" s="711"/>
      <c r="O473" s="24">
        <f t="shared" si="80"/>
        <v>1</v>
      </c>
      <c r="P473" s="711"/>
      <c r="Q473" s="24">
        <f t="shared" si="81"/>
        <v>1</v>
      </c>
      <c r="R473" s="707">
        <f t="shared" si="82"/>
        <v>0</v>
      </c>
      <c r="S473" s="352">
        <f t="shared" si="84"/>
        <v>0</v>
      </c>
    </row>
    <row r="474" spans="1:19">
      <c r="A474" s="150"/>
      <c r="B474" s="58"/>
      <c r="C474" s="24">
        <f t="shared" ref="C474:C524" si="85">IF(B474="",1,(LOOKUP(B474,$3:$3,$4:$4)-LOOKUP($B$24,$3:$3,$4:$4)+100)/100)</f>
        <v>1</v>
      </c>
      <c r="D474" s="711"/>
      <c r="E474" s="24">
        <f t="shared" ref="E474:E524" si="86">(SUMIF($5:$5,D474,$6:$6)-SUMIF($5:$5,$D$24,$6:$6)+100)/100</f>
        <v>1</v>
      </c>
      <c r="F474" s="711"/>
      <c r="G474" s="24">
        <f t="shared" ref="G474:G524" si="87">(SUMIF($7:$7,F474,$8:$8)-SUMIF($7:$7,$F$24,$8:$8)+100)/100</f>
        <v>1</v>
      </c>
      <c r="H474" s="711"/>
      <c r="I474" s="24">
        <f t="shared" ref="I474:I524" si="88">(SUMIF($9:$9,H474,$10:$10)-SUMIF($9:$9,$H$24,$10:$10)+100)/100</f>
        <v>1</v>
      </c>
      <c r="J474" s="711"/>
      <c r="K474" s="24">
        <f t="shared" ref="K474:K524" si="89">(SUMIF($11:$11,J474,$12:$12)-SUMIF($11:$11,$J$24,$12:$12)+100)/100</f>
        <v>1</v>
      </c>
      <c r="L474" s="711"/>
      <c r="M474" s="24">
        <f t="shared" ref="M474:M524" si="90">(SUMIF($13:$13,L474,$14:$14)-SUMIF($13:$13,$L$24,$14:$14)+100)/100</f>
        <v>1</v>
      </c>
      <c r="N474" s="711"/>
      <c r="O474" s="24">
        <f t="shared" ref="O474:O524" si="91">(SUMIF($15:$15,N474,$16:$16)-SUMIF($15:$15,$N$24,$16:$16)+100)/100</f>
        <v>1</v>
      </c>
      <c r="P474" s="711"/>
      <c r="Q474" s="24">
        <f t="shared" ref="Q474:Q524" si="92">(SUMIF($17:$17,P474,$18:$18)-SUMIF($17:$17,$P$24,$18:$18)+100)/100</f>
        <v>1</v>
      </c>
      <c r="R474" s="707">
        <f t="shared" ref="R474:R524" si="93">IF(B474="",0,ROUND($R$24*C474*E474*G474*I474*K474*M474*O474*Q474,0))</f>
        <v>0</v>
      </c>
      <c r="S474" s="352">
        <f t="shared" si="84"/>
        <v>0</v>
      </c>
    </row>
    <row r="475" spans="1:19">
      <c r="A475" s="150"/>
      <c r="B475" s="58"/>
      <c r="C475" s="24">
        <f t="shared" si="85"/>
        <v>1</v>
      </c>
      <c r="D475" s="711"/>
      <c r="E475" s="24">
        <f t="shared" si="86"/>
        <v>1</v>
      </c>
      <c r="F475" s="711"/>
      <c r="G475" s="24">
        <f t="shared" si="87"/>
        <v>1</v>
      </c>
      <c r="H475" s="711"/>
      <c r="I475" s="24">
        <f t="shared" si="88"/>
        <v>1</v>
      </c>
      <c r="J475" s="711"/>
      <c r="K475" s="24">
        <f t="shared" si="89"/>
        <v>1</v>
      </c>
      <c r="L475" s="711"/>
      <c r="M475" s="24">
        <f t="shared" si="90"/>
        <v>1</v>
      </c>
      <c r="N475" s="711"/>
      <c r="O475" s="24">
        <f t="shared" si="91"/>
        <v>1</v>
      </c>
      <c r="P475" s="711"/>
      <c r="Q475" s="24">
        <f t="shared" si="92"/>
        <v>1</v>
      </c>
      <c r="R475" s="707">
        <f t="shared" si="93"/>
        <v>0</v>
      </c>
      <c r="S475" s="352">
        <f t="shared" si="84"/>
        <v>0</v>
      </c>
    </row>
    <row r="476" spans="1:19">
      <c r="A476" s="150"/>
      <c r="B476" s="58"/>
      <c r="C476" s="24">
        <f t="shared" si="85"/>
        <v>1</v>
      </c>
      <c r="D476" s="711"/>
      <c r="E476" s="24">
        <f t="shared" si="86"/>
        <v>1</v>
      </c>
      <c r="F476" s="711"/>
      <c r="G476" s="24">
        <f t="shared" si="87"/>
        <v>1</v>
      </c>
      <c r="H476" s="711"/>
      <c r="I476" s="24">
        <f t="shared" si="88"/>
        <v>1</v>
      </c>
      <c r="J476" s="711"/>
      <c r="K476" s="24">
        <f t="shared" si="89"/>
        <v>1</v>
      </c>
      <c r="L476" s="711"/>
      <c r="M476" s="24">
        <f t="shared" si="90"/>
        <v>1</v>
      </c>
      <c r="N476" s="711"/>
      <c r="O476" s="24">
        <f t="shared" si="91"/>
        <v>1</v>
      </c>
      <c r="P476" s="711"/>
      <c r="Q476" s="24">
        <f t="shared" si="92"/>
        <v>1</v>
      </c>
      <c r="R476" s="707">
        <f t="shared" si="93"/>
        <v>0</v>
      </c>
      <c r="S476" s="352">
        <f t="shared" si="84"/>
        <v>0</v>
      </c>
    </row>
    <row r="477" spans="1:19">
      <c r="A477" s="150"/>
      <c r="B477" s="58"/>
      <c r="C477" s="24">
        <f t="shared" si="85"/>
        <v>1</v>
      </c>
      <c r="D477" s="711"/>
      <c r="E477" s="24">
        <f t="shared" si="86"/>
        <v>1</v>
      </c>
      <c r="F477" s="711"/>
      <c r="G477" s="24">
        <f t="shared" si="87"/>
        <v>1</v>
      </c>
      <c r="H477" s="711"/>
      <c r="I477" s="24">
        <f t="shared" si="88"/>
        <v>1</v>
      </c>
      <c r="J477" s="711"/>
      <c r="K477" s="24">
        <f t="shared" si="89"/>
        <v>1</v>
      </c>
      <c r="L477" s="711"/>
      <c r="M477" s="24">
        <f t="shared" si="90"/>
        <v>1</v>
      </c>
      <c r="N477" s="711"/>
      <c r="O477" s="24">
        <f t="shared" si="91"/>
        <v>1</v>
      </c>
      <c r="P477" s="711"/>
      <c r="Q477" s="24">
        <f t="shared" si="92"/>
        <v>1</v>
      </c>
      <c r="R477" s="707">
        <f t="shared" si="93"/>
        <v>0</v>
      </c>
      <c r="S477" s="352">
        <f t="shared" si="84"/>
        <v>0</v>
      </c>
    </row>
    <row r="478" spans="1:19">
      <c r="A478" s="150"/>
      <c r="B478" s="58"/>
      <c r="C478" s="24">
        <f t="shared" si="85"/>
        <v>1</v>
      </c>
      <c r="D478" s="711"/>
      <c r="E478" s="24">
        <f t="shared" si="86"/>
        <v>1</v>
      </c>
      <c r="F478" s="711"/>
      <c r="G478" s="24">
        <f t="shared" si="87"/>
        <v>1</v>
      </c>
      <c r="H478" s="711"/>
      <c r="I478" s="24">
        <f t="shared" si="88"/>
        <v>1</v>
      </c>
      <c r="J478" s="711"/>
      <c r="K478" s="24">
        <f t="shared" si="89"/>
        <v>1</v>
      </c>
      <c r="L478" s="711"/>
      <c r="M478" s="24">
        <f t="shared" si="90"/>
        <v>1</v>
      </c>
      <c r="N478" s="711"/>
      <c r="O478" s="24">
        <f t="shared" si="91"/>
        <v>1</v>
      </c>
      <c r="P478" s="711"/>
      <c r="Q478" s="24">
        <f t="shared" si="92"/>
        <v>1</v>
      </c>
      <c r="R478" s="707">
        <f t="shared" si="93"/>
        <v>0</v>
      </c>
      <c r="S478" s="352">
        <f t="shared" si="84"/>
        <v>0</v>
      </c>
    </row>
    <row r="479" spans="1:19">
      <c r="A479" s="150"/>
      <c r="B479" s="58"/>
      <c r="C479" s="24">
        <f t="shared" si="85"/>
        <v>1</v>
      </c>
      <c r="D479" s="711"/>
      <c r="E479" s="24">
        <f t="shared" si="86"/>
        <v>1</v>
      </c>
      <c r="F479" s="711"/>
      <c r="G479" s="24">
        <f t="shared" si="87"/>
        <v>1</v>
      </c>
      <c r="H479" s="711"/>
      <c r="I479" s="24">
        <f t="shared" si="88"/>
        <v>1</v>
      </c>
      <c r="J479" s="711"/>
      <c r="K479" s="24">
        <f t="shared" si="89"/>
        <v>1</v>
      </c>
      <c r="L479" s="711"/>
      <c r="M479" s="24">
        <f t="shared" si="90"/>
        <v>1</v>
      </c>
      <c r="N479" s="711"/>
      <c r="O479" s="24">
        <f t="shared" si="91"/>
        <v>1</v>
      </c>
      <c r="P479" s="711"/>
      <c r="Q479" s="24">
        <f t="shared" si="92"/>
        <v>1</v>
      </c>
      <c r="R479" s="707">
        <f t="shared" si="93"/>
        <v>0</v>
      </c>
      <c r="S479" s="352">
        <f t="shared" si="84"/>
        <v>0</v>
      </c>
    </row>
    <row r="480" spans="1:19">
      <c r="A480" s="150"/>
      <c r="B480" s="58"/>
      <c r="C480" s="24">
        <f t="shared" si="85"/>
        <v>1</v>
      </c>
      <c r="D480" s="711"/>
      <c r="E480" s="24">
        <f t="shared" si="86"/>
        <v>1</v>
      </c>
      <c r="F480" s="711"/>
      <c r="G480" s="24">
        <f t="shared" si="87"/>
        <v>1</v>
      </c>
      <c r="H480" s="711"/>
      <c r="I480" s="24">
        <f t="shared" si="88"/>
        <v>1</v>
      </c>
      <c r="J480" s="711"/>
      <c r="K480" s="24">
        <f t="shared" si="89"/>
        <v>1</v>
      </c>
      <c r="L480" s="711"/>
      <c r="M480" s="24">
        <f t="shared" si="90"/>
        <v>1</v>
      </c>
      <c r="N480" s="711"/>
      <c r="O480" s="24">
        <f t="shared" si="91"/>
        <v>1</v>
      </c>
      <c r="P480" s="711"/>
      <c r="Q480" s="24">
        <f t="shared" si="92"/>
        <v>1</v>
      </c>
      <c r="R480" s="707">
        <f t="shared" si="93"/>
        <v>0</v>
      </c>
      <c r="S480" s="352">
        <f t="shared" si="84"/>
        <v>0</v>
      </c>
    </row>
    <row r="481" spans="1:19">
      <c r="A481" s="150"/>
      <c r="B481" s="58"/>
      <c r="C481" s="24">
        <f t="shared" si="85"/>
        <v>1</v>
      </c>
      <c r="D481" s="711"/>
      <c r="E481" s="24">
        <f t="shared" si="86"/>
        <v>1</v>
      </c>
      <c r="F481" s="711"/>
      <c r="G481" s="24">
        <f t="shared" si="87"/>
        <v>1</v>
      </c>
      <c r="H481" s="711"/>
      <c r="I481" s="24">
        <f t="shared" si="88"/>
        <v>1</v>
      </c>
      <c r="J481" s="711"/>
      <c r="K481" s="24">
        <f t="shared" si="89"/>
        <v>1</v>
      </c>
      <c r="L481" s="711"/>
      <c r="M481" s="24">
        <f t="shared" si="90"/>
        <v>1</v>
      </c>
      <c r="N481" s="711"/>
      <c r="O481" s="24">
        <f t="shared" si="91"/>
        <v>1</v>
      </c>
      <c r="P481" s="711"/>
      <c r="Q481" s="24">
        <f t="shared" si="92"/>
        <v>1</v>
      </c>
      <c r="R481" s="707">
        <f t="shared" si="93"/>
        <v>0</v>
      </c>
      <c r="S481" s="352">
        <f t="shared" si="84"/>
        <v>0</v>
      </c>
    </row>
    <row r="482" spans="1:19">
      <c r="A482" s="150"/>
      <c r="B482" s="58"/>
      <c r="C482" s="24">
        <f t="shared" si="85"/>
        <v>1</v>
      </c>
      <c r="D482" s="711"/>
      <c r="E482" s="24">
        <f t="shared" si="86"/>
        <v>1</v>
      </c>
      <c r="F482" s="711"/>
      <c r="G482" s="24">
        <f t="shared" si="87"/>
        <v>1</v>
      </c>
      <c r="H482" s="711"/>
      <c r="I482" s="24">
        <f t="shared" si="88"/>
        <v>1</v>
      </c>
      <c r="J482" s="711"/>
      <c r="K482" s="24">
        <f t="shared" si="89"/>
        <v>1</v>
      </c>
      <c r="L482" s="711"/>
      <c r="M482" s="24">
        <f t="shared" si="90"/>
        <v>1</v>
      </c>
      <c r="N482" s="711"/>
      <c r="O482" s="24">
        <f t="shared" si="91"/>
        <v>1</v>
      </c>
      <c r="P482" s="711"/>
      <c r="Q482" s="24">
        <f t="shared" si="92"/>
        <v>1</v>
      </c>
      <c r="R482" s="707">
        <f t="shared" si="93"/>
        <v>0</v>
      </c>
      <c r="S482" s="352">
        <f t="shared" si="84"/>
        <v>0</v>
      </c>
    </row>
    <row r="483" spans="1:19">
      <c r="A483" s="150"/>
      <c r="B483" s="58"/>
      <c r="C483" s="24">
        <f t="shared" si="85"/>
        <v>1</v>
      </c>
      <c r="D483" s="711"/>
      <c r="E483" s="24">
        <f t="shared" si="86"/>
        <v>1</v>
      </c>
      <c r="F483" s="711"/>
      <c r="G483" s="24">
        <f t="shared" si="87"/>
        <v>1</v>
      </c>
      <c r="H483" s="711"/>
      <c r="I483" s="24">
        <f t="shared" si="88"/>
        <v>1</v>
      </c>
      <c r="J483" s="711"/>
      <c r="K483" s="24">
        <f t="shared" si="89"/>
        <v>1</v>
      </c>
      <c r="L483" s="711"/>
      <c r="M483" s="24">
        <f t="shared" si="90"/>
        <v>1</v>
      </c>
      <c r="N483" s="711"/>
      <c r="O483" s="24">
        <f t="shared" si="91"/>
        <v>1</v>
      </c>
      <c r="P483" s="711"/>
      <c r="Q483" s="24">
        <f t="shared" si="92"/>
        <v>1</v>
      </c>
      <c r="R483" s="707">
        <f t="shared" si="93"/>
        <v>0</v>
      </c>
      <c r="S483" s="352">
        <f t="shared" si="84"/>
        <v>0</v>
      </c>
    </row>
    <row r="484" spans="1:19">
      <c r="A484" s="150"/>
      <c r="B484" s="58"/>
      <c r="C484" s="24">
        <f t="shared" si="85"/>
        <v>1</v>
      </c>
      <c r="D484" s="711"/>
      <c r="E484" s="24">
        <f t="shared" si="86"/>
        <v>1</v>
      </c>
      <c r="F484" s="711"/>
      <c r="G484" s="24">
        <f t="shared" si="87"/>
        <v>1</v>
      </c>
      <c r="H484" s="711"/>
      <c r="I484" s="24">
        <f t="shared" si="88"/>
        <v>1</v>
      </c>
      <c r="J484" s="711"/>
      <c r="K484" s="24">
        <f t="shared" si="89"/>
        <v>1</v>
      </c>
      <c r="L484" s="711"/>
      <c r="M484" s="24">
        <f t="shared" si="90"/>
        <v>1</v>
      </c>
      <c r="N484" s="711"/>
      <c r="O484" s="24">
        <f t="shared" si="91"/>
        <v>1</v>
      </c>
      <c r="P484" s="711"/>
      <c r="Q484" s="24">
        <f t="shared" si="92"/>
        <v>1</v>
      </c>
      <c r="R484" s="707">
        <f t="shared" si="93"/>
        <v>0</v>
      </c>
      <c r="S484" s="352">
        <f t="shared" si="84"/>
        <v>0</v>
      </c>
    </row>
    <row r="485" spans="1:19">
      <c r="A485" s="150"/>
      <c r="B485" s="58"/>
      <c r="C485" s="24">
        <f t="shared" si="85"/>
        <v>1</v>
      </c>
      <c r="D485" s="711"/>
      <c r="E485" s="24">
        <f t="shared" si="86"/>
        <v>1</v>
      </c>
      <c r="F485" s="711"/>
      <c r="G485" s="24">
        <f t="shared" si="87"/>
        <v>1</v>
      </c>
      <c r="H485" s="711"/>
      <c r="I485" s="24">
        <f t="shared" si="88"/>
        <v>1</v>
      </c>
      <c r="J485" s="711"/>
      <c r="K485" s="24">
        <f t="shared" si="89"/>
        <v>1</v>
      </c>
      <c r="L485" s="711"/>
      <c r="M485" s="24">
        <f t="shared" si="90"/>
        <v>1</v>
      </c>
      <c r="N485" s="711"/>
      <c r="O485" s="24">
        <f t="shared" si="91"/>
        <v>1</v>
      </c>
      <c r="P485" s="711"/>
      <c r="Q485" s="24">
        <f t="shared" si="92"/>
        <v>1</v>
      </c>
      <c r="R485" s="707">
        <f t="shared" si="93"/>
        <v>0</v>
      </c>
      <c r="S485" s="352">
        <f t="shared" si="84"/>
        <v>0</v>
      </c>
    </row>
    <row r="486" spans="1:19">
      <c r="A486" s="150"/>
      <c r="B486" s="58"/>
      <c r="C486" s="24">
        <f t="shared" si="85"/>
        <v>1</v>
      </c>
      <c r="D486" s="711"/>
      <c r="E486" s="24">
        <f t="shared" si="86"/>
        <v>1</v>
      </c>
      <c r="F486" s="711"/>
      <c r="G486" s="24">
        <f t="shared" si="87"/>
        <v>1</v>
      </c>
      <c r="H486" s="711"/>
      <c r="I486" s="24">
        <f t="shared" si="88"/>
        <v>1</v>
      </c>
      <c r="J486" s="711"/>
      <c r="K486" s="24">
        <f t="shared" si="89"/>
        <v>1</v>
      </c>
      <c r="L486" s="711"/>
      <c r="M486" s="24">
        <f t="shared" si="90"/>
        <v>1</v>
      </c>
      <c r="N486" s="711"/>
      <c r="O486" s="24">
        <f t="shared" si="91"/>
        <v>1</v>
      </c>
      <c r="P486" s="711"/>
      <c r="Q486" s="24">
        <f t="shared" si="92"/>
        <v>1</v>
      </c>
      <c r="R486" s="707">
        <f t="shared" si="93"/>
        <v>0</v>
      </c>
      <c r="S486" s="352">
        <f t="shared" si="84"/>
        <v>0</v>
      </c>
    </row>
    <row r="487" spans="1:19">
      <c r="A487" s="150"/>
      <c r="B487" s="58"/>
      <c r="C487" s="24">
        <f t="shared" si="85"/>
        <v>1</v>
      </c>
      <c r="D487" s="711"/>
      <c r="E487" s="24">
        <f t="shared" si="86"/>
        <v>1</v>
      </c>
      <c r="F487" s="711"/>
      <c r="G487" s="24">
        <f t="shared" si="87"/>
        <v>1</v>
      </c>
      <c r="H487" s="711"/>
      <c r="I487" s="24">
        <f t="shared" si="88"/>
        <v>1</v>
      </c>
      <c r="J487" s="711"/>
      <c r="K487" s="24">
        <f t="shared" si="89"/>
        <v>1</v>
      </c>
      <c r="L487" s="711"/>
      <c r="M487" s="24">
        <f t="shared" si="90"/>
        <v>1</v>
      </c>
      <c r="N487" s="711"/>
      <c r="O487" s="24">
        <f t="shared" si="91"/>
        <v>1</v>
      </c>
      <c r="P487" s="711"/>
      <c r="Q487" s="24">
        <f t="shared" si="92"/>
        <v>1</v>
      </c>
      <c r="R487" s="707">
        <f t="shared" si="93"/>
        <v>0</v>
      </c>
      <c r="S487" s="352">
        <f t="shared" si="84"/>
        <v>0</v>
      </c>
    </row>
    <row r="488" spans="1:19">
      <c r="A488" s="150"/>
      <c r="B488" s="58"/>
      <c r="C488" s="24">
        <f t="shared" si="85"/>
        <v>1</v>
      </c>
      <c r="D488" s="711"/>
      <c r="E488" s="24">
        <f t="shared" si="86"/>
        <v>1</v>
      </c>
      <c r="F488" s="711"/>
      <c r="G488" s="24">
        <f t="shared" si="87"/>
        <v>1</v>
      </c>
      <c r="H488" s="711"/>
      <c r="I488" s="24">
        <f t="shared" si="88"/>
        <v>1</v>
      </c>
      <c r="J488" s="711"/>
      <c r="K488" s="24">
        <f t="shared" si="89"/>
        <v>1</v>
      </c>
      <c r="L488" s="711"/>
      <c r="M488" s="24">
        <f t="shared" si="90"/>
        <v>1</v>
      </c>
      <c r="N488" s="711"/>
      <c r="O488" s="24">
        <f t="shared" si="91"/>
        <v>1</v>
      </c>
      <c r="P488" s="711"/>
      <c r="Q488" s="24">
        <f t="shared" si="92"/>
        <v>1</v>
      </c>
      <c r="R488" s="707">
        <f t="shared" si="93"/>
        <v>0</v>
      </c>
      <c r="S488" s="352">
        <f t="shared" si="84"/>
        <v>0</v>
      </c>
    </row>
    <row r="489" spans="1:19">
      <c r="A489" s="150"/>
      <c r="B489" s="58"/>
      <c r="C489" s="24">
        <f t="shared" si="85"/>
        <v>1</v>
      </c>
      <c r="D489" s="711"/>
      <c r="E489" s="24">
        <f t="shared" si="86"/>
        <v>1</v>
      </c>
      <c r="F489" s="711"/>
      <c r="G489" s="24">
        <f t="shared" si="87"/>
        <v>1</v>
      </c>
      <c r="H489" s="711"/>
      <c r="I489" s="24">
        <f t="shared" si="88"/>
        <v>1</v>
      </c>
      <c r="J489" s="711"/>
      <c r="K489" s="24">
        <f t="shared" si="89"/>
        <v>1</v>
      </c>
      <c r="L489" s="711"/>
      <c r="M489" s="24">
        <f t="shared" si="90"/>
        <v>1</v>
      </c>
      <c r="N489" s="711"/>
      <c r="O489" s="24">
        <f t="shared" si="91"/>
        <v>1</v>
      </c>
      <c r="P489" s="711"/>
      <c r="Q489" s="24">
        <f t="shared" si="92"/>
        <v>1</v>
      </c>
      <c r="R489" s="707">
        <f t="shared" si="93"/>
        <v>0</v>
      </c>
      <c r="S489" s="352">
        <f t="shared" si="84"/>
        <v>0</v>
      </c>
    </row>
    <row r="490" spans="1:19">
      <c r="A490" s="150"/>
      <c r="B490" s="58"/>
      <c r="C490" s="24">
        <f t="shared" si="85"/>
        <v>1</v>
      </c>
      <c r="D490" s="711"/>
      <c r="E490" s="24">
        <f t="shared" si="86"/>
        <v>1</v>
      </c>
      <c r="F490" s="711"/>
      <c r="G490" s="24">
        <f t="shared" si="87"/>
        <v>1</v>
      </c>
      <c r="H490" s="711"/>
      <c r="I490" s="24">
        <f t="shared" si="88"/>
        <v>1</v>
      </c>
      <c r="J490" s="711"/>
      <c r="K490" s="24">
        <f t="shared" si="89"/>
        <v>1</v>
      </c>
      <c r="L490" s="711"/>
      <c r="M490" s="24">
        <f t="shared" si="90"/>
        <v>1</v>
      </c>
      <c r="N490" s="711"/>
      <c r="O490" s="24">
        <f t="shared" si="91"/>
        <v>1</v>
      </c>
      <c r="P490" s="711"/>
      <c r="Q490" s="24">
        <f t="shared" si="92"/>
        <v>1</v>
      </c>
      <c r="R490" s="707">
        <f t="shared" si="93"/>
        <v>0</v>
      </c>
      <c r="S490" s="352">
        <f t="shared" si="84"/>
        <v>0</v>
      </c>
    </row>
    <row r="491" spans="1:19">
      <c r="A491" s="150"/>
      <c r="B491" s="58"/>
      <c r="C491" s="24">
        <f t="shared" si="85"/>
        <v>1</v>
      </c>
      <c r="D491" s="711"/>
      <c r="E491" s="24">
        <f t="shared" si="86"/>
        <v>1</v>
      </c>
      <c r="F491" s="711"/>
      <c r="G491" s="24">
        <f t="shared" si="87"/>
        <v>1</v>
      </c>
      <c r="H491" s="711"/>
      <c r="I491" s="24">
        <f t="shared" si="88"/>
        <v>1</v>
      </c>
      <c r="J491" s="711"/>
      <c r="K491" s="24">
        <f t="shared" si="89"/>
        <v>1</v>
      </c>
      <c r="L491" s="711"/>
      <c r="M491" s="24">
        <f t="shared" si="90"/>
        <v>1</v>
      </c>
      <c r="N491" s="711"/>
      <c r="O491" s="24">
        <f t="shared" si="91"/>
        <v>1</v>
      </c>
      <c r="P491" s="711"/>
      <c r="Q491" s="24">
        <f t="shared" si="92"/>
        <v>1</v>
      </c>
      <c r="R491" s="707">
        <f t="shared" si="93"/>
        <v>0</v>
      </c>
      <c r="S491" s="352">
        <f t="shared" si="84"/>
        <v>0</v>
      </c>
    </row>
    <row r="492" spans="1:19">
      <c r="A492" s="150"/>
      <c r="B492" s="58"/>
      <c r="C492" s="24">
        <f t="shared" si="85"/>
        <v>1</v>
      </c>
      <c r="D492" s="711"/>
      <c r="E492" s="24">
        <f t="shared" si="86"/>
        <v>1</v>
      </c>
      <c r="F492" s="711"/>
      <c r="G492" s="24">
        <f t="shared" si="87"/>
        <v>1</v>
      </c>
      <c r="H492" s="711"/>
      <c r="I492" s="24">
        <f t="shared" si="88"/>
        <v>1</v>
      </c>
      <c r="J492" s="711"/>
      <c r="K492" s="24">
        <f t="shared" si="89"/>
        <v>1</v>
      </c>
      <c r="L492" s="711"/>
      <c r="M492" s="24">
        <f t="shared" si="90"/>
        <v>1</v>
      </c>
      <c r="N492" s="711"/>
      <c r="O492" s="24">
        <f t="shared" si="91"/>
        <v>1</v>
      </c>
      <c r="P492" s="711"/>
      <c r="Q492" s="24">
        <f t="shared" si="92"/>
        <v>1</v>
      </c>
      <c r="R492" s="707">
        <f t="shared" si="93"/>
        <v>0</v>
      </c>
      <c r="S492" s="352">
        <f t="shared" si="84"/>
        <v>0</v>
      </c>
    </row>
    <row r="493" spans="1:19">
      <c r="A493" s="150"/>
      <c r="B493" s="58"/>
      <c r="C493" s="24">
        <f t="shared" si="85"/>
        <v>1</v>
      </c>
      <c r="D493" s="711"/>
      <c r="E493" s="24">
        <f t="shared" si="86"/>
        <v>1</v>
      </c>
      <c r="F493" s="711"/>
      <c r="G493" s="24">
        <f t="shared" si="87"/>
        <v>1</v>
      </c>
      <c r="H493" s="711"/>
      <c r="I493" s="24">
        <f t="shared" si="88"/>
        <v>1</v>
      </c>
      <c r="J493" s="711"/>
      <c r="K493" s="24">
        <f t="shared" si="89"/>
        <v>1</v>
      </c>
      <c r="L493" s="711"/>
      <c r="M493" s="24">
        <f t="shared" si="90"/>
        <v>1</v>
      </c>
      <c r="N493" s="711"/>
      <c r="O493" s="24">
        <f t="shared" si="91"/>
        <v>1</v>
      </c>
      <c r="P493" s="711"/>
      <c r="Q493" s="24">
        <f t="shared" si="92"/>
        <v>1</v>
      </c>
      <c r="R493" s="707">
        <f t="shared" si="93"/>
        <v>0</v>
      </c>
      <c r="S493" s="352">
        <f t="shared" si="84"/>
        <v>0</v>
      </c>
    </row>
    <row r="494" spans="1:19">
      <c r="A494" s="150"/>
      <c r="B494" s="58"/>
      <c r="C494" s="24">
        <f t="shared" si="85"/>
        <v>1</v>
      </c>
      <c r="D494" s="711"/>
      <c r="E494" s="24">
        <f t="shared" si="86"/>
        <v>1</v>
      </c>
      <c r="F494" s="711"/>
      <c r="G494" s="24">
        <f t="shared" si="87"/>
        <v>1</v>
      </c>
      <c r="H494" s="711"/>
      <c r="I494" s="24">
        <f t="shared" si="88"/>
        <v>1</v>
      </c>
      <c r="J494" s="711"/>
      <c r="K494" s="24">
        <f t="shared" si="89"/>
        <v>1</v>
      </c>
      <c r="L494" s="711"/>
      <c r="M494" s="24">
        <f t="shared" si="90"/>
        <v>1</v>
      </c>
      <c r="N494" s="711"/>
      <c r="O494" s="24">
        <f t="shared" si="91"/>
        <v>1</v>
      </c>
      <c r="P494" s="711"/>
      <c r="Q494" s="24">
        <f t="shared" si="92"/>
        <v>1</v>
      </c>
      <c r="R494" s="707">
        <f t="shared" si="93"/>
        <v>0</v>
      </c>
      <c r="S494" s="352">
        <f t="shared" si="84"/>
        <v>0</v>
      </c>
    </row>
    <row r="495" spans="1:19">
      <c r="A495" s="150"/>
      <c r="B495" s="58"/>
      <c r="C495" s="24">
        <f t="shared" si="85"/>
        <v>1</v>
      </c>
      <c r="D495" s="711"/>
      <c r="E495" s="24">
        <f t="shared" si="86"/>
        <v>1</v>
      </c>
      <c r="F495" s="711"/>
      <c r="G495" s="24">
        <f t="shared" si="87"/>
        <v>1</v>
      </c>
      <c r="H495" s="711"/>
      <c r="I495" s="24">
        <f t="shared" si="88"/>
        <v>1</v>
      </c>
      <c r="J495" s="711"/>
      <c r="K495" s="24">
        <f t="shared" si="89"/>
        <v>1</v>
      </c>
      <c r="L495" s="711"/>
      <c r="M495" s="24">
        <f t="shared" si="90"/>
        <v>1</v>
      </c>
      <c r="N495" s="711"/>
      <c r="O495" s="24">
        <f t="shared" si="91"/>
        <v>1</v>
      </c>
      <c r="P495" s="711"/>
      <c r="Q495" s="24">
        <f t="shared" si="92"/>
        <v>1</v>
      </c>
      <c r="R495" s="707">
        <f t="shared" si="93"/>
        <v>0</v>
      </c>
      <c r="S495" s="352">
        <f t="shared" si="84"/>
        <v>0</v>
      </c>
    </row>
    <row r="496" spans="1:19">
      <c r="A496" s="150"/>
      <c r="B496" s="58"/>
      <c r="C496" s="24">
        <f t="shared" si="85"/>
        <v>1</v>
      </c>
      <c r="D496" s="711"/>
      <c r="E496" s="24">
        <f t="shared" si="86"/>
        <v>1</v>
      </c>
      <c r="F496" s="711"/>
      <c r="G496" s="24">
        <f t="shared" si="87"/>
        <v>1</v>
      </c>
      <c r="H496" s="711"/>
      <c r="I496" s="24">
        <f t="shared" si="88"/>
        <v>1</v>
      </c>
      <c r="J496" s="711"/>
      <c r="K496" s="24">
        <f t="shared" si="89"/>
        <v>1</v>
      </c>
      <c r="L496" s="711"/>
      <c r="M496" s="24">
        <f t="shared" si="90"/>
        <v>1</v>
      </c>
      <c r="N496" s="711"/>
      <c r="O496" s="24">
        <f t="shared" si="91"/>
        <v>1</v>
      </c>
      <c r="P496" s="711"/>
      <c r="Q496" s="24">
        <f t="shared" si="92"/>
        <v>1</v>
      </c>
      <c r="R496" s="707">
        <f t="shared" si="93"/>
        <v>0</v>
      </c>
      <c r="S496" s="352">
        <f t="shared" si="84"/>
        <v>0</v>
      </c>
    </row>
    <row r="497" spans="1:19">
      <c r="A497" s="150"/>
      <c r="B497" s="58"/>
      <c r="C497" s="24">
        <f t="shared" si="85"/>
        <v>1</v>
      </c>
      <c r="D497" s="711"/>
      <c r="E497" s="24">
        <f t="shared" si="86"/>
        <v>1</v>
      </c>
      <c r="F497" s="711"/>
      <c r="G497" s="24">
        <f t="shared" si="87"/>
        <v>1</v>
      </c>
      <c r="H497" s="711"/>
      <c r="I497" s="24">
        <f t="shared" si="88"/>
        <v>1</v>
      </c>
      <c r="J497" s="711"/>
      <c r="K497" s="24">
        <f t="shared" si="89"/>
        <v>1</v>
      </c>
      <c r="L497" s="711"/>
      <c r="M497" s="24">
        <f t="shared" si="90"/>
        <v>1</v>
      </c>
      <c r="N497" s="711"/>
      <c r="O497" s="24">
        <f t="shared" si="91"/>
        <v>1</v>
      </c>
      <c r="P497" s="711"/>
      <c r="Q497" s="24">
        <f t="shared" si="92"/>
        <v>1</v>
      </c>
      <c r="R497" s="707">
        <f t="shared" si="93"/>
        <v>0</v>
      </c>
      <c r="S497" s="352">
        <f t="shared" si="84"/>
        <v>0</v>
      </c>
    </row>
    <row r="498" spans="1:19">
      <c r="A498" s="150"/>
      <c r="B498" s="58"/>
      <c r="C498" s="24">
        <f t="shared" si="85"/>
        <v>1</v>
      </c>
      <c r="D498" s="711"/>
      <c r="E498" s="24">
        <f t="shared" si="86"/>
        <v>1</v>
      </c>
      <c r="F498" s="711"/>
      <c r="G498" s="24">
        <f t="shared" si="87"/>
        <v>1</v>
      </c>
      <c r="H498" s="711"/>
      <c r="I498" s="24">
        <f t="shared" si="88"/>
        <v>1</v>
      </c>
      <c r="J498" s="711"/>
      <c r="K498" s="24">
        <f t="shared" si="89"/>
        <v>1</v>
      </c>
      <c r="L498" s="711"/>
      <c r="M498" s="24">
        <f t="shared" si="90"/>
        <v>1</v>
      </c>
      <c r="N498" s="711"/>
      <c r="O498" s="24">
        <f t="shared" si="91"/>
        <v>1</v>
      </c>
      <c r="P498" s="711"/>
      <c r="Q498" s="24">
        <f t="shared" si="92"/>
        <v>1</v>
      </c>
      <c r="R498" s="707">
        <f t="shared" si="93"/>
        <v>0</v>
      </c>
      <c r="S498" s="352">
        <f t="shared" ref="S498:S524" si="94">ROUND(R498*B498/10000,0)</f>
        <v>0</v>
      </c>
    </row>
    <row r="499" spans="1:19">
      <c r="A499" s="150"/>
      <c r="B499" s="58"/>
      <c r="C499" s="24">
        <f t="shared" si="85"/>
        <v>1</v>
      </c>
      <c r="D499" s="711"/>
      <c r="E499" s="24">
        <f t="shared" si="86"/>
        <v>1</v>
      </c>
      <c r="F499" s="711"/>
      <c r="G499" s="24">
        <f t="shared" si="87"/>
        <v>1</v>
      </c>
      <c r="H499" s="711"/>
      <c r="I499" s="24">
        <f t="shared" si="88"/>
        <v>1</v>
      </c>
      <c r="J499" s="711"/>
      <c r="K499" s="24">
        <f t="shared" si="89"/>
        <v>1</v>
      </c>
      <c r="L499" s="711"/>
      <c r="M499" s="24">
        <f t="shared" si="90"/>
        <v>1</v>
      </c>
      <c r="N499" s="711"/>
      <c r="O499" s="24">
        <f t="shared" si="91"/>
        <v>1</v>
      </c>
      <c r="P499" s="711"/>
      <c r="Q499" s="24">
        <f t="shared" si="92"/>
        <v>1</v>
      </c>
      <c r="R499" s="707">
        <f t="shared" si="93"/>
        <v>0</v>
      </c>
      <c r="S499" s="352">
        <f t="shared" si="94"/>
        <v>0</v>
      </c>
    </row>
    <row r="500" spans="1:19">
      <c r="A500" s="150"/>
      <c r="B500" s="58"/>
      <c r="C500" s="24">
        <f t="shared" si="85"/>
        <v>1</v>
      </c>
      <c r="D500" s="711"/>
      <c r="E500" s="24">
        <f t="shared" si="86"/>
        <v>1</v>
      </c>
      <c r="F500" s="711"/>
      <c r="G500" s="24">
        <f t="shared" si="87"/>
        <v>1</v>
      </c>
      <c r="H500" s="711"/>
      <c r="I500" s="24">
        <f t="shared" si="88"/>
        <v>1</v>
      </c>
      <c r="J500" s="711"/>
      <c r="K500" s="24">
        <f t="shared" si="89"/>
        <v>1</v>
      </c>
      <c r="L500" s="711"/>
      <c r="M500" s="24">
        <f t="shared" si="90"/>
        <v>1</v>
      </c>
      <c r="N500" s="711"/>
      <c r="O500" s="24">
        <f t="shared" si="91"/>
        <v>1</v>
      </c>
      <c r="P500" s="711"/>
      <c r="Q500" s="24">
        <f t="shared" si="92"/>
        <v>1</v>
      </c>
      <c r="R500" s="707">
        <f t="shared" si="93"/>
        <v>0</v>
      </c>
      <c r="S500" s="352">
        <f t="shared" si="94"/>
        <v>0</v>
      </c>
    </row>
    <row r="501" spans="1:19">
      <c r="A501" s="150"/>
      <c r="B501" s="58"/>
      <c r="C501" s="24">
        <f t="shared" si="85"/>
        <v>1</v>
      </c>
      <c r="D501" s="711"/>
      <c r="E501" s="24">
        <f t="shared" si="86"/>
        <v>1</v>
      </c>
      <c r="F501" s="711"/>
      <c r="G501" s="24">
        <f t="shared" si="87"/>
        <v>1</v>
      </c>
      <c r="H501" s="711"/>
      <c r="I501" s="24">
        <f t="shared" si="88"/>
        <v>1</v>
      </c>
      <c r="J501" s="711"/>
      <c r="K501" s="24">
        <f t="shared" si="89"/>
        <v>1</v>
      </c>
      <c r="L501" s="711"/>
      <c r="M501" s="24">
        <f t="shared" si="90"/>
        <v>1</v>
      </c>
      <c r="N501" s="711"/>
      <c r="O501" s="24">
        <f t="shared" si="91"/>
        <v>1</v>
      </c>
      <c r="P501" s="711"/>
      <c r="Q501" s="24">
        <f t="shared" si="92"/>
        <v>1</v>
      </c>
      <c r="R501" s="707">
        <f t="shared" si="93"/>
        <v>0</v>
      </c>
      <c r="S501" s="352">
        <f t="shared" si="94"/>
        <v>0</v>
      </c>
    </row>
    <row r="502" spans="1:19">
      <c r="A502" s="150"/>
      <c r="B502" s="58"/>
      <c r="C502" s="24">
        <f t="shared" si="85"/>
        <v>1</v>
      </c>
      <c r="D502" s="711"/>
      <c r="E502" s="24">
        <f t="shared" si="86"/>
        <v>1</v>
      </c>
      <c r="F502" s="711"/>
      <c r="G502" s="24">
        <f t="shared" si="87"/>
        <v>1</v>
      </c>
      <c r="H502" s="711"/>
      <c r="I502" s="24">
        <f t="shared" si="88"/>
        <v>1</v>
      </c>
      <c r="J502" s="711"/>
      <c r="K502" s="24">
        <f t="shared" si="89"/>
        <v>1</v>
      </c>
      <c r="L502" s="711"/>
      <c r="M502" s="24">
        <f t="shared" si="90"/>
        <v>1</v>
      </c>
      <c r="N502" s="711"/>
      <c r="O502" s="24">
        <f t="shared" si="91"/>
        <v>1</v>
      </c>
      <c r="P502" s="711"/>
      <c r="Q502" s="24">
        <f t="shared" si="92"/>
        <v>1</v>
      </c>
      <c r="R502" s="707">
        <f t="shared" si="93"/>
        <v>0</v>
      </c>
      <c r="S502" s="352">
        <f t="shared" si="94"/>
        <v>0</v>
      </c>
    </row>
    <row r="503" spans="1:19">
      <c r="A503" s="150"/>
      <c r="B503" s="58"/>
      <c r="C503" s="24">
        <f t="shared" si="85"/>
        <v>1</v>
      </c>
      <c r="D503" s="711"/>
      <c r="E503" s="24">
        <f t="shared" si="86"/>
        <v>1</v>
      </c>
      <c r="F503" s="711"/>
      <c r="G503" s="24">
        <f t="shared" si="87"/>
        <v>1</v>
      </c>
      <c r="H503" s="711"/>
      <c r="I503" s="24">
        <f t="shared" si="88"/>
        <v>1</v>
      </c>
      <c r="J503" s="711"/>
      <c r="K503" s="24">
        <f t="shared" si="89"/>
        <v>1</v>
      </c>
      <c r="L503" s="711"/>
      <c r="M503" s="24">
        <f t="shared" si="90"/>
        <v>1</v>
      </c>
      <c r="N503" s="711"/>
      <c r="O503" s="24">
        <f t="shared" si="91"/>
        <v>1</v>
      </c>
      <c r="P503" s="711"/>
      <c r="Q503" s="24">
        <f t="shared" si="92"/>
        <v>1</v>
      </c>
      <c r="R503" s="707">
        <f t="shared" si="93"/>
        <v>0</v>
      </c>
      <c r="S503" s="352">
        <f t="shared" si="94"/>
        <v>0</v>
      </c>
    </row>
    <row r="504" spans="1:19">
      <c r="A504" s="150"/>
      <c r="B504" s="58"/>
      <c r="C504" s="24">
        <f t="shared" si="85"/>
        <v>1</v>
      </c>
      <c r="D504" s="711"/>
      <c r="E504" s="24">
        <f t="shared" si="86"/>
        <v>1</v>
      </c>
      <c r="F504" s="711"/>
      <c r="G504" s="24">
        <f t="shared" si="87"/>
        <v>1</v>
      </c>
      <c r="H504" s="711"/>
      <c r="I504" s="24">
        <f t="shared" si="88"/>
        <v>1</v>
      </c>
      <c r="J504" s="711"/>
      <c r="K504" s="24">
        <f t="shared" si="89"/>
        <v>1</v>
      </c>
      <c r="L504" s="711"/>
      <c r="M504" s="24">
        <f t="shared" si="90"/>
        <v>1</v>
      </c>
      <c r="N504" s="711"/>
      <c r="O504" s="24">
        <f t="shared" si="91"/>
        <v>1</v>
      </c>
      <c r="P504" s="711"/>
      <c r="Q504" s="24">
        <f t="shared" si="92"/>
        <v>1</v>
      </c>
      <c r="R504" s="707">
        <f t="shared" si="93"/>
        <v>0</v>
      </c>
      <c r="S504" s="352">
        <f t="shared" si="94"/>
        <v>0</v>
      </c>
    </row>
    <row r="505" spans="1:19">
      <c r="A505" s="150"/>
      <c r="B505" s="58"/>
      <c r="C505" s="24">
        <f t="shared" si="85"/>
        <v>1</v>
      </c>
      <c r="D505" s="711"/>
      <c r="E505" s="24">
        <f t="shared" si="86"/>
        <v>1</v>
      </c>
      <c r="F505" s="711"/>
      <c r="G505" s="24">
        <f t="shared" si="87"/>
        <v>1</v>
      </c>
      <c r="H505" s="711"/>
      <c r="I505" s="24">
        <f t="shared" si="88"/>
        <v>1</v>
      </c>
      <c r="J505" s="711"/>
      <c r="K505" s="24">
        <f t="shared" si="89"/>
        <v>1</v>
      </c>
      <c r="L505" s="711"/>
      <c r="M505" s="24">
        <f t="shared" si="90"/>
        <v>1</v>
      </c>
      <c r="N505" s="711"/>
      <c r="O505" s="24">
        <f t="shared" si="91"/>
        <v>1</v>
      </c>
      <c r="P505" s="711"/>
      <c r="Q505" s="24">
        <f t="shared" si="92"/>
        <v>1</v>
      </c>
      <c r="R505" s="707">
        <f t="shared" si="93"/>
        <v>0</v>
      </c>
      <c r="S505" s="352">
        <f t="shared" si="94"/>
        <v>0</v>
      </c>
    </row>
    <row r="506" spans="1:19">
      <c r="A506" s="150"/>
      <c r="B506" s="58"/>
      <c r="C506" s="24">
        <f t="shared" si="85"/>
        <v>1</v>
      </c>
      <c r="D506" s="711"/>
      <c r="E506" s="24">
        <f t="shared" si="86"/>
        <v>1</v>
      </c>
      <c r="F506" s="711"/>
      <c r="G506" s="24">
        <f t="shared" si="87"/>
        <v>1</v>
      </c>
      <c r="H506" s="711"/>
      <c r="I506" s="24">
        <f t="shared" si="88"/>
        <v>1</v>
      </c>
      <c r="J506" s="711"/>
      <c r="K506" s="24">
        <f t="shared" si="89"/>
        <v>1</v>
      </c>
      <c r="L506" s="711"/>
      <c r="M506" s="24">
        <f t="shared" si="90"/>
        <v>1</v>
      </c>
      <c r="N506" s="711"/>
      <c r="O506" s="24">
        <f t="shared" si="91"/>
        <v>1</v>
      </c>
      <c r="P506" s="711"/>
      <c r="Q506" s="24">
        <f t="shared" si="92"/>
        <v>1</v>
      </c>
      <c r="R506" s="707">
        <f t="shared" si="93"/>
        <v>0</v>
      </c>
      <c r="S506" s="352">
        <f t="shared" si="94"/>
        <v>0</v>
      </c>
    </row>
    <row r="507" spans="1:19">
      <c r="A507" s="150"/>
      <c r="B507" s="58"/>
      <c r="C507" s="24">
        <f t="shared" si="85"/>
        <v>1</v>
      </c>
      <c r="D507" s="711"/>
      <c r="E507" s="24">
        <f t="shared" si="86"/>
        <v>1</v>
      </c>
      <c r="F507" s="711"/>
      <c r="G507" s="24">
        <f t="shared" si="87"/>
        <v>1</v>
      </c>
      <c r="H507" s="711"/>
      <c r="I507" s="24">
        <f t="shared" si="88"/>
        <v>1</v>
      </c>
      <c r="J507" s="711"/>
      <c r="K507" s="24">
        <f t="shared" si="89"/>
        <v>1</v>
      </c>
      <c r="L507" s="711"/>
      <c r="M507" s="24">
        <f t="shared" si="90"/>
        <v>1</v>
      </c>
      <c r="N507" s="711"/>
      <c r="O507" s="24">
        <f t="shared" si="91"/>
        <v>1</v>
      </c>
      <c r="P507" s="711"/>
      <c r="Q507" s="24">
        <f t="shared" si="92"/>
        <v>1</v>
      </c>
      <c r="R507" s="707">
        <f t="shared" si="93"/>
        <v>0</v>
      </c>
      <c r="S507" s="352">
        <f t="shared" si="94"/>
        <v>0</v>
      </c>
    </row>
    <row r="508" spans="1:19">
      <c r="A508" s="150"/>
      <c r="B508" s="58"/>
      <c r="C508" s="24">
        <f t="shared" si="85"/>
        <v>1</v>
      </c>
      <c r="D508" s="711"/>
      <c r="E508" s="24">
        <f t="shared" si="86"/>
        <v>1</v>
      </c>
      <c r="F508" s="711"/>
      <c r="G508" s="24">
        <f t="shared" si="87"/>
        <v>1</v>
      </c>
      <c r="H508" s="711"/>
      <c r="I508" s="24">
        <f t="shared" si="88"/>
        <v>1</v>
      </c>
      <c r="J508" s="711"/>
      <c r="K508" s="24">
        <f t="shared" si="89"/>
        <v>1</v>
      </c>
      <c r="L508" s="711"/>
      <c r="M508" s="24">
        <f t="shared" si="90"/>
        <v>1</v>
      </c>
      <c r="N508" s="711"/>
      <c r="O508" s="24">
        <f t="shared" si="91"/>
        <v>1</v>
      </c>
      <c r="P508" s="711"/>
      <c r="Q508" s="24">
        <f t="shared" si="92"/>
        <v>1</v>
      </c>
      <c r="R508" s="707">
        <f t="shared" si="93"/>
        <v>0</v>
      </c>
      <c r="S508" s="352">
        <f t="shared" si="94"/>
        <v>0</v>
      </c>
    </row>
    <row r="509" spans="1:19">
      <c r="A509" s="150"/>
      <c r="B509" s="58"/>
      <c r="C509" s="24">
        <f t="shared" si="85"/>
        <v>1</v>
      </c>
      <c r="D509" s="711"/>
      <c r="E509" s="24">
        <f t="shared" si="86"/>
        <v>1</v>
      </c>
      <c r="F509" s="711"/>
      <c r="G509" s="24">
        <f t="shared" si="87"/>
        <v>1</v>
      </c>
      <c r="H509" s="711"/>
      <c r="I509" s="24">
        <f t="shared" si="88"/>
        <v>1</v>
      </c>
      <c r="J509" s="711"/>
      <c r="K509" s="24">
        <f t="shared" si="89"/>
        <v>1</v>
      </c>
      <c r="L509" s="711"/>
      <c r="M509" s="24">
        <f t="shared" si="90"/>
        <v>1</v>
      </c>
      <c r="N509" s="711"/>
      <c r="O509" s="24">
        <f t="shared" si="91"/>
        <v>1</v>
      </c>
      <c r="P509" s="711"/>
      <c r="Q509" s="24">
        <f t="shared" si="92"/>
        <v>1</v>
      </c>
      <c r="R509" s="707">
        <f t="shared" si="93"/>
        <v>0</v>
      </c>
      <c r="S509" s="352">
        <f t="shared" si="94"/>
        <v>0</v>
      </c>
    </row>
    <row r="510" spans="1:19">
      <c r="A510" s="150"/>
      <c r="B510" s="58"/>
      <c r="C510" s="24">
        <f t="shared" si="85"/>
        <v>1</v>
      </c>
      <c r="D510" s="711"/>
      <c r="E510" s="24">
        <f t="shared" si="86"/>
        <v>1</v>
      </c>
      <c r="F510" s="711"/>
      <c r="G510" s="24">
        <f t="shared" si="87"/>
        <v>1</v>
      </c>
      <c r="H510" s="711"/>
      <c r="I510" s="24">
        <f t="shared" si="88"/>
        <v>1</v>
      </c>
      <c r="J510" s="711"/>
      <c r="K510" s="24">
        <f t="shared" si="89"/>
        <v>1</v>
      </c>
      <c r="L510" s="711"/>
      <c r="M510" s="24">
        <f t="shared" si="90"/>
        <v>1</v>
      </c>
      <c r="N510" s="711"/>
      <c r="O510" s="24">
        <f t="shared" si="91"/>
        <v>1</v>
      </c>
      <c r="P510" s="711"/>
      <c r="Q510" s="24">
        <f t="shared" si="92"/>
        <v>1</v>
      </c>
      <c r="R510" s="707">
        <f t="shared" si="93"/>
        <v>0</v>
      </c>
      <c r="S510" s="352">
        <f t="shared" si="94"/>
        <v>0</v>
      </c>
    </row>
    <row r="511" spans="1:19">
      <c r="A511" s="150"/>
      <c r="B511" s="58"/>
      <c r="C511" s="24">
        <f t="shared" si="85"/>
        <v>1</v>
      </c>
      <c r="D511" s="711"/>
      <c r="E511" s="24">
        <f t="shared" si="86"/>
        <v>1</v>
      </c>
      <c r="F511" s="711"/>
      <c r="G511" s="24">
        <f t="shared" si="87"/>
        <v>1</v>
      </c>
      <c r="H511" s="711"/>
      <c r="I511" s="24">
        <f t="shared" si="88"/>
        <v>1</v>
      </c>
      <c r="J511" s="711"/>
      <c r="K511" s="24">
        <f t="shared" si="89"/>
        <v>1</v>
      </c>
      <c r="L511" s="711"/>
      <c r="M511" s="24">
        <f t="shared" si="90"/>
        <v>1</v>
      </c>
      <c r="N511" s="711"/>
      <c r="O511" s="24">
        <f t="shared" si="91"/>
        <v>1</v>
      </c>
      <c r="P511" s="711"/>
      <c r="Q511" s="24">
        <f t="shared" si="92"/>
        <v>1</v>
      </c>
      <c r="R511" s="707">
        <f t="shared" si="93"/>
        <v>0</v>
      </c>
      <c r="S511" s="352">
        <f t="shared" si="94"/>
        <v>0</v>
      </c>
    </row>
    <row r="512" spans="1:19">
      <c r="A512" s="150"/>
      <c r="B512" s="58"/>
      <c r="C512" s="24">
        <f t="shared" si="85"/>
        <v>1</v>
      </c>
      <c r="D512" s="711"/>
      <c r="E512" s="24">
        <f t="shared" si="86"/>
        <v>1</v>
      </c>
      <c r="F512" s="711"/>
      <c r="G512" s="24">
        <f t="shared" si="87"/>
        <v>1</v>
      </c>
      <c r="H512" s="711"/>
      <c r="I512" s="24">
        <f t="shared" si="88"/>
        <v>1</v>
      </c>
      <c r="J512" s="711"/>
      <c r="K512" s="24">
        <f t="shared" si="89"/>
        <v>1</v>
      </c>
      <c r="L512" s="711"/>
      <c r="M512" s="24">
        <f t="shared" si="90"/>
        <v>1</v>
      </c>
      <c r="N512" s="711"/>
      <c r="O512" s="24">
        <f t="shared" si="91"/>
        <v>1</v>
      </c>
      <c r="P512" s="711"/>
      <c r="Q512" s="24">
        <f t="shared" si="92"/>
        <v>1</v>
      </c>
      <c r="R512" s="707">
        <f t="shared" si="93"/>
        <v>0</v>
      </c>
      <c r="S512" s="352">
        <f t="shared" si="94"/>
        <v>0</v>
      </c>
    </row>
    <row r="513" spans="1:19">
      <c r="A513" s="150"/>
      <c r="B513" s="58"/>
      <c r="C513" s="24">
        <f t="shared" si="85"/>
        <v>1</v>
      </c>
      <c r="D513" s="711"/>
      <c r="E513" s="24">
        <f t="shared" si="86"/>
        <v>1</v>
      </c>
      <c r="F513" s="711"/>
      <c r="G513" s="24">
        <f t="shared" si="87"/>
        <v>1</v>
      </c>
      <c r="H513" s="711"/>
      <c r="I513" s="24">
        <f t="shared" si="88"/>
        <v>1</v>
      </c>
      <c r="J513" s="711"/>
      <c r="K513" s="24">
        <f t="shared" si="89"/>
        <v>1</v>
      </c>
      <c r="L513" s="711"/>
      <c r="M513" s="24">
        <f t="shared" si="90"/>
        <v>1</v>
      </c>
      <c r="N513" s="711"/>
      <c r="O513" s="24">
        <f t="shared" si="91"/>
        <v>1</v>
      </c>
      <c r="P513" s="711"/>
      <c r="Q513" s="24">
        <f t="shared" si="92"/>
        <v>1</v>
      </c>
      <c r="R513" s="707">
        <f t="shared" si="93"/>
        <v>0</v>
      </c>
      <c r="S513" s="352">
        <f t="shared" si="94"/>
        <v>0</v>
      </c>
    </row>
    <row r="514" spans="1:19">
      <c r="A514" s="150"/>
      <c r="B514" s="58"/>
      <c r="C514" s="24">
        <f t="shared" si="85"/>
        <v>1</v>
      </c>
      <c r="D514" s="711"/>
      <c r="E514" s="24">
        <f t="shared" si="86"/>
        <v>1</v>
      </c>
      <c r="F514" s="711"/>
      <c r="G514" s="24">
        <f t="shared" si="87"/>
        <v>1</v>
      </c>
      <c r="H514" s="711"/>
      <c r="I514" s="24">
        <f t="shared" si="88"/>
        <v>1</v>
      </c>
      <c r="J514" s="711"/>
      <c r="K514" s="24">
        <f t="shared" si="89"/>
        <v>1</v>
      </c>
      <c r="L514" s="711"/>
      <c r="M514" s="24">
        <f t="shared" si="90"/>
        <v>1</v>
      </c>
      <c r="N514" s="711"/>
      <c r="O514" s="24">
        <f t="shared" si="91"/>
        <v>1</v>
      </c>
      <c r="P514" s="711"/>
      <c r="Q514" s="24">
        <f t="shared" si="92"/>
        <v>1</v>
      </c>
      <c r="R514" s="707">
        <f t="shared" si="93"/>
        <v>0</v>
      </c>
      <c r="S514" s="352">
        <f t="shared" si="94"/>
        <v>0</v>
      </c>
    </row>
    <row r="515" spans="1:19">
      <c r="A515" s="150"/>
      <c r="B515" s="58"/>
      <c r="C515" s="24">
        <f t="shared" si="85"/>
        <v>1</v>
      </c>
      <c r="D515" s="711"/>
      <c r="E515" s="24">
        <f t="shared" si="86"/>
        <v>1</v>
      </c>
      <c r="F515" s="711"/>
      <c r="G515" s="24">
        <f t="shared" si="87"/>
        <v>1</v>
      </c>
      <c r="H515" s="711"/>
      <c r="I515" s="24">
        <f t="shared" si="88"/>
        <v>1</v>
      </c>
      <c r="J515" s="711"/>
      <c r="K515" s="24">
        <f t="shared" si="89"/>
        <v>1</v>
      </c>
      <c r="L515" s="711"/>
      <c r="M515" s="24">
        <f t="shared" si="90"/>
        <v>1</v>
      </c>
      <c r="N515" s="711"/>
      <c r="O515" s="24">
        <f t="shared" si="91"/>
        <v>1</v>
      </c>
      <c r="P515" s="711"/>
      <c r="Q515" s="24">
        <f t="shared" si="92"/>
        <v>1</v>
      </c>
      <c r="R515" s="707">
        <f t="shared" si="93"/>
        <v>0</v>
      </c>
      <c r="S515" s="352">
        <f t="shared" si="94"/>
        <v>0</v>
      </c>
    </row>
    <row r="516" spans="1:19">
      <c r="A516" s="150"/>
      <c r="B516" s="58"/>
      <c r="C516" s="24">
        <f t="shared" si="85"/>
        <v>1</v>
      </c>
      <c r="D516" s="711"/>
      <c r="E516" s="24">
        <f t="shared" si="86"/>
        <v>1</v>
      </c>
      <c r="F516" s="711"/>
      <c r="G516" s="24">
        <f t="shared" si="87"/>
        <v>1</v>
      </c>
      <c r="H516" s="711"/>
      <c r="I516" s="24">
        <f t="shared" si="88"/>
        <v>1</v>
      </c>
      <c r="J516" s="711"/>
      <c r="K516" s="24">
        <f t="shared" si="89"/>
        <v>1</v>
      </c>
      <c r="L516" s="711"/>
      <c r="M516" s="24">
        <f t="shared" si="90"/>
        <v>1</v>
      </c>
      <c r="N516" s="711"/>
      <c r="O516" s="24">
        <f t="shared" si="91"/>
        <v>1</v>
      </c>
      <c r="P516" s="711"/>
      <c r="Q516" s="24">
        <f t="shared" si="92"/>
        <v>1</v>
      </c>
      <c r="R516" s="707">
        <f t="shared" si="93"/>
        <v>0</v>
      </c>
      <c r="S516" s="352">
        <f t="shared" si="94"/>
        <v>0</v>
      </c>
    </row>
    <row r="517" spans="1:19">
      <c r="A517" s="150"/>
      <c r="B517" s="58"/>
      <c r="C517" s="24">
        <f t="shared" si="85"/>
        <v>1</v>
      </c>
      <c r="D517" s="711"/>
      <c r="E517" s="24">
        <f t="shared" si="86"/>
        <v>1</v>
      </c>
      <c r="F517" s="711"/>
      <c r="G517" s="24">
        <f t="shared" si="87"/>
        <v>1</v>
      </c>
      <c r="H517" s="711"/>
      <c r="I517" s="24">
        <f t="shared" si="88"/>
        <v>1</v>
      </c>
      <c r="J517" s="711"/>
      <c r="K517" s="24">
        <f t="shared" si="89"/>
        <v>1</v>
      </c>
      <c r="L517" s="711"/>
      <c r="M517" s="24">
        <f t="shared" si="90"/>
        <v>1</v>
      </c>
      <c r="N517" s="711"/>
      <c r="O517" s="24">
        <f t="shared" si="91"/>
        <v>1</v>
      </c>
      <c r="P517" s="711"/>
      <c r="Q517" s="24">
        <f t="shared" si="92"/>
        <v>1</v>
      </c>
      <c r="R517" s="707">
        <f t="shared" si="93"/>
        <v>0</v>
      </c>
      <c r="S517" s="352">
        <f t="shared" si="94"/>
        <v>0</v>
      </c>
    </row>
    <row r="518" spans="1:19">
      <c r="A518" s="150"/>
      <c r="B518" s="58"/>
      <c r="C518" s="24">
        <f t="shared" si="85"/>
        <v>1</v>
      </c>
      <c r="D518" s="711"/>
      <c r="E518" s="24">
        <f t="shared" si="86"/>
        <v>1</v>
      </c>
      <c r="F518" s="711"/>
      <c r="G518" s="24">
        <f t="shared" si="87"/>
        <v>1</v>
      </c>
      <c r="H518" s="711"/>
      <c r="I518" s="24">
        <f t="shared" si="88"/>
        <v>1</v>
      </c>
      <c r="J518" s="711"/>
      <c r="K518" s="24">
        <f t="shared" si="89"/>
        <v>1</v>
      </c>
      <c r="L518" s="711"/>
      <c r="M518" s="24">
        <f t="shared" si="90"/>
        <v>1</v>
      </c>
      <c r="N518" s="711"/>
      <c r="O518" s="24">
        <f t="shared" si="91"/>
        <v>1</v>
      </c>
      <c r="P518" s="711"/>
      <c r="Q518" s="24">
        <f t="shared" si="92"/>
        <v>1</v>
      </c>
      <c r="R518" s="707">
        <f t="shared" si="93"/>
        <v>0</v>
      </c>
      <c r="S518" s="352">
        <f t="shared" si="94"/>
        <v>0</v>
      </c>
    </row>
    <row r="519" spans="1:19">
      <c r="A519" s="150"/>
      <c r="B519" s="58"/>
      <c r="C519" s="24">
        <f t="shared" si="85"/>
        <v>1</v>
      </c>
      <c r="D519" s="711"/>
      <c r="E519" s="24">
        <f t="shared" si="86"/>
        <v>1</v>
      </c>
      <c r="F519" s="711"/>
      <c r="G519" s="24">
        <f t="shared" si="87"/>
        <v>1</v>
      </c>
      <c r="H519" s="711"/>
      <c r="I519" s="24">
        <f t="shared" si="88"/>
        <v>1</v>
      </c>
      <c r="J519" s="711"/>
      <c r="K519" s="24">
        <f t="shared" si="89"/>
        <v>1</v>
      </c>
      <c r="L519" s="711"/>
      <c r="M519" s="24">
        <f t="shared" si="90"/>
        <v>1</v>
      </c>
      <c r="N519" s="711"/>
      <c r="O519" s="24">
        <f t="shared" si="91"/>
        <v>1</v>
      </c>
      <c r="P519" s="711"/>
      <c r="Q519" s="24">
        <f t="shared" si="92"/>
        <v>1</v>
      </c>
      <c r="R519" s="707">
        <f t="shared" si="93"/>
        <v>0</v>
      </c>
      <c r="S519" s="352">
        <f t="shared" si="94"/>
        <v>0</v>
      </c>
    </row>
    <row r="520" spans="1:19">
      <c r="A520" s="150"/>
      <c r="B520" s="58"/>
      <c r="C520" s="24">
        <f t="shared" si="85"/>
        <v>1</v>
      </c>
      <c r="D520" s="711"/>
      <c r="E520" s="24">
        <f t="shared" si="86"/>
        <v>1</v>
      </c>
      <c r="F520" s="711"/>
      <c r="G520" s="24">
        <f t="shared" si="87"/>
        <v>1</v>
      </c>
      <c r="H520" s="711"/>
      <c r="I520" s="24">
        <f t="shared" si="88"/>
        <v>1</v>
      </c>
      <c r="J520" s="711"/>
      <c r="K520" s="24">
        <f t="shared" si="89"/>
        <v>1</v>
      </c>
      <c r="L520" s="711"/>
      <c r="M520" s="24">
        <f t="shared" si="90"/>
        <v>1</v>
      </c>
      <c r="N520" s="711"/>
      <c r="O520" s="24">
        <f t="shared" si="91"/>
        <v>1</v>
      </c>
      <c r="P520" s="711"/>
      <c r="Q520" s="24">
        <f t="shared" si="92"/>
        <v>1</v>
      </c>
      <c r="R520" s="707">
        <f t="shared" si="93"/>
        <v>0</v>
      </c>
      <c r="S520" s="352">
        <f t="shared" si="94"/>
        <v>0</v>
      </c>
    </row>
    <row r="521" spans="1:19">
      <c r="A521" s="150"/>
      <c r="B521" s="58"/>
      <c r="C521" s="24">
        <f t="shared" si="85"/>
        <v>1</v>
      </c>
      <c r="D521" s="711"/>
      <c r="E521" s="24">
        <f t="shared" si="86"/>
        <v>1</v>
      </c>
      <c r="F521" s="711"/>
      <c r="G521" s="24">
        <f t="shared" si="87"/>
        <v>1</v>
      </c>
      <c r="H521" s="711"/>
      <c r="I521" s="24">
        <f t="shared" si="88"/>
        <v>1</v>
      </c>
      <c r="J521" s="711"/>
      <c r="K521" s="24">
        <f t="shared" si="89"/>
        <v>1</v>
      </c>
      <c r="L521" s="711"/>
      <c r="M521" s="24">
        <f t="shared" si="90"/>
        <v>1</v>
      </c>
      <c r="N521" s="711"/>
      <c r="O521" s="24">
        <f t="shared" si="91"/>
        <v>1</v>
      </c>
      <c r="P521" s="711"/>
      <c r="Q521" s="24">
        <f t="shared" si="92"/>
        <v>1</v>
      </c>
      <c r="R521" s="707">
        <f t="shared" si="93"/>
        <v>0</v>
      </c>
      <c r="S521" s="352">
        <f t="shared" si="94"/>
        <v>0</v>
      </c>
    </row>
    <row r="522" spans="1:19">
      <c r="A522" s="150"/>
      <c r="B522" s="58"/>
      <c r="C522" s="24">
        <f t="shared" si="85"/>
        <v>1</v>
      </c>
      <c r="D522" s="711"/>
      <c r="E522" s="24">
        <f t="shared" si="86"/>
        <v>1</v>
      </c>
      <c r="F522" s="711"/>
      <c r="G522" s="24">
        <f t="shared" si="87"/>
        <v>1</v>
      </c>
      <c r="H522" s="711"/>
      <c r="I522" s="24">
        <f t="shared" si="88"/>
        <v>1</v>
      </c>
      <c r="J522" s="711"/>
      <c r="K522" s="24">
        <f t="shared" si="89"/>
        <v>1</v>
      </c>
      <c r="L522" s="711"/>
      <c r="M522" s="24">
        <f t="shared" si="90"/>
        <v>1</v>
      </c>
      <c r="N522" s="711"/>
      <c r="O522" s="24">
        <f t="shared" si="91"/>
        <v>1</v>
      </c>
      <c r="P522" s="711"/>
      <c r="Q522" s="24">
        <f t="shared" si="92"/>
        <v>1</v>
      </c>
      <c r="R522" s="707">
        <f t="shared" si="93"/>
        <v>0</v>
      </c>
      <c r="S522" s="352">
        <f t="shared" si="94"/>
        <v>0</v>
      </c>
    </row>
    <row r="523" spans="1:19">
      <c r="A523" s="150"/>
      <c r="B523" s="58"/>
      <c r="C523" s="24">
        <f t="shared" si="85"/>
        <v>1</v>
      </c>
      <c r="D523" s="711"/>
      <c r="E523" s="24">
        <f t="shared" si="86"/>
        <v>1</v>
      </c>
      <c r="F523" s="711"/>
      <c r="G523" s="24">
        <f t="shared" si="87"/>
        <v>1</v>
      </c>
      <c r="H523" s="711"/>
      <c r="I523" s="24">
        <f t="shared" si="88"/>
        <v>1</v>
      </c>
      <c r="J523" s="711"/>
      <c r="K523" s="24">
        <f t="shared" si="89"/>
        <v>1</v>
      </c>
      <c r="L523" s="711"/>
      <c r="M523" s="24">
        <f t="shared" si="90"/>
        <v>1</v>
      </c>
      <c r="N523" s="711"/>
      <c r="O523" s="24">
        <f t="shared" si="91"/>
        <v>1</v>
      </c>
      <c r="P523" s="711"/>
      <c r="Q523" s="24">
        <f t="shared" si="92"/>
        <v>1</v>
      </c>
      <c r="R523" s="707">
        <f t="shared" si="93"/>
        <v>0</v>
      </c>
      <c r="S523" s="352">
        <f t="shared" si="94"/>
        <v>0</v>
      </c>
    </row>
    <row r="524" spans="1:19">
      <c r="A524" s="150"/>
      <c r="B524" s="58"/>
      <c r="C524" s="24">
        <f t="shared" si="85"/>
        <v>1</v>
      </c>
      <c r="D524" s="711"/>
      <c r="E524" s="24">
        <f t="shared" si="86"/>
        <v>1</v>
      </c>
      <c r="F524" s="711"/>
      <c r="G524" s="24">
        <f t="shared" si="87"/>
        <v>1</v>
      </c>
      <c r="H524" s="711"/>
      <c r="I524" s="24">
        <f t="shared" si="88"/>
        <v>1</v>
      </c>
      <c r="J524" s="711"/>
      <c r="K524" s="24">
        <f t="shared" si="89"/>
        <v>1</v>
      </c>
      <c r="L524" s="711"/>
      <c r="M524" s="24">
        <f t="shared" si="90"/>
        <v>1</v>
      </c>
      <c r="N524" s="711"/>
      <c r="O524" s="24">
        <f t="shared" si="91"/>
        <v>1</v>
      </c>
      <c r="P524" s="711"/>
      <c r="Q524" s="24">
        <f t="shared" si="92"/>
        <v>1</v>
      </c>
      <c r="R524" s="707">
        <f t="shared" si="93"/>
        <v>0</v>
      </c>
      <c r="S524" s="352">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04" customWidth="1"/>
    <col min="2" max="2" width="29.25" style="286" customWidth="1"/>
    <col min="3" max="3" width="12.125" style="286" customWidth="1"/>
    <col min="4" max="5" width="11.25" style="307" customWidth="1"/>
    <col min="6" max="6" width="9.5" style="286" customWidth="1"/>
    <col min="7" max="7" width="31.875" style="286" customWidth="1"/>
    <col min="8" max="254" width="9" style="286" customWidth="1"/>
    <col min="255" max="16384" width="8.375" style="286"/>
  </cols>
  <sheetData>
    <row r="1" spans="1:7" s="235" customFormat="1" ht="20.25">
      <c r="A1" s="231" t="s">
        <v>83</v>
      </c>
      <c r="B1" s="232"/>
      <c r="C1" s="233"/>
      <c r="D1" s="233"/>
      <c r="E1" s="233"/>
      <c r="F1" s="233"/>
      <c r="G1" s="234"/>
    </row>
    <row r="2" spans="1:7" s="235" customFormat="1" ht="18" customHeight="1">
      <c r="A2" s="236" t="s">
        <v>84</v>
      </c>
      <c r="B2" s="237">
        <f ca="1">C52</f>
        <v>36775</v>
      </c>
      <c r="C2" s="2" t="s">
        <v>133</v>
      </c>
      <c r="D2" s="234"/>
      <c r="E2" s="234"/>
      <c r="F2" s="234"/>
      <c r="G2" s="234"/>
    </row>
    <row r="3" spans="1:7" s="235" customFormat="1" ht="18" customHeight="1" thickBot="1">
      <c r="A3" s="238" t="s">
        <v>85</v>
      </c>
      <c r="B3" s="239">
        <f ca="1">ROUND(B2*10000/'数据-汇总表'!E3,0)</f>
        <v>18002</v>
      </c>
      <c r="C3" s="2" t="s">
        <v>134</v>
      </c>
      <c r="D3" s="234"/>
      <c r="E3" s="234"/>
      <c r="F3" s="234"/>
      <c r="G3" s="234"/>
    </row>
    <row r="4" spans="1:7" s="243" customFormat="1" ht="15.75">
      <c r="A4" s="240" t="s">
        <v>86</v>
      </c>
      <c r="B4" s="241"/>
      <c r="C4" s="241"/>
      <c r="D4" s="241"/>
      <c r="E4" s="241"/>
      <c r="F4" s="241"/>
      <c r="G4" s="242"/>
    </row>
    <row r="5" spans="1:7" s="249" customFormat="1" ht="13.5" customHeight="1">
      <c r="A5" s="290" t="s">
        <v>1054</v>
      </c>
      <c r="B5" s="245" t="s">
        <v>87</v>
      </c>
      <c r="C5" s="246">
        <f>C6+C7+C8</f>
        <v>20610</v>
      </c>
      <c r="D5" s="246" t="s">
        <v>88</v>
      </c>
      <c r="E5" s="247" t="s">
        <v>89</v>
      </c>
      <c r="F5" s="247" t="s">
        <v>90</v>
      </c>
      <c r="G5" s="248"/>
    </row>
    <row r="6" spans="1:7" s="249" customFormat="1" ht="13.5" customHeight="1">
      <c r="A6" s="938" t="s">
        <v>791</v>
      </c>
      <c r="B6" s="250" t="s">
        <v>91</v>
      </c>
      <c r="C6" s="251">
        <v>20000</v>
      </c>
      <c r="D6" s="252"/>
      <c r="E6" s="253"/>
      <c r="F6" s="253"/>
      <c r="G6" s="254"/>
    </row>
    <row r="7" spans="1:7" s="249" customFormat="1" ht="13.5" customHeight="1">
      <c r="A7" s="938" t="s">
        <v>792</v>
      </c>
      <c r="B7" s="250" t="s">
        <v>57</v>
      </c>
      <c r="C7" s="255">
        <f>ROUND(C6*F7,0)</f>
        <v>610</v>
      </c>
      <c r="D7" s="255"/>
      <c r="E7" s="253"/>
      <c r="F7" s="256">
        <f>'数据-取费表'!B48+'数据-取费表'!B49</f>
        <v>3.0499999999999999E-2</v>
      </c>
      <c r="G7" s="254"/>
    </row>
    <row r="8" spans="1:7" s="258" customFormat="1">
      <c r="A8" s="938" t="s">
        <v>793</v>
      </c>
      <c r="B8" s="250" t="s">
        <v>92</v>
      </c>
      <c r="C8" s="255" t="str">
        <f>IF(G8="已包含在土地购买价格中","0",'数据-取费表'!B29)</f>
        <v>0</v>
      </c>
      <c r="D8" s="257"/>
      <c r="E8" s="255"/>
      <c r="F8" s="256"/>
      <c r="G8" s="1" t="s">
        <v>1148</v>
      </c>
    </row>
    <row r="9" spans="1:7" s="249" customFormat="1" ht="13.5" customHeight="1">
      <c r="A9" s="939" t="s">
        <v>800</v>
      </c>
      <c r="B9" s="259" t="s">
        <v>93</v>
      </c>
      <c r="C9" s="260">
        <f>ROUND(D9*E9/10000,0)</f>
        <v>0</v>
      </c>
      <c r="D9" s="1020">
        <f>'数据-汇总表'!E5</f>
        <v>0</v>
      </c>
      <c r="E9" s="260">
        <f>'数据-取费表'!B27</f>
        <v>30</v>
      </c>
      <c r="F9" s="256"/>
      <c r="G9" s="261"/>
    </row>
    <row r="10" spans="1:7" s="249" customFormat="1" ht="13.5" customHeight="1">
      <c r="A10" s="939" t="s">
        <v>801</v>
      </c>
      <c r="B10" s="259" t="s">
        <v>94</v>
      </c>
      <c r="C10" s="260">
        <f>ROUND(D10*E10/10000,0)</f>
        <v>61</v>
      </c>
      <c r="D10" s="1020">
        <f>'数据-汇总表'!E6</f>
        <v>20428.607999999997</v>
      </c>
      <c r="E10" s="260">
        <f>'数据-取费表'!B28</f>
        <v>30</v>
      </c>
      <c r="F10" s="256"/>
      <c r="G10" s="261"/>
    </row>
    <row r="11" spans="1:7" s="249" customFormat="1" ht="13.5" hidden="1" customHeight="1">
      <c r="A11" s="262" t="s">
        <v>7</v>
      </c>
      <c r="B11" s="250" t="s">
        <v>95</v>
      </c>
      <c r="C11" s="246"/>
      <c r="D11" s="1022"/>
      <c r="E11" s="253"/>
      <c r="F11" s="253"/>
      <c r="G11" s="254"/>
    </row>
    <row r="12" spans="1:7" s="249" customFormat="1" ht="13.5" hidden="1" customHeight="1">
      <c r="A12" s="262" t="s">
        <v>8</v>
      </c>
      <c r="B12" s="250" t="s">
        <v>96</v>
      </c>
      <c r="C12" s="246">
        <v>0</v>
      </c>
      <c r="D12" s="1022"/>
      <c r="E12" s="263"/>
      <c r="F12" s="256">
        <v>3.0499999999999999E-2</v>
      </c>
      <c r="G12" s="254"/>
    </row>
    <row r="13" spans="1:7" s="249" customFormat="1" ht="13.5" hidden="1" customHeight="1">
      <c r="A13" s="262" t="s">
        <v>9</v>
      </c>
      <c r="B13" s="250" t="s">
        <v>97</v>
      </c>
      <c r="C13" s="246"/>
      <c r="D13" s="1022"/>
      <c r="E13" s="253"/>
      <c r="F13" s="253"/>
      <c r="G13" s="254"/>
    </row>
    <row r="14" spans="1:7" s="249" customFormat="1" ht="13.5" hidden="1" customHeight="1">
      <c r="A14" s="262" t="s">
        <v>10</v>
      </c>
      <c r="B14" s="250" t="s">
        <v>92</v>
      </c>
      <c r="C14" s="246"/>
      <c r="D14" s="1022"/>
      <c r="E14" s="253"/>
      <c r="F14" s="253"/>
      <c r="G14" s="254" t="s">
        <v>98</v>
      </c>
    </row>
    <row r="15" spans="1:7" s="249" customFormat="1" ht="13.5" hidden="1" customHeight="1">
      <c r="A15" s="262" t="s">
        <v>11</v>
      </c>
      <c r="B15" s="250" t="s">
        <v>99</v>
      </c>
      <c r="C15" s="255"/>
      <c r="D15" s="1022"/>
      <c r="E15" s="253"/>
      <c r="F15" s="253"/>
      <c r="G15" s="254" t="s">
        <v>100</v>
      </c>
    </row>
    <row r="16" spans="1:7" s="249" customFormat="1" ht="13.5" hidden="1" customHeight="1">
      <c r="A16" s="262" t="s">
        <v>12</v>
      </c>
      <c r="B16" s="250" t="s">
        <v>92</v>
      </c>
      <c r="C16" s="255"/>
      <c r="D16" s="1022"/>
      <c r="E16" s="253"/>
      <c r="F16" s="253"/>
      <c r="G16" s="254"/>
    </row>
    <row r="17" spans="1:7" s="249" customFormat="1" ht="13.5" hidden="1" customHeight="1">
      <c r="A17" s="262" t="s">
        <v>13</v>
      </c>
      <c r="B17" s="250" t="s">
        <v>101</v>
      </c>
      <c r="C17" s="264"/>
      <c r="D17" s="1023"/>
      <c r="E17" s="264"/>
      <c r="F17" s="264"/>
      <c r="G17" s="254" t="s">
        <v>100</v>
      </c>
    </row>
    <row r="18" spans="1:7" s="249" customFormat="1" ht="13.5" hidden="1" customHeight="1">
      <c r="A18" s="262" t="s">
        <v>14</v>
      </c>
      <c r="B18" s="250" t="s">
        <v>102</v>
      </c>
      <c r="C18" s="255">
        <v>0</v>
      </c>
      <c r="D18" s="1022"/>
      <c r="E18" s="253"/>
      <c r="F18" s="256">
        <v>3.0499999999999999E-2</v>
      </c>
      <c r="G18" s="254" t="s">
        <v>103</v>
      </c>
    </row>
    <row r="19" spans="1:7" s="258" customFormat="1" ht="13.5" customHeight="1">
      <c r="A19" s="937" t="s">
        <v>1055</v>
      </c>
      <c r="B19" s="245" t="s">
        <v>111</v>
      </c>
      <c r="C19" s="246">
        <f>IF(G19="已包含在土地取得成本中","0",ROUND(D19*E19/10000,0))</f>
        <v>409</v>
      </c>
      <c r="D19" s="1024">
        <f>'数据-汇总表'!E3</f>
        <v>20428.607999999997</v>
      </c>
      <c r="E19" s="246">
        <f>'数据-取费表'!B31</f>
        <v>200</v>
      </c>
      <c r="F19" s="266"/>
      <c r="G19" s="1" t="s">
        <v>1074</v>
      </c>
    </row>
    <row r="20" spans="1:7" s="249" customFormat="1" ht="13.5" customHeight="1">
      <c r="A20" s="937" t="s">
        <v>1057</v>
      </c>
      <c r="B20" s="245" t="s">
        <v>104</v>
      </c>
      <c r="C20" s="267">
        <f>ROUND((C5+C19)*F20,0)</f>
        <v>420</v>
      </c>
      <c r="D20" s="267"/>
      <c r="E20" s="267"/>
      <c r="F20" s="268">
        <f>'数据-取费表'!B37</f>
        <v>0.02</v>
      </c>
      <c r="G20" s="1277" t="s">
        <v>1068</v>
      </c>
    </row>
    <row r="21" spans="1:7" s="249" customFormat="1" ht="13.5" customHeight="1">
      <c r="A21" s="937" t="s">
        <v>1059</v>
      </c>
      <c r="B21" s="245" t="s">
        <v>105</v>
      </c>
      <c r="C21" s="270">
        <f>F21</f>
        <v>1.4999999999999999E-2</v>
      </c>
      <c r="D21" s="271" t="s">
        <v>126</v>
      </c>
      <c r="E21" s="267"/>
      <c r="F21" s="268">
        <f>'数据-取费表'!B38</f>
        <v>1.4999999999999999E-2</v>
      </c>
      <c r="G21" s="269" t="s">
        <v>106</v>
      </c>
    </row>
    <row r="22" spans="1:7" s="249" customFormat="1" ht="13.5" customHeight="1">
      <c r="A22" s="937" t="s">
        <v>786</v>
      </c>
      <c r="B22" s="245" t="s">
        <v>107</v>
      </c>
      <c r="C22" s="1342">
        <f ca="1">ROUND(SUM(C23:C25),0)</f>
        <v>1957</v>
      </c>
      <c r="D22" s="270">
        <f ca="1">C26</f>
        <v>6.9999999999999999E-4</v>
      </c>
      <c r="E22" s="271" t="s">
        <v>126</v>
      </c>
      <c r="F22" s="272">
        <f ca="1">'数据-取费表'!B40</f>
        <v>4.7500000000000001E-2</v>
      </c>
      <c r="G22" s="1277" t="str">
        <f>IF('数据-取费表'!B22&lt;=1,"单利计息","复利计息")</f>
        <v>复利计息</v>
      </c>
    </row>
    <row r="23" spans="1:7" s="249" customFormat="1" ht="13.5" customHeight="1">
      <c r="A23" s="940" t="s">
        <v>794</v>
      </c>
      <c r="B23" s="250" t="s">
        <v>1061</v>
      </c>
      <c r="C23" s="1343">
        <f ca="1">ROUND(IF('数据-取费表'!B22&lt;=1,C5*F22*'数据-取费表'!B23,C5*(POWER((1+F22),'数据-取费表'!B23)-1)),0)</f>
        <v>1900</v>
      </c>
      <c r="D23" s="273"/>
      <c r="E23" s="273"/>
      <c r="F23" s="274"/>
      <c r="G23" s="275" t="s">
        <v>108</v>
      </c>
    </row>
    <row r="24" spans="1:7" s="249" customFormat="1" ht="13.5" customHeight="1">
      <c r="A24" s="940" t="s">
        <v>792</v>
      </c>
      <c r="B24" s="250" t="s">
        <v>1056</v>
      </c>
      <c r="C24" s="1343">
        <f ca="1">ROUND(IF('数据-取费表'!B22&lt;=1,C19*F22*('数据-取费表'!B19/2+'数据-取费表'!B21),C19*(POWER((1+F22),('数据-取费表'!B19/2+'数据-取费表'!B21))-1)),0)</f>
        <v>38</v>
      </c>
      <c r="D24" s="273"/>
      <c r="E24" s="273"/>
      <c r="F24" s="274"/>
      <c r="G24" s="275" t="s">
        <v>109</v>
      </c>
    </row>
    <row r="25" spans="1:7" s="249" customFormat="1" ht="24">
      <c r="A25" s="940" t="s">
        <v>793</v>
      </c>
      <c r="B25" s="250" t="s">
        <v>1058</v>
      </c>
      <c r="C25" s="1343">
        <f ca="1">ROUND(IF('数据-取费表'!B22&lt;=1,C20*F22*'数据-取费表'!B23/2,C20*(POWER((1+F22),'数据-取费表'!B23/2)-1)),0)</f>
        <v>19</v>
      </c>
      <c r="D25" s="273"/>
      <c r="E25" s="276"/>
      <c r="F25" s="274"/>
      <c r="G25" s="277" t="s">
        <v>110</v>
      </c>
    </row>
    <row r="26" spans="1:7" s="249" customFormat="1">
      <c r="A26" s="940" t="s">
        <v>795</v>
      </c>
      <c r="B26" s="250" t="s">
        <v>1060</v>
      </c>
      <c r="C26" s="273">
        <f ca="1">ROUND(IF('数据-取费表'!B22&lt;=1,F21*F22*'数据-取费表'!B23/2,F21*(POWER((1+F22),'数据-取费表'!B23/2)-1)),4)</f>
        <v>6.9999999999999999E-4</v>
      </c>
      <c r="D26" s="273"/>
      <c r="E26" s="276"/>
      <c r="F26" s="274"/>
      <c r="G26" s="278"/>
    </row>
    <row r="27" spans="1:7" s="249" customFormat="1" ht="24.75">
      <c r="A27" s="937" t="s">
        <v>787</v>
      </c>
      <c r="B27" s="279" t="s">
        <v>112</v>
      </c>
      <c r="C27" s="280">
        <f>C28</f>
        <v>3055</v>
      </c>
      <c r="D27" s="270">
        <f>C29</f>
        <v>2.0999999999999999E-3</v>
      </c>
      <c r="E27" s="271" t="s">
        <v>126</v>
      </c>
      <c r="F27" s="281">
        <f>'数据-取费表'!Q16</f>
        <v>0.15</v>
      </c>
      <c r="G27" s="282" t="s">
        <v>1069</v>
      </c>
    </row>
    <row r="28" spans="1:7" s="249" customFormat="1" ht="13.5" customHeight="1">
      <c r="A28" s="940" t="s">
        <v>794</v>
      </c>
      <c r="B28" s="283" t="s">
        <v>1062</v>
      </c>
      <c r="C28" s="284">
        <f>ROUND((C5+C19+C20)*F27*'数据-取费表'!B21/'数据-取费表'!B20,0)</f>
        <v>3055</v>
      </c>
      <c r="D28" s="270"/>
      <c r="E28" s="271"/>
      <c r="F28" s="281"/>
      <c r="G28" s="282"/>
    </row>
    <row r="29" spans="1:7" s="249" customFormat="1" ht="13.5" customHeight="1">
      <c r="A29" s="940" t="s">
        <v>792</v>
      </c>
      <c r="B29" s="283" t="s">
        <v>1063</v>
      </c>
      <c r="C29" s="273">
        <f>ROUND(C21*F27*'数据-取费表'!B21/'数据-取费表'!B20,4)</f>
        <v>2.0999999999999999E-3</v>
      </c>
      <c r="D29" s="270"/>
      <c r="E29" s="271"/>
      <c r="F29" s="281"/>
      <c r="G29" s="282"/>
    </row>
    <row r="30" spans="1:7" s="249" customFormat="1" ht="13.5" customHeight="1">
      <c r="A30" s="937" t="s">
        <v>788</v>
      </c>
      <c r="B30" s="245" t="s">
        <v>58</v>
      </c>
      <c r="C30" s="270">
        <f>F30</f>
        <v>5.6000000000000001E-2</v>
      </c>
      <c r="D30" s="271" t="s">
        <v>127</v>
      </c>
      <c r="E30" s="276"/>
      <c r="F30" s="272">
        <f>'数据-取费表'!B41</f>
        <v>5.6000000000000001E-2</v>
      </c>
      <c r="G30" s="269" t="s">
        <v>113</v>
      </c>
    </row>
    <row r="31" spans="1:7" ht="16.5" customHeight="1">
      <c r="A31" s="244">
        <v>1</v>
      </c>
      <c r="B31" s="245" t="s">
        <v>128</v>
      </c>
      <c r="C31" s="246">
        <f ca="1">ROUND((C5+C19+C20+C22+C27)/(1-C21-D22-D27-C30/(1+'数据-取费表'!B42)),0)</f>
        <v>28477</v>
      </c>
      <c r="D31" s="265"/>
      <c r="E31" s="246"/>
      <c r="F31" s="285"/>
      <c r="G31" s="269" t="s">
        <v>1070</v>
      </c>
    </row>
    <row r="32" spans="1:7" s="243" customFormat="1" ht="15.75">
      <c r="A32" s="287" t="s">
        <v>114</v>
      </c>
      <c r="B32" s="288"/>
      <c r="C32" s="288"/>
      <c r="D32" s="288"/>
      <c r="E32" s="288"/>
      <c r="F32" s="288"/>
      <c r="G32" s="289"/>
    </row>
    <row r="33" spans="1:7" s="249" customFormat="1" ht="13.5" customHeight="1">
      <c r="A33" s="290" t="s">
        <v>782</v>
      </c>
      <c r="B33" s="245" t="s">
        <v>115</v>
      </c>
      <c r="C33" s="291">
        <f>SUM(C34:C38)</f>
        <v>6322</v>
      </c>
      <c r="D33" s="267"/>
      <c r="E33" s="247"/>
      <c r="F33" s="276"/>
      <c r="G33" s="269"/>
    </row>
    <row r="34" spans="1:7" s="293" customFormat="1" ht="13.5" customHeight="1">
      <c r="A34" s="940" t="s">
        <v>794</v>
      </c>
      <c r="B34" s="250" t="s">
        <v>59</v>
      </c>
      <c r="C34" s="255">
        <f>IF(F34=100%,'数据-取费表'!M16-SUMIF('数据-取费表'!C:C,"公共配套",'数据-取费表'!M:M),'数据-取费表'!O16-SUMIF('数据-取费表'!C:C,"公共配套",'数据-取费表'!O:O))</f>
        <v>5663</v>
      </c>
      <c r="D34" s="252"/>
      <c r="E34" s="255"/>
      <c r="F34" s="292">
        <f>IF('数据-取费表'!B24=0,1,'数据-取费表'!N16)</f>
        <v>0.99</v>
      </c>
      <c r="G34" s="254" t="s">
        <v>116</v>
      </c>
    </row>
    <row r="35" spans="1:7" ht="13.5" customHeight="1">
      <c r="A35" s="940" t="s">
        <v>796</v>
      </c>
      <c r="B35" s="250" t="s">
        <v>60</v>
      </c>
      <c r="C35" s="255">
        <f>ROUND(C34*F35,0)</f>
        <v>170</v>
      </c>
      <c r="D35" s="255"/>
      <c r="E35" s="255"/>
      <c r="F35" s="294">
        <f>'数据-取费表'!B33</f>
        <v>0.03</v>
      </c>
      <c r="G35" s="254" t="s">
        <v>117</v>
      </c>
    </row>
    <row r="36" spans="1:7" ht="24">
      <c r="A36" s="940" t="s">
        <v>797</v>
      </c>
      <c r="B36" s="250" t="s">
        <v>61</v>
      </c>
      <c r="C36" s="255">
        <f>ROUND(IF(SUMIF('数据-取费表'!C:C,"住宅",IF(F34=100%,'数据-取费表'!M:M,'数据-取费表'!O:O))=0,0,IF(F36=0,SUMIF('数据-取费表'!C:C,"公共配套",IF(F34=100%,'数据-取费表'!M:M,'数据-取费表'!O:O)),SUMIF('数据-取费表'!C:C,"住宅",IF(F34=100%,'数据-取费表'!M:M,'数据-取费表'!O:O))*F36)),0)</f>
        <v>0</v>
      </c>
      <c r="D36" s="255"/>
      <c r="E36" s="255"/>
      <c r="F36" s="294">
        <f>'数据-取费表'!B34</f>
        <v>0</v>
      </c>
      <c r="G36" s="295" t="s">
        <v>62</v>
      </c>
    </row>
    <row r="37" spans="1:7" s="293" customFormat="1" ht="13.5" customHeight="1">
      <c r="A37" s="940" t="s">
        <v>798</v>
      </c>
      <c r="B37" s="250" t="s">
        <v>118</v>
      </c>
      <c r="C37" s="284">
        <f>ROUND(E37*D37*F34/10000,0)</f>
        <v>404</v>
      </c>
      <c r="D37" s="252">
        <f>'数据-汇总表'!E3</f>
        <v>20428.607999999997</v>
      </c>
      <c r="E37" s="284">
        <f>'数据-取费表'!B35</f>
        <v>200</v>
      </c>
      <c r="F37" s="294"/>
      <c r="G37" s="296" t="s">
        <v>119</v>
      </c>
    </row>
    <row r="38" spans="1:7" ht="13.5" customHeight="1">
      <c r="A38" s="940" t="s">
        <v>799</v>
      </c>
      <c r="B38" s="250" t="s">
        <v>63</v>
      </c>
      <c r="C38" s="255">
        <f>ROUND(C34*F38,0)</f>
        <v>85</v>
      </c>
      <c r="D38" s="255"/>
      <c r="E38" s="255"/>
      <c r="F38" s="294">
        <f>'数据-取费表'!B36</f>
        <v>1.4999999999999999E-2</v>
      </c>
      <c r="G38" s="254" t="s">
        <v>117</v>
      </c>
    </row>
    <row r="39" spans="1:7" s="249" customFormat="1" ht="13.5" customHeight="1">
      <c r="A39" s="937" t="s">
        <v>783</v>
      </c>
      <c r="B39" s="245" t="s">
        <v>104</v>
      </c>
      <c r="C39" s="267">
        <f>ROUND(C33*F20,0)</f>
        <v>126</v>
      </c>
      <c r="D39" s="267"/>
      <c r="E39" s="267"/>
      <c r="F39" s="268"/>
      <c r="G39" s="1277" t="s">
        <v>1071</v>
      </c>
    </row>
    <row r="40" spans="1:7" s="249" customFormat="1" ht="13.5" customHeight="1">
      <c r="A40" s="937" t="s">
        <v>784</v>
      </c>
      <c r="B40" s="245" t="s">
        <v>105</v>
      </c>
      <c r="C40" s="297">
        <f>F21</f>
        <v>1.4999999999999999E-2</v>
      </c>
      <c r="D40" s="271" t="s">
        <v>129</v>
      </c>
      <c r="E40" s="267"/>
      <c r="F40" s="268"/>
      <c r="G40" s="269" t="s">
        <v>120</v>
      </c>
    </row>
    <row r="41" spans="1:7" s="249" customFormat="1" ht="13.5" customHeight="1">
      <c r="A41" s="937" t="s">
        <v>785</v>
      </c>
      <c r="B41" s="245" t="s">
        <v>107</v>
      </c>
      <c r="C41" s="267">
        <f ca="1">ROUND(SUM(C42:C43),0)</f>
        <v>291</v>
      </c>
      <c r="D41" s="270">
        <f ca="1">C44</f>
        <v>6.9999999999999999E-4</v>
      </c>
      <c r="E41" s="271" t="s">
        <v>129</v>
      </c>
      <c r="F41" s="272"/>
      <c r="G41" s="1277" t="str">
        <f>IF('数据-取费表'!B22&lt;=1,"单利计息","复利计息")</f>
        <v>复利计息</v>
      </c>
    </row>
    <row r="42" spans="1:7" ht="13.5" customHeight="1">
      <c r="A42" s="940" t="s">
        <v>794</v>
      </c>
      <c r="B42" s="250" t="s">
        <v>1061</v>
      </c>
      <c r="C42" s="273">
        <f ca="1">ROUND(IF('数据-取费表'!B22&lt;=1,C33*F22*'数据-取费表'!B21/2,C33*(POWER((1+F22),'数据-取费表'!B21/2)-1)),0)</f>
        <v>285</v>
      </c>
      <c r="D42" s="273"/>
      <c r="E42" s="273"/>
      <c r="F42" s="274"/>
      <c r="G42" s="3265" t="s">
        <v>121</v>
      </c>
    </row>
    <row r="43" spans="1:7" ht="13.5" customHeight="1">
      <c r="A43" s="940" t="s">
        <v>792</v>
      </c>
      <c r="B43" s="250" t="s">
        <v>1064</v>
      </c>
      <c r="C43" s="273">
        <f ca="1">ROUND(IF('数据-取费表'!B22&lt;=1,C39*F22*'数据-取费表'!B21/2,C39*(POWER((1+F22),'数据-取费表'!B21/2)-1)),0)</f>
        <v>6</v>
      </c>
      <c r="D43" s="273"/>
      <c r="E43" s="273"/>
      <c r="F43" s="274"/>
      <c r="G43" s="3266"/>
    </row>
    <row r="44" spans="1:7" ht="13.5" customHeight="1">
      <c r="A44" s="940" t="s">
        <v>793</v>
      </c>
      <c r="B44" s="250" t="s">
        <v>1066</v>
      </c>
      <c r="C44" s="273">
        <f ca="1">ROUND(IF('数据-取费表'!B22&lt;=1,C40*F22*'数据-取费表'!B21/2,C40*(POWER((1+F22),'数据-取费表'!B21/2)-1)),4)</f>
        <v>6.9999999999999999E-4</v>
      </c>
      <c r="D44" s="273"/>
      <c r="E44" s="273"/>
      <c r="F44" s="274"/>
      <c r="G44" s="3267"/>
    </row>
    <row r="45" spans="1:7" s="249" customFormat="1" ht="13.5" customHeight="1">
      <c r="A45" s="937" t="s">
        <v>786</v>
      </c>
      <c r="B45" s="279" t="s">
        <v>112</v>
      </c>
      <c r="C45" s="280">
        <f>C46</f>
        <v>967</v>
      </c>
      <c r="D45" s="270">
        <f>C47</f>
        <v>2.3E-3</v>
      </c>
      <c r="E45" s="271" t="s">
        <v>129</v>
      </c>
      <c r="F45" s="281"/>
      <c r="G45" s="282" t="s">
        <v>1072</v>
      </c>
    </row>
    <row r="46" spans="1:7" s="249" customFormat="1" ht="13.5" customHeight="1">
      <c r="A46" s="940" t="s">
        <v>794</v>
      </c>
      <c r="B46" s="283" t="s">
        <v>1065</v>
      </c>
      <c r="C46" s="284">
        <f>ROUND((C33+C39)*F27,0)</f>
        <v>967</v>
      </c>
      <c r="D46" s="298"/>
      <c r="E46" s="271"/>
      <c r="F46" s="281"/>
      <c r="G46" s="282"/>
    </row>
    <row r="47" spans="1:7" s="249" customFormat="1" ht="13.5" customHeight="1">
      <c r="A47" s="940" t="s">
        <v>792</v>
      </c>
      <c r="B47" s="283" t="s">
        <v>1067</v>
      </c>
      <c r="C47" s="273">
        <f>ROUND(C40*F27,4)</f>
        <v>2.3E-3</v>
      </c>
      <c r="D47" s="298"/>
      <c r="E47" s="271"/>
      <c r="F47" s="281"/>
      <c r="G47" s="282"/>
    </row>
    <row r="48" spans="1:7" s="249" customFormat="1" ht="13.5" customHeight="1">
      <c r="A48" s="937" t="s">
        <v>787</v>
      </c>
      <c r="B48" s="245" t="s">
        <v>122</v>
      </c>
      <c r="C48" s="297">
        <f>F30</f>
        <v>5.6000000000000001E-2</v>
      </c>
      <c r="D48" s="271" t="s">
        <v>130</v>
      </c>
      <c r="E48" s="267"/>
      <c r="F48" s="272"/>
      <c r="G48" s="269" t="s">
        <v>123</v>
      </c>
    </row>
    <row r="49" spans="1:7" ht="16.5" customHeight="1">
      <c r="A49" s="937" t="s">
        <v>788</v>
      </c>
      <c r="B49" s="245" t="s">
        <v>131</v>
      </c>
      <c r="C49" s="267">
        <f ca="1">ROUND((C33+C39+C41+C45)/(1-C40-D41-D45-C48/(1+'数据-取费表'!B42)),0)</f>
        <v>8298</v>
      </c>
      <c r="D49" s="267"/>
      <c r="E49" s="267"/>
      <c r="F49" s="299"/>
      <c r="G49" s="269" t="s">
        <v>1073</v>
      </c>
    </row>
    <row r="50" spans="1:7" s="293" customFormat="1" ht="24">
      <c r="A50" s="937" t="s">
        <v>789</v>
      </c>
      <c r="B50" s="245" t="s">
        <v>124</v>
      </c>
      <c r="C50" s="267"/>
      <c r="D50" s="267"/>
      <c r="E50" s="267"/>
      <c r="F50" s="299">
        <f>IF('数据-取费表'!B24=0,'数据-取费表'!N16,1)</f>
        <v>1</v>
      </c>
      <c r="G50" s="282" t="s">
        <v>125</v>
      </c>
    </row>
    <row r="51" spans="1:7" ht="16.5" customHeight="1">
      <c r="A51" s="937" t="s">
        <v>790</v>
      </c>
      <c r="B51" s="245" t="s">
        <v>132</v>
      </c>
      <c r="C51" s="267">
        <f ca="1">ROUND(C49*F50,0)</f>
        <v>8298</v>
      </c>
      <c r="D51" s="267"/>
      <c r="E51" s="267"/>
      <c r="F51" s="299"/>
      <c r="G51" s="269" t="s">
        <v>64</v>
      </c>
    </row>
    <row r="52" spans="1:7" s="243" customFormat="1" ht="16.5" thickBot="1">
      <c r="A52" s="300" t="s">
        <v>65</v>
      </c>
      <c r="B52" s="301"/>
      <c r="C52" s="302">
        <f ca="1">C31+C51</f>
        <v>36775</v>
      </c>
      <c r="D52" s="301"/>
      <c r="E52" s="301"/>
      <c r="F52" s="301"/>
      <c r="G52" s="303"/>
    </row>
    <row r="55" spans="1:7" ht="15">
      <c r="B55" s="305" t="s">
        <v>66</v>
      </c>
      <c r="C55" s="306"/>
    </row>
    <row r="56" spans="1:7">
      <c r="B56" s="308" t="s">
        <v>67</v>
      </c>
      <c r="C56" s="309">
        <f ca="1">ROUND(C51/C52,3)</f>
        <v>0.22600000000000001</v>
      </c>
    </row>
    <row r="57" spans="1:7">
      <c r="B57" s="308" t="s">
        <v>68</v>
      </c>
      <c r="C57" s="310">
        <f ca="1">1-C56</f>
        <v>0.77400000000000002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1" customWidth="1"/>
    <col min="2" max="5" width="10.25" style="799" customWidth="1"/>
    <col min="6" max="6" width="9" style="799"/>
    <col min="7" max="8" width="9" style="814"/>
    <col min="9" max="16384" width="9" style="799"/>
  </cols>
  <sheetData>
    <row r="1" spans="1:19">
      <c r="A1" s="3402" t="s">
        <v>156</v>
      </c>
      <c r="B1" s="3402"/>
      <c r="C1" s="3402"/>
      <c r="D1" s="3402"/>
      <c r="E1" s="3402"/>
      <c r="F1" s="3402"/>
      <c r="H1" s="816" t="s">
        <v>157</v>
      </c>
      <c r="I1" s="817" t="s">
        <v>158</v>
      </c>
      <c r="J1" s="817" t="s">
        <v>159</v>
      </c>
      <c r="K1" s="817" t="s">
        <v>160</v>
      </c>
      <c r="L1" s="817" t="s">
        <v>161</v>
      </c>
      <c r="M1" s="817" t="s">
        <v>162</v>
      </c>
      <c r="N1" s="817" t="s">
        <v>163</v>
      </c>
      <c r="O1" s="817" t="s">
        <v>164</v>
      </c>
      <c r="P1" s="817" t="s">
        <v>165</v>
      </c>
      <c r="Q1" s="817" t="s">
        <v>166</v>
      </c>
      <c r="R1" s="817" t="s">
        <v>167</v>
      </c>
      <c r="S1" s="818" t="s">
        <v>168</v>
      </c>
    </row>
    <row r="2" spans="1:19" ht="14.25" thickBot="1">
      <c r="A2" s="3403" t="s">
        <v>169</v>
      </c>
      <c r="B2" s="3403"/>
      <c r="C2" s="3403"/>
      <c r="D2" s="3403"/>
      <c r="E2" s="3403"/>
      <c r="F2" s="3403"/>
      <c r="H2" s="819" t="s">
        <v>170</v>
      </c>
      <c r="I2" s="820" t="s">
        <v>171</v>
      </c>
      <c r="J2" s="820" t="s">
        <v>172</v>
      </c>
      <c r="K2" s="820" t="s">
        <v>173</v>
      </c>
      <c r="L2" s="820" t="s">
        <v>174</v>
      </c>
      <c r="M2" s="820" t="s">
        <v>175</v>
      </c>
      <c r="N2" s="820" t="s">
        <v>176</v>
      </c>
      <c r="O2" s="820" t="s">
        <v>177</v>
      </c>
      <c r="P2" s="820" t="s">
        <v>178</v>
      </c>
      <c r="Q2" s="820" t="s">
        <v>179</v>
      </c>
      <c r="R2" s="820" t="s">
        <v>180</v>
      </c>
      <c r="S2" s="820" t="s">
        <v>181</v>
      </c>
    </row>
    <row r="3" spans="1:19" s="815" customFormat="1" ht="19.5" customHeight="1">
      <c r="A3" s="3404" t="s">
        <v>182</v>
      </c>
      <c r="B3" s="821"/>
      <c r="C3" s="822" t="s">
        <v>183</v>
      </c>
      <c r="D3" s="822" t="s">
        <v>184</v>
      </c>
      <c r="E3" s="822" t="s">
        <v>751</v>
      </c>
      <c r="F3" s="822" t="s">
        <v>186</v>
      </c>
      <c r="G3" s="823"/>
      <c r="H3" s="819" t="s">
        <v>187</v>
      </c>
      <c r="I3" s="820" t="s">
        <v>188</v>
      </c>
      <c r="J3" s="820" t="s">
        <v>189</v>
      </c>
      <c r="K3" s="820" t="s">
        <v>190</v>
      </c>
      <c r="L3" s="820" t="s">
        <v>191</v>
      </c>
      <c r="M3" s="820" t="s">
        <v>192</v>
      </c>
      <c r="N3" s="820" t="s">
        <v>193</v>
      </c>
      <c r="O3" s="820" t="s">
        <v>194</v>
      </c>
      <c r="P3" s="820" t="s">
        <v>195</v>
      </c>
      <c r="Q3" s="820" t="s">
        <v>196</v>
      </c>
      <c r="R3" s="820" t="s">
        <v>197</v>
      </c>
      <c r="S3" s="820" t="s">
        <v>198</v>
      </c>
    </row>
    <row r="4" spans="1:19" s="815" customFormat="1" ht="19.5" customHeight="1" thickBot="1">
      <c r="A4" s="3405"/>
      <c r="B4" s="824" t="s">
        <v>199</v>
      </c>
      <c r="C4" s="824" t="s">
        <v>200</v>
      </c>
      <c r="D4" s="824" t="s">
        <v>200</v>
      </c>
      <c r="E4" s="824" t="s">
        <v>200</v>
      </c>
      <c r="F4" s="825" t="s">
        <v>200</v>
      </c>
      <c r="G4" s="823"/>
      <c r="H4" s="819" t="s">
        <v>201</v>
      </c>
      <c r="I4" s="820" t="s">
        <v>138</v>
      </c>
      <c r="J4" s="820" t="s">
        <v>202</v>
      </c>
      <c r="K4" s="820" t="s">
        <v>203</v>
      </c>
      <c r="L4" s="820" t="s">
        <v>204</v>
      </c>
      <c r="M4" s="820" t="s">
        <v>205</v>
      </c>
      <c r="N4" s="820" t="s">
        <v>206</v>
      </c>
      <c r="O4" s="820" t="s">
        <v>207</v>
      </c>
      <c r="P4" s="820" t="s">
        <v>208</v>
      </c>
      <c r="Q4" s="820" t="s">
        <v>209</v>
      </c>
      <c r="R4" s="820" t="s">
        <v>210</v>
      </c>
      <c r="S4" s="820" t="s">
        <v>211</v>
      </c>
    </row>
    <row r="5" spans="1:19" ht="14.25" customHeight="1" thickBot="1">
      <c r="A5" s="826" t="s">
        <v>816</v>
      </c>
      <c r="B5" s="827" t="s">
        <v>817</v>
      </c>
      <c r="C5" s="827">
        <v>29530</v>
      </c>
      <c r="D5" s="827">
        <v>28130</v>
      </c>
      <c r="E5" s="827">
        <v>27930</v>
      </c>
      <c r="F5" s="828">
        <v>11300</v>
      </c>
      <c r="G5" s="823"/>
      <c r="H5" s="819" t="s">
        <v>213</v>
      </c>
      <c r="I5" s="820" t="s">
        <v>214</v>
      </c>
      <c r="J5" s="820" t="s">
        <v>215</v>
      </c>
      <c r="K5" s="820" t="s">
        <v>216</v>
      </c>
      <c r="L5" s="820" t="s">
        <v>217</v>
      </c>
      <c r="M5" s="820" t="s">
        <v>218</v>
      </c>
      <c r="N5" s="820" t="s">
        <v>219</v>
      </c>
      <c r="O5" s="820" t="s">
        <v>220</v>
      </c>
      <c r="P5" s="820" t="s">
        <v>221</v>
      </c>
      <c r="Q5" s="820" t="s">
        <v>222</v>
      </c>
      <c r="R5" s="820" t="s">
        <v>223</v>
      </c>
      <c r="S5" s="820" t="s">
        <v>224</v>
      </c>
    </row>
    <row r="6" spans="1:19" ht="14.25" customHeight="1" thickBot="1">
      <c r="A6" s="826" t="s">
        <v>212</v>
      </c>
      <c r="B6" s="820" t="s">
        <v>187</v>
      </c>
      <c r="C6" s="820">
        <v>30290</v>
      </c>
      <c r="D6" s="820">
        <v>29210</v>
      </c>
      <c r="E6" s="820">
        <v>28860</v>
      </c>
      <c r="F6" s="829">
        <v>12600</v>
      </c>
      <c r="G6" s="823"/>
      <c r="H6" s="819" t="s">
        <v>225</v>
      </c>
      <c r="I6" s="820" t="s">
        <v>226</v>
      </c>
      <c r="J6" s="820" t="s">
        <v>227</v>
      </c>
      <c r="K6" s="820" t="s">
        <v>228</v>
      </c>
      <c r="L6" s="820" t="s">
        <v>229</v>
      </c>
      <c r="M6" s="820" t="s">
        <v>230</v>
      </c>
      <c r="N6" s="820" t="s">
        <v>231</v>
      </c>
      <c r="O6" s="820" t="s">
        <v>232</v>
      </c>
      <c r="P6" s="820" t="s">
        <v>233</v>
      </c>
      <c r="Q6" s="820" t="s">
        <v>234</v>
      </c>
      <c r="R6" s="820" t="s">
        <v>235</v>
      </c>
      <c r="S6" s="820" t="s">
        <v>236</v>
      </c>
    </row>
    <row r="7" spans="1:19" ht="14.25" customHeight="1" thickBot="1">
      <c r="A7" s="826" t="s">
        <v>212</v>
      </c>
      <c r="B7" s="830" t="s">
        <v>201</v>
      </c>
      <c r="C7" s="820">
        <v>29350</v>
      </c>
      <c r="D7" s="820">
        <v>28410</v>
      </c>
      <c r="E7" s="820">
        <v>27990</v>
      </c>
      <c r="F7" s="829">
        <v>12300</v>
      </c>
      <c r="G7" s="823"/>
      <c r="I7" s="820" t="s">
        <v>237</v>
      </c>
      <c r="J7" s="820" t="s">
        <v>238</v>
      </c>
      <c r="K7" s="820" t="s">
        <v>239</v>
      </c>
      <c r="L7" s="820" t="s">
        <v>240</v>
      </c>
      <c r="M7" s="820" t="s">
        <v>241</v>
      </c>
      <c r="N7" s="820" t="s">
        <v>242</v>
      </c>
      <c r="O7" s="820" t="s">
        <v>243</v>
      </c>
      <c r="P7" s="820" t="s">
        <v>244</v>
      </c>
      <c r="Q7" s="820" t="s">
        <v>245</v>
      </c>
      <c r="R7" s="820" t="s">
        <v>246</v>
      </c>
      <c r="S7" s="830" t="s">
        <v>247</v>
      </c>
    </row>
    <row r="8" spans="1:19" ht="14.25" customHeight="1" thickBot="1">
      <c r="A8" s="826" t="s">
        <v>212</v>
      </c>
      <c r="B8" s="820" t="s">
        <v>213</v>
      </c>
      <c r="C8" s="820">
        <v>30890</v>
      </c>
      <c r="D8" s="820">
        <v>29780</v>
      </c>
      <c r="E8" s="820">
        <v>29270</v>
      </c>
      <c r="F8" s="829">
        <v>11600</v>
      </c>
      <c r="G8" s="823"/>
      <c r="I8" s="820" t="s">
        <v>248</v>
      </c>
      <c r="J8" s="820" t="s">
        <v>249</v>
      </c>
      <c r="K8" s="820" t="s">
        <v>250</v>
      </c>
      <c r="L8" s="820" t="s">
        <v>251</v>
      </c>
      <c r="M8" s="820" t="s">
        <v>252</v>
      </c>
      <c r="N8" s="820" t="s">
        <v>253</v>
      </c>
      <c r="O8" s="820" t="s">
        <v>254</v>
      </c>
      <c r="P8" s="820" t="s">
        <v>255</v>
      </c>
      <c r="Q8" s="820" t="s">
        <v>256</v>
      </c>
      <c r="R8" s="820" t="s">
        <v>257</v>
      </c>
      <c r="S8" s="820" t="s">
        <v>258</v>
      </c>
    </row>
    <row r="9" spans="1:19" ht="14.25" customHeight="1" thickBot="1">
      <c r="A9" s="826" t="s">
        <v>212</v>
      </c>
      <c r="B9" s="831" t="s">
        <v>225</v>
      </c>
      <c r="C9" s="832">
        <v>28140</v>
      </c>
      <c r="D9" s="832"/>
      <c r="E9" s="832"/>
      <c r="F9" s="833"/>
      <c r="G9" s="823"/>
      <c r="I9" s="820" t="s">
        <v>259</v>
      </c>
      <c r="J9" s="820" t="s">
        <v>260</v>
      </c>
      <c r="K9" s="820" t="s">
        <v>261</v>
      </c>
      <c r="L9" s="820" t="s">
        <v>262</v>
      </c>
      <c r="M9" s="820" t="s">
        <v>263</v>
      </c>
      <c r="N9" s="820" t="s">
        <v>264</v>
      </c>
      <c r="O9" s="820" t="s">
        <v>265</v>
      </c>
      <c r="P9" s="820" t="s">
        <v>266</v>
      </c>
      <c r="Q9" s="820" t="s">
        <v>267</v>
      </c>
      <c r="R9" s="820" t="s">
        <v>268</v>
      </c>
    </row>
    <row r="10" spans="1:19" ht="14.25" customHeight="1" thickBot="1">
      <c r="A10" s="826" t="s">
        <v>269</v>
      </c>
      <c r="B10" s="827" t="s">
        <v>270</v>
      </c>
      <c r="C10" s="827">
        <v>27450</v>
      </c>
      <c r="D10" s="827">
        <v>26180</v>
      </c>
      <c r="E10" s="827">
        <v>25980</v>
      </c>
      <c r="F10" s="828">
        <v>8910</v>
      </c>
      <c r="G10" s="823"/>
      <c r="I10" s="820" t="s">
        <v>271</v>
      </c>
      <c r="J10" s="820" t="s">
        <v>272</v>
      </c>
      <c r="K10" s="820" t="s">
        <v>273</v>
      </c>
      <c r="L10" s="820" t="s">
        <v>274</v>
      </c>
      <c r="M10" s="820" t="s">
        <v>275</v>
      </c>
      <c r="N10" s="820" t="s">
        <v>276</v>
      </c>
      <c r="O10" s="820" t="s">
        <v>277</v>
      </c>
      <c r="P10" s="820" t="s">
        <v>278</v>
      </c>
      <c r="Q10" s="820" t="s">
        <v>279</v>
      </c>
      <c r="R10" s="820" t="s">
        <v>280</v>
      </c>
    </row>
    <row r="11" spans="1:19" ht="14.25" customHeight="1" thickBot="1">
      <c r="A11" s="826" t="s">
        <v>269</v>
      </c>
      <c r="B11" s="830" t="s">
        <v>188</v>
      </c>
      <c r="C11" s="820">
        <v>22950</v>
      </c>
      <c r="D11" s="820">
        <v>22630</v>
      </c>
      <c r="E11" s="820">
        <v>22030</v>
      </c>
      <c r="F11" s="834">
        <v>8330</v>
      </c>
      <c r="G11" s="823"/>
      <c r="I11" s="820" t="s">
        <v>281</v>
      </c>
      <c r="J11" s="820" t="s">
        <v>282</v>
      </c>
      <c r="K11" s="820" t="s">
        <v>283</v>
      </c>
      <c r="L11" s="820" t="s">
        <v>284</v>
      </c>
      <c r="M11" s="820" t="s">
        <v>285</v>
      </c>
      <c r="N11" s="820" t="s">
        <v>286</v>
      </c>
      <c r="O11" s="820" t="s">
        <v>287</v>
      </c>
      <c r="P11" s="820" t="s">
        <v>288</v>
      </c>
      <c r="Q11" s="820" t="s">
        <v>289</v>
      </c>
      <c r="R11" s="820" t="s">
        <v>290</v>
      </c>
    </row>
    <row r="12" spans="1:19" ht="14.25" customHeight="1" thickBot="1">
      <c r="A12" s="826" t="s">
        <v>269</v>
      </c>
      <c r="B12" s="830" t="s">
        <v>138</v>
      </c>
      <c r="C12" s="820">
        <v>24940</v>
      </c>
      <c r="D12" s="820">
        <v>23180</v>
      </c>
      <c r="E12" s="820">
        <v>22910</v>
      </c>
      <c r="F12" s="834">
        <v>7180</v>
      </c>
      <c r="G12" s="823"/>
      <c r="I12" s="820" t="s">
        <v>291</v>
      </c>
      <c r="J12" s="820" t="s">
        <v>292</v>
      </c>
      <c r="K12" s="820" t="s">
        <v>293</v>
      </c>
      <c r="L12" s="820" t="s">
        <v>294</v>
      </c>
      <c r="M12" s="820" t="s">
        <v>295</v>
      </c>
      <c r="N12" s="820" t="s">
        <v>296</v>
      </c>
      <c r="O12" s="820" t="s">
        <v>297</v>
      </c>
      <c r="P12" s="820" t="s">
        <v>298</v>
      </c>
      <c r="Q12" s="820" t="s">
        <v>299</v>
      </c>
      <c r="R12" s="820" t="s">
        <v>300</v>
      </c>
    </row>
    <row r="13" spans="1:19" ht="14.25" customHeight="1" thickBot="1">
      <c r="A13" s="826" t="s">
        <v>269</v>
      </c>
      <c r="B13" s="830" t="s">
        <v>214</v>
      </c>
      <c r="C13" s="820">
        <v>24140</v>
      </c>
      <c r="D13" s="820">
        <v>22270</v>
      </c>
      <c r="E13" s="820">
        <v>21950</v>
      </c>
      <c r="F13" s="834">
        <v>7600</v>
      </c>
      <c r="G13" s="823"/>
      <c r="I13" s="820" t="s">
        <v>301</v>
      </c>
      <c r="J13" s="820" t="s">
        <v>302</v>
      </c>
      <c r="K13" s="820" t="s">
        <v>303</v>
      </c>
      <c r="L13" s="820" t="s">
        <v>304</v>
      </c>
      <c r="M13" s="820" t="s">
        <v>305</v>
      </c>
      <c r="N13" s="820" t="s">
        <v>306</v>
      </c>
      <c r="O13" s="820" t="s">
        <v>307</v>
      </c>
      <c r="P13" s="820" t="s">
        <v>308</v>
      </c>
      <c r="Q13" s="820" t="s">
        <v>309</v>
      </c>
      <c r="R13" s="820" t="s">
        <v>310</v>
      </c>
    </row>
    <row r="14" spans="1:19" ht="14.25" customHeight="1" thickBot="1">
      <c r="A14" s="826" t="s">
        <v>269</v>
      </c>
      <c r="B14" s="830" t="s">
        <v>226</v>
      </c>
      <c r="C14" s="820">
        <v>25600</v>
      </c>
      <c r="D14" s="820">
        <v>22260</v>
      </c>
      <c r="E14" s="820">
        <v>22110</v>
      </c>
      <c r="F14" s="834">
        <v>7630</v>
      </c>
      <c r="G14" s="823"/>
      <c r="I14" s="820" t="s">
        <v>311</v>
      </c>
      <c r="J14" s="820" t="s">
        <v>312</v>
      </c>
      <c r="K14" s="820" t="s">
        <v>313</v>
      </c>
      <c r="L14" s="820" t="s">
        <v>314</v>
      </c>
      <c r="M14" s="820" t="s">
        <v>315</v>
      </c>
      <c r="N14" s="820" t="s">
        <v>316</v>
      </c>
      <c r="O14" s="820" t="s">
        <v>317</v>
      </c>
      <c r="P14" s="820" t="s">
        <v>318</v>
      </c>
      <c r="Q14" s="820" t="s">
        <v>319</v>
      </c>
      <c r="R14" s="820" t="s">
        <v>320</v>
      </c>
    </row>
    <row r="15" spans="1:19" ht="14.25" customHeight="1" thickBot="1">
      <c r="A15" s="826" t="s">
        <v>269</v>
      </c>
      <c r="B15" s="830" t="s">
        <v>237</v>
      </c>
      <c r="C15" s="820">
        <v>24760</v>
      </c>
      <c r="D15" s="820">
        <v>24440</v>
      </c>
      <c r="E15" s="820">
        <v>24130</v>
      </c>
      <c r="F15" s="834">
        <v>9480</v>
      </c>
      <c r="G15" s="823"/>
      <c r="I15" s="820" t="s">
        <v>322</v>
      </c>
      <c r="J15" s="820" t="s">
        <v>323</v>
      </c>
      <c r="K15" s="820" t="s">
        <v>324</v>
      </c>
      <c r="L15" s="820" t="s">
        <v>325</v>
      </c>
      <c r="M15" s="820" t="s">
        <v>326</v>
      </c>
      <c r="N15" s="820" t="s">
        <v>327</v>
      </c>
      <c r="O15" s="820" t="s">
        <v>328</v>
      </c>
      <c r="P15" s="820" t="s">
        <v>329</v>
      </c>
      <c r="Q15" s="820" t="s">
        <v>330</v>
      </c>
      <c r="R15" s="820" t="s">
        <v>331</v>
      </c>
    </row>
    <row r="16" spans="1:19" ht="14.25" customHeight="1" thickBot="1">
      <c r="A16" s="826" t="s">
        <v>269</v>
      </c>
      <c r="B16" s="830" t="s">
        <v>248</v>
      </c>
      <c r="C16" s="820">
        <v>22220</v>
      </c>
      <c r="D16" s="820">
        <v>22310</v>
      </c>
      <c r="E16" s="820">
        <v>22000</v>
      </c>
      <c r="F16" s="834">
        <v>8900</v>
      </c>
      <c r="G16" s="823"/>
      <c r="I16" s="820" t="s">
        <v>333</v>
      </c>
      <c r="J16" s="820" t="s">
        <v>334</v>
      </c>
      <c r="K16" s="820" t="s">
        <v>335</v>
      </c>
      <c r="L16" s="820" t="s">
        <v>336</v>
      </c>
      <c r="M16" s="820" t="s">
        <v>337</v>
      </c>
      <c r="N16" s="820" t="s">
        <v>338</v>
      </c>
      <c r="O16" s="820" t="s">
        <v>339</v>
      </c>
      <c r="P16" s="820" t="s">
        <v>340</v>
      </c>
      <c r="Q16" s="820" t="s">
        <v>341</v>
      </c>
      <c r="R16" s="820" t="s">
        <v>342</v>
      </c>
    </row>
    <row r="17" spans="1:18" ht="14.25" customHeight="1" thickBot="1">
      <c r="A17" s="826" t="s">
        <v>269</v>
      </c>
      <c r="B17" s="830" t="s">
        <v>259</v>
      </c>
      <c r="C17" s="820">
        <v>24700</v>
      </c>
      <c r="D17" s="820">
        <v>25150</v>
      </c>
      <c r="E17" s="820">
        <v>24700</v>
      </c>
      <c r="F17" s="835"/>
      <c r="G17" s="823"/>
      <c r="I17" s="820" t="s">
        <v>343</v>
      </c>
      <c r="J17" s="820" t="s">
        <v>344</v>
      </c>
      <c r="K17" s="820" t="s">
        <v>345</v>
      </c>
      <c r="L17" s="820" t="s">
        <v>346</v>
      </c>
      <c r="M17" s="820" t="s">
        <v>347</v>
      </c>
      <c r="N17" s="820" t="s">
        <v>348</v>
      </c>
      <c r="O17" s="820" t="s">
        <v>349</v>
      </c>
      <c r="P17" s="820" t="s">
        <v>350</v>
      </c>
      <c r="Q17" s="820" t="s">
        <v>351</v>
      </c>
      <c r="R17" s="820" t="s">
        <v>352</v>
      </c>
    </row>
    <row r="18" spans="1:18" ht="14.25" customHeight="1" thickBot="1">
      <c r="A18" s="826" t="s">
        <v>269</v>
      </c>
      <c r="B18" s="830" t="s">
        <v>271</v>
      </c>
      <c r="C18" s="820">
        <v>22350</v>
      </c>
      <c r="D18" s="820">
        <v>24340</v>
      </c>
      <c r="E18" s="820">
        <v>24100</v>
      </c>
      <c r="F18" s="835"/>
      <c r="G18" s="823"/>
      <c r="I18" s="820" t="s">
        <v>353</v>
      </c>
      <c r="J18" s="820" t="s">
        <v>354</v>
      </c>
      <c r="K18" s="820" t="s">
        <v>355</v>
      </c>
      <c r="L18" s="820" t="s">
        <v>356</v>
      </c>
      <c r="M18" s="820" t="s">
        <v>357</v>
      </c>
      <c r="N18" s="820" t="s">
        <v>358</v>
      </c>
      <c r="O18" s="820" t="s">
        <v>359</v>
      </c>
      <c r="P18" s="820" t="s">
        <v>360</v>
      </c>
      <c r="Q18" s="820" t="s">
        <v>361</v>
      </c>
      <c r="R18" s="820" t="s">
        <v>362</v>
      </c>
    </row>
    <row r="19" spans="1:18" ht="14.25" customHeight="1" thickBot="1">
      <c r="A19" s="826" t="s">
        <v>269</v>
      </c>
      <c r="B19" s="830" t="s">
        <v>281</v>
      </c>
      <c r="C19" s="820">
        <v>23430</v>
      </c>
      <c r="D19" s="820">
        <v>21580</v>
      </c>
      <c r="E19" s="820">
        <v>21350</v>
      </c>
      <c r="F19" s="835"/>
      <c r="G19" s="823"/>
      <c r="I19" s="820" t="s">
        <v>363</v>
      </c>
      <c r="J19" s="820" t="s">
        <v>364</v>
      </c>
      <c r="K19" s="820" t="s">
        <v>365</v>
      </c>
      <c r="L19" s="820" t="s">
        <v>366</v>
      </c>
      <c r="M19" s="820" t="s">
        <v>367</v>
      </c>
      <c r="N19" s="820" t="s">
        <v>368</v>
      </c>
      <c r="O19" s="820" t="s">
        <v>369</v>
      </c>
      <c r="P19" s="820" t="s">
        <v>370</v>
      </c>
      <c r="Q19" s="820" t="s">
        <v>371</v>
      </c>
      <c r="R19" s="820" t="s">
        <v>372</v>
      </c>
    </row>
    <row r="20" spans="1:18" ht="14.25" customHeight="1" thickBot="1">
      <c r="A20" s="826" t="s">
        <v>269</v>
      </c>
      <c r="B20" s="830" t="s">
        <v>291</v>
      </c>
      <c r="C20" s="820">
        <v>27660</v>
      </c>
      <c r="D20" s="820">
        <v>24240</v>
      </c>
      <c r="E20" s="820">
        <v>24020</v>
      </c>
      <c r="F20" s="835"/>
      <c r="I20" s="820" t="s">
        <v>373</v>
      </c>
      <c r="J20" s="820" t="s">
        <v>374</v>
      </c>
      <c r="K20" s="820" t="s">
        <v>375</v>
      </c>
      <c r="L20" s="820" t="s">
        <v>376</v>
      </c>
      <c r="M20" s="820" t="s">
        <v>377</v>
      </c>
      <c r="N20" s="820" t="s">
        <v>378</v>
      </c>
      <c r="O20" s="820" t="s">
        <v>379</v>
      </c>
      <c r="P20" s="820" t="s">
        <v>380</v>
      </c>
      <c r="Q20" s="820" t="s">
        <v>381</v>
      </c>
      <c r="R20" s="820" t="s">
        <v>382</v>
      </c>
    </row>
    <row r="21" spans="1:18" ht="14.25" customHeight="1" thickBot="1">
      <c r="A21" s="826" t="s">
        <v>269</v>
      </c>
      <c r="B21" s="830" t="s">
        <v>301</v>
      </c>
      <c r="C21" s="820">
        <v>24720</v>
      </c>
      <c r="D21" s="820">
        <v>21670</v>
      </c>
      <c r="E21" s="820">
        <v>21510</v>
      </c>
      <c r="F21" s="835"/>
      <c r="J21" s="820" t="s">
        <v>383</v>
      </c>
      <c r="K21" s="820" t="s">
        <v>384</v>
      </c>
      <c r="L21" s="820" t="s">
        <v>385</v>
      </c>
      <c r="M21" s="820" t="s">
        <v>386</v>
      </c>
      <c r="N21" s="820" t="s">
        <v>387</v>
      </c>
      <c r="O21" s="820" t="s">
        <v>388</v>
      </c>
      <c r="P21" s="820" t="s">
        <v>389</v>
      </c>
      <c r="Q21" s="820" t="s">
        <v>390</v>
      </c>
      <c r="R21" s="820" t="s">
        <v>391</v>
      </c>
    </row>
    <row r="22" spans="1:18" ht="14.25" customHeight="1" thickBot="1">
      <c r="A22" s="826" t="s">
        <v>269</v>
      </c>
      <c r="B22" s="830" t="s">
        <v>392</v>
      </c>
      <c r="C22" s="820">
        <v>26530</v>
      </c>
      <c r="D22" s="820">
        <v>22980</v>
      </c>
      <c r="E22" s="820">
        <v>22650</v>
      </c>
      <c r="F22" s="835"/>
      <c r="K22" s="820" t="s">
        <v>393</v>
      </c>
      <c r="L22" s="820" t="s">
        <v>394</v>
      </c>
      <c r="M22" s="820" t="s">
        <v>395</v>
      </c>
      <c r="N22" s="820" t="s">
        <v>396</v>
      </c>
      <c r="O22" s="820" t="s">
        <v>397</v>
      </c>
      <c r="P22" s="820" t="s">
        <v>398</v>
      </c>
      <c r="Q22" s="820" t="s">
        <v>399</v>
      </c>
      <c r="R22" s="830" t="s">
        <v>400</v>
      </c>
    </row>
    <row r="23" spans="1:18" ht="14.25" customHeight="1" thickBot="1">
      <c r="A23" s="826" t="s">
        <v>269</v>
      </c>
      <c r="B23" s="830" t="s">
        <v>322</v>
      </c>
      <c r="C23" s="820">
        <v>24700</v>
      </c>
      <c r="D23" s="820">
        <v>27290</v>
      </c>
      <c r="E23" s="820">
        <v>26710</v>
      </c>
      <c r="F23" s="835"/>
      <c r="K23" s="820" t="s">
        <v>401</v>
      </c>
      <c r="L23" s="820" t="s">
        <v>402</v>
      </c>
      <c r="M23" s="820" t="s">
        <v>403</v>
      </c>
      <c r="N23" s="820" t="s">
        <v>404</v>
      </c>
      <c r="O23" s="820" t="s">
        <v>405</v>
      </c>
      <c r="P23" s="820" t="s">
        <v>406</v>
      </c>
      <c r="Q23" s="820" t="s">
        <v>407</v>
      </c>
    </row>
    <row r="24" spans="1:18" ht="14.25" customHeight="1" thickBot="1">
      <c r="A24" s="826" t="s">
        <v>269</v>
      </c>
      <c r="B24" s="830" t="s">
        <v>333</v>
      </c>
      <c r="C24" s="820">
        <v>23070</v>
      </c>
      <c r="D24" s="820">
        <v>24130</v>
      </c>
      <c r="E24" s="820">
        <v>23860</v>
      </c>
      <c r="F24" s="835"/>
      <c r="K24" s="820" t="s">
        <v>408</v>
      </c>
      <c r="L24" s="820" t="s">
        <v>409</v>
      </c>
      <c r="M24" s="820" t="s">
        <v>410</v>
      </c>
      <c r="N24" s="820" t="s">
        <v>411</v>
      </c>
      <c r="O24" s="820" t="s">
        <v>412</v>
      </c>
      <c r="P24" s="820" t="s">
        <v>413</v>
      </c>
      <c r="Q24" s="820" t="s">
        <v>414</v>
      </c>
    </row>
    <row r="25" spans="1:18" ht="14.25" customHeight="1" thickBot="1">
      <c r="A25" s="826" t="s">
        <v>269</v>
      </c>
      <c r="B25" s="830" t="s">
        <v>343</v>
      </c>
      <c r="C25" s="820">
        <v>27550</v>
      </c>
      <c r="D25" s="820">
        <v>25850</v>
      </c>
      <c r="E25" s="820">
        <v>25340</v>
      </c>
      <c r="F25" s="835"/>
      <c r="K25" s="820" t="s">
        <v>415</v>
      </c>
      <c r="L25" s="820" t="s">
        <v>416</v>
      </c>
      <c r="M25" s="820" t="s">
        <v>417</v>
      </c>
      <c r="N25" s="820" t="s">
        <v>418</v>
      </c>
      <c r="O25" s="820" t="s">
        <v>419</v>
      </c>
      <c r="P25" s="820" t="s">
        <v>420</v>
      </c>
      <c r="Q25" s="820" t="s">
        <v>421</v>
      </c>
    </row>
    <row r="26" spans="1:18" ht="14.25" customHeight="1" thickBot="1">
      <c r="A26" s="826" t="s">
        <v>269</v>
      </c>
      <c r="B26" s="830" t="s">
        <v>353</v>
      </c>
      <c r="C26" s="820"/>
      <c r="D26" s="820">
        <v>23900</v>
      </c>
      <c r="E26" s="820">
        <v>23590</v>
      </c>
      <c r="F26" s="835"/>
      <c r="K26" s="820" t="s">
        <v>422</v>
      </c>
      <c r="L26" s="820" t="s">
        <v>423</v>
      </c>
      <c r="M26" s="820" t="s">
        <v>424</v>
      </c>
      <c r="N26" s="820" t="s">
        <v>425</v>
      </c>
      <c r="O26" s="820" t="s">
        <v>426</v>
      </c>
      <c r="P26" s="820" t="s">
        <v>427</v>
      </c>
      <c r="Q26" s="820" t="s">
        <v>428</v>
      </c>
    </row>
    <row r="27" spans="1:18" ht="14.25" customHeight="1" thickBot="1">
      <c r="A27" s="826" t="s">
        <v>269</v>
      </c>
      <c r="B27" s="830" t="s">
        <v>363</v>
      </c>
      <c r="C27" s="820"/>
      <c r="D27" s="820">
        <v>22850</v>
      </c>
      <c r="E27" s="820">
        <v>21920</v>
      </c>
      <c r="F27" s="835"/>
      <c r="K27" s="820" t="s">
        <v>429</v>
      </c>
      <c r="L27" s="820" t="s">
        <v>430</v>
      </c>
      <c r="M27" s="820" t="s">
        <v>431</v>
      </c>
      <c r="N27" s="820" t="s">
        <v>432</v>
      </c>
      <c r="O27" s="820" t="s">
        <v>433</v>
      </c>
      <c r="P27" s="820" t="s">
        <v>434</v>
      </c>
      <c r="Q27" s="820" t="s">
        <v>435</v>
      </c>
    </row>
    <row r="28" spans="1:18" ht="14.25" customHeight="1" thickBot="1">
      <c r="A28" s="836" t="s">
        <v>269</v>
      </c>
      <c r="B28" s="831" t="s">
        <v>373</v>
      </c>
      <c r="C28" s="832"/>
      <c r="D28" s="832">
        <v>26610</v>
      </c>
      <c r="E28" s="832">
        <v>26370</v>
      </c>
      <c r="F28" s="833"/>
      <c r="K28" s="820" t="s">
        <v>436</v>
      </c>
      <c r="L28" s="820" t="s">
        <v>437</v>
      </c>
      <c r="M28" s="820" t="s">
        <v>438</v>
      </c>
      <c r="N28" s="820" t="s">
        <v>439</v>
      </c>
      <c r="O28" s="820" t="s">
        <v>440</v>
      </c>
      <c r="P28" s="820" t="s">
        <v>441</v>
      </c>
    </row>
    <row r="29" spans="1:18" ht="14.25" customHeight="1" thickBot="1">
      <c r="A29" s="826" t="s">
        <v>442</v>
      </c>
      <c r="B29" s="827" t="s">
        <v>443</v>
      </c>
      <c r="C29" s="827">
        <v>22090</v>
      </c>
      <c r="D29" s="827">
        <v>21860</v>
      </c>
      <c r="E29" s="827">
        <v>19380</v>
      </c>
      <c r="F29" s="828">
        <v>6610</v>
      </c>
      <c r="L29" s="820" t="s">
        <v>444</v>
      </c>
      <c r="M29" s="820" t="s">
        <v>445</v>
      </c>
      <c r="N29" s="820" t="s">
        <v>446</v>
      </c>
      <c r="O29" s="820" t="s">
        <v>447</v>
      </c>
      <c r="P29" s="820" t="s">
        <v>448</v>
      </c>
    </row>
    <row r="30" spans="1:18" ht="14.25" customHeight="1" thickBot="1">
      <c r="A30" s="826" t="s">
        <v>442</v>
      </c>
      <c r="B30" s="830" t="s">
        <v>189</v>
      </c>
      <c r="C30" s="820">
        <v>21380</v>
      </c>
      <c r="D30" s="820">
        <v>19930</v>
      </c>
      <c r="E30" s="820">
        <v>19860</v>
      </c>
      <c r="F30" s="834">
        <v>6010</v>
      </c>
      <c r="L30" s="820" t="s">
        <v>449</v>
      </c>
      <c r="M30" s="820" t="s">
        <v>450</v>
      </c>
      <c r="N30" s="820" t="s">
        <v>451</v>
      </c>
      <c r="O30" s="820" t="s">
        <v>1053</v>
      </c>
      <c r="P30" s="820" t="s">
        <v>452</v>
      </c>
    </row>
    <row r="31" spans="1:18" ht="14.25" customHeight="1" thickBot="1">
      <c r="A31" s="826" t="s">
        <v>442</v>
      </c>
      <c r="B31" s="830" t="s">
        <v>202</v>
      </c>
      <c r="C31" s="820">
        <v>21670</v>
      </c>
      <c r="D31" s="820">
        <v>20660</v>
      </c>
      <c r="E31" s="820">
        <v>20290</v>
      </c>
      <c r="F31" s="834">
        <v>5840</v>
      </c>
      <c r="L31" s="820" t="s">
        <v>453</v>
      </c>
      <c r="M31" s="820" t="s">
        <v>454</v>
      </c>
      <c r="N31" s="820" t="s">
        <v>455</v>
      </c>
      <c r="O31" s="820" t="s">
        <v>456</v>
      </c>
      <c r="P31" s="820" t="s">
        <v>457</v>
      </c>
    </row>
    <row r="32" spans="1:18" ht="14.25" customHeight="1" thickBot="1">
      <c r="A32" s="826" t="s">
        <v>442</v>
      </c>
      <c r="B32" s="830" t="s">
        <v>215</v>
      </c>
      <c r="C32" s="820">
        <v>22280</v>
      </c>
      <c r="D32" s="820">
        <v>21800</v>
      </c>
      <c r="E32" s="820">
        <v>17650</v>
      </c>
      <c r="F32" s="834">
        <v>4690</v>
      </c>
      <c r="L32" s="820" t="s">
        <v>458</v>
      </c>
      <c r="M32" s="820" t="s">
        <v>459</v>
      </c>
      <c r="N32" s="820" t="s">
        <v>460</v>
      </c>
      <c r="O32" s="820" t="s">
        <v>461</v>
      </c>
      <c r="P32" s="820" t="s">
        <v>462</v>
      </c>
    </row>
    <row r="33" spans="1:16" ht="14.25" customHeight="1" thickBot="1">
      <c r="A33" s="826" t="s">
        <v>442</v>
      </c>
      <c r="B33" s="830" t="s">
        <v>227</v>
      </c>
      <c r="C33" s="820">
        <v>22130</v>
      </c>
      <c r="D33" s="820">
        <v>20460</v>
      </c>
      <c r="E33" s="820">
        <v>18500</v>
      </c>
      <c r="F33" s="834">
        <v>5340</v>
      </c>
      <c r="L33" s="820" t="s">
        <v>463</v>
      </c>
      <c r="M33" s="820" t="s">
        <v>464</v>
      </c>
      <c r="N33" s="820" t="s">
        <v>465</v>
      </c>
      <c r="O33" s="820" t="s">
        <v>466</v>
      </c>
      <c r="P33" s="820" t="s">
        <v>467</v>
      </c>
    </row>
    <row r="34" spans="1:16" ht="14.25" customHeight="1" thickBot="1">
      <c r="A34" s="826" t="s">
        <v>442</v>
      </c>
      <c r="B34" s="830" t="s">
        <v>238</v>
      </c>
      <c r="C34" s="820">
        <v>22070</v>
      </c>
      <c r="D34" s="820">
        <v>20110</v>
      </c>
      <c r="E34" s="820">
        <v>18830</v>
      </c>
      <c r="F34" s="834">
        <v>5190</v>
      </c>
      <c r="L34" s="820" t="s">
        <v>468</v>
      </c>
      <c r="M34" s="820" t="s">
        <v>469</v>
      </c>
      <c r="N34" s="820" t="s">
        <v>470</v>
      </c>
      <c r="O34" s="820" t="s">
        <v>471</v>
      </c>
      <c r="P34" s="820" t="s">
        <v>472</v>
      </c>
    </row>
    <row r="35" spans="1:16" ht="14.25" customHeight="1" thickBot="1">
      <c r="A35" s="826" t="s">
        <v>442</v>
      </c>
      <c r="B35" s="830" t="s">
        <v>249</v>
      </c>
      <c r="C35" s="820">
        <v>22240</v>
      </c>
      <c r="D35" s="820">
        <v>19550</v>
      </c>
      <c r="E35" s="820">
        <v>19220</v>
      </c>
      <c r="F35" s="834">
        <v>5800</v>
      </c>
      <c r="L35" s="820" t="s">
        <v>473</v>
      </c>
      <c r="M35" s="820" t="s">
        <v>474</v>
      </c>
      <c r="N35" s="820" t="s">
        <v>475</v>
      </c>
      <c r="O35" s="820" t="s">
        <v>476</v>
      </c>
      <c r="P35" s="820" t="s">
        <v>477</v>
      </c>
    </row>
    <row r="36" spans="1:16" ht="14.25" customHeight="1" thickBot="1">
      <c r="A36" s="826" t="s">
        <v>442</v>
      </c>
      <c r="B36" s="830" t="s">
        <v>260</v>
      </c>
      <c r="C36" s="820">
        <v>19750</v>
      </c>
      <c r="D36" s="820">
        <v>19790</v>
      </c>
      <c r="E36" s="820">
        <v>18510</v>
      </c>
      <c r="F36" s="834">
        <v>6520</v>
      </c>
      <c r="M36" s="820" t="s">
        <v>478</v>
      </c>
      <c r="N36" s="820" t="s">
        <v>479</v>
      </c>
      <c r="O36" s="820" t="s">
        <v>480</v>
      </c>
      <c r="P36" s="820" t="s">
        <v>481</v>
      </c>
    </row>
    <row r="37" spans="1:16" ht="14.25" customHeight="1" thickBot="1">
      <c r="A37" s="826" t="s">
        <v>442</v>
      </c>
      <c r="B37" s="830" t="s">
        <v>272</v>
      </c>
      <c r="C37" s="820">
        <v>22380</v>
      </c>
      <c r="D37" s="820">
        <v>18530</v>
      </c>
      <c r="E37" s="820">
        <v>17930</v>
      </c>
      <c r="F37" s="834">
        <v>6270</v>
      </c>
      <c r="M37" s="820" t="s">
        <v>482</v>
      </c>
      <c r="N37" s="820" t="s">
        <v>483</v>
      </c>
      <c r="O37" s="820" t="s">
        <v>484</v>
      </c>
      <c r="P37" s="820" t="s">
        <v>485</v>
      </c>
    </row>
    <row r="38" spans="1:16" ht="14.25" customHeight="1" thickBot="1">
      <c r="A38" s="826" t="s">
        <v>442</v>
      </c>
      <c r="B38" s="830" t="s">
        <v>282</v>
      </c>
      <c r="C38" s="820">
        <v>20200</v>
      </c>
      <c r="D38" s="820">
        <v>20070</v>
      </c>
      <c r="E38" s="820">
        <v>19950</v>
      </c>
      <c r="F38" s="834"/>
      <c r="M38" s="820" t="s">
        <v>486</v>
      </c>
      <c r="N38" s="820" t="s">
        <v>487</v>
      </c>
      <c r="O38" s="820" t="s">
        <v>488</v>
      </c>
      <c r="P38" s="820" t="s">
        <v>489</v>
      </c>
    </row>
    <row r="39" spans="1:16" ht="14.25" customHeight="1" thickBot="1">
      <c r="A39" s="826" t="s">
        <v>442</v>
      </c>
      <c r="B39" s="830" t="s">
        <v>292</v>
      </c>
      <c r="C39" s="820">
        <v>19300</v>
      </c>
      <c r="D39" s="820">
        <v>20360</v>
      </c>
      <c r="E39" s="820">
        <v>20230</v>
      </c>
      <c r="F39" s="834"/>
      <c r="M39" s="820" t="s">
        <v>490</v>
      </c>
      <c r="N39" s="820" t="s">
        <v>491</v>
      </c>
      <c r="O39" s="820" t="s">
        <v>492</v>
      </c>
      <c r="P39" s="820" t="s">
        <v>493</v>
      </c>
    </row>
    <row r="40" spans="1:16" ht="14.25" customHeight="1" thickBot="1">
      <c r="A40" s="826" t="s">
        <v>442</v>
      </c>
      <c r="B40" s="830" t="s">
        <v>302</v>
      </c>
      <c r="C40" s="820">
        <v>20210</v>
      </c>
      <c r="D40" s="820">
        <v>19060</v>
      </c>
      <c r="E40" s="820">
        <v>18890</v>
      </c>
      <c r="F40" s="834"/>
      <c r="M40" s="820" t="s">
        <v>494</v>
      </c>
      <c r="N40" s="820" t="s">
        <v>495</v>
      </c>
      <c r="O40" s="820" t="s">
        <v>496</v>
      </c>
      <c r="P40" s="820" t="s">
        <v>497</v>
      </c>
    </row>
    <row r="41" spans="1:16" ht="14.25" customHeight="1" thickBot="1">
      <c r="A41" s="826" t="s">
        <v>442</v>
      </c>
      <c r="B41" s="830" t="s">
        <v>312</v>
      </c>
      <c r="C41" s="820">
        <v>20560</v>
      </c>
      <c r="D41" s="820">
        <v>21040</v>
      </c>
      <c r="E41" s="820">
        <v>20740</v>
      </c>
      <c r="F41" s="834"/>
      <c r="M41" s="830" t="s">
        <v>498</v>
      </c>
      <c r="N41" s="830" t="s">
        <v>499</v>
      </c>
      <c r="P41" s="830" t="s">
        <v>500</v>
      </c>
    </row>
    <row r="42" spans="1:16" ht="14.25" customHeight="1" thickBot="1">
      <c r="A42" s="826" t="s">
        <v>442</v>
      </c>
      <c r="B42" s="830" t="s">
        <v>323</v>
      </c>
      <c r="C42" s="820">
        <v>19280</v>
      </c>
      <c r="D42" s="820">
        <v>22940</v>
      </c>
      <c r="E42" s="820">
        <v>22500</v>
      </c>
      <c r="F42" s="834"/>
      <c r="M42" s="820" t="s">
        <v>501</v>
      </c>
      <c r="N42" s="820" t="s">
        <v>502</v>
      </c>
      <c r="P42" s="820" t="s">
        <v>503</v>
      </c>
    </row>
    <row r="43" spans="1:16" ht="14.25" customHeight="1" thickBot="1">
      <c r="A43" s="826" t="s">
        <v>442</v>
      </c>
      <c r="B43" s="830" t="s">
        <v>334</v>
      </c>
      <c r="C43" s="820">
        <v>21520</v>
      </c>
      <c r="D43" s="820">
        <v>19230</v>
      </c>
      <c r="E43" s="820">
        <v>18540</v>
      </c>
      <c r="F43" s="834"/>
      <c r="M43" s="820" t="s">
        <v>504</v>
      </c>
      <c r="N43" s="820" t="s">
        <v>505</v>
      </c>
      <c r="P43" s="820" t="s">
        <v>506</v>
      </c>
    </row>
    <row r="44" spans="1:16" ht="14.25" customHeight="1" thickBot="1">
      <c r="A44" s="826" t="s">
        <v>442</v>
      </c>
      <c r="B44" s="830" t="s">
        <v>344</v>
      </c>
      <c r="C44" s="820">
        <v>23260</v>
      </c>
      <c r="D44" s="820">
        <v>21180</v>
      </c>
      <c r="E44" s="820">
        <v>20730</v>
      </c>
      <c r="F44" s="834"/>
      <c r="M44" s="820" t="s">
        <v>507</v>
      </c>
      <c r="N44" s="820" t="s">
        <v>508</v>
      </c>
      <c r="P44" s="820" t="s">
        <v>509</v>
      </c>
    </row>
    <row r="45" spans="1:16" ht="14.25" customHeight="1" thickBot="1">
      <c r="A45" s="826" t="s">
        <v>442</v>
      </c>
      <c r="B45" s="830" t="s">
        <v>354</v>
      </c>
      <c r="C45" s="820">
        <v>19610</v>
      </c>
      <c r="D45" s="820">
        <v>18090</v>
      </c>
      <c r="E45" s="820">
        <v>17970</v>
      </c>
      <c r="F45" s="834"/>
      <c r="M45" s="820" t="s">
        <v>510</v>
      </c>
      <c r="N45" s="820" t="s">
        <v>511</v>
      </c>
      <c r="P45" s="820" t="s">
        <v>512</v>
      </c>
    </row>
    <row r="46" spans="1:16" ht="14.25" customHeight="1" thickBot="1">
      <c r="A46" s="826" t="s">
        <v>442</v>
      </c>
      <c r="B46" s="830" t="s">
        <v>364</v>
      </c>
      <c r="C46" s="820">
        <v>21660</v>
      </c>
      <c r="D46" s="820">
        <v>19190</v>
      </c>
      <c r="E46" s="820">
        <v>19790</v>
      </c>
      <c r="F46" s="834"/>
      <c r="M46" s="820" t="s">
        <v>513</v>
      </c>
      <c r="N46" s="820" t="s">
        <v>514</v>
      </c>
      <c r="P46" s="820" t="s">
        <v>515</v>
      </c>
    </row>
    <row r="47" spans="1:16" ht="14.25" customHeight="1" thickBot="1">
      <c r="A47" s="826" t="s">
        <v>442</v>
      </c>
      <c r="B47" s="830" t="s">
        <v>374</v>
      </c>
      <c r="C47" s="820">
        <v>18220</v>
      </c>
      <c r="D47" s="820"/>
      <c r="E47" s="820">
        <v>17220</v>
      </c>
      <c r="F47" s="834"/>
      <c r="M47" s="820" t="s">
        <v>516</v>
      </c>
      <c r="N47" s="820" t="s">
        <v>517</v>
      </c>
    </row>
    <row r="48" spans="1:16" ht="14.25" customHeight="1" thickBot="1">
      <c r="A48" s="826" t="s">
        <v>442</v>
      </c>
      <c r="B48" s="831" t="s">
        <v>383</v>
      </c>
      <c r="C48" s="832">
        <v>19430</v>
      </c>
      <c r="D48" s="832"/>
      <c r="E48" s="832">
        <v>17830</v>
      </c>
      <c r="F48" s="837"/>
      <c r="M48" s="820" t="s">
        <v>518</v>
      </c>
      <c r="N48" s="820" t="s">
        <v>519</v>
      </c>
    </row>
    <row r="49" spans="1:14" ht="14.25" customHeight="1" thickBot="1">
      <c r="A49" s="826" t="s">
        <v>137</v>
      </c>
      <c r="B49" s="827" t="s">
        <v>520</v>
      </c>
      <c r="C49" s="827">
        <v>17090</v>
      </c>
      <c r="D49" s="827">
        <v>16950</v>
      </c>
      <c r="E49" s="827">
        <v>16310</v>
      </c>
      <c r="F49" s="828">
        <v>4540</v>
      </c>
      <c r="M49" s="820" t="s">
        <v>521</v>
      </c>
      <c r="N49" s="820" t="s">
        <v>522</v>
      </c>
    </row>
    <row r="50" spans="1:14" ht="14.25" customHeight="1" thickBot="1">
      <c r="A50" s="826" t="s">
        <v>137</v>
      </c>
      <c r="B50" s="820" t="s">
        <v>190</v>
      </c>
      <c r="C50" s="820">
        <v>19040</v>
      </c>
      <c r="D50" s="820">
        <v>16960</v>
      </c>
      <c r="E50" s="820">
        <v>14800</v>
      </c>
      <c r="F50" s="834">
        <v>3940</v>
      </c>
    </row>
    <row r="51" spans="1:14" ht="14.25" customHeight="1" thickBot="1">
      <c r="A51" s="826" t="s">
        <v>137</v>
      </c>
      <c r="B51" s="820" t="s">
        <v>203</v>
      </c>
      <c r="C51" s="820">
        <v>17040</v>
      </c>
      <c r="D51" s="820">
        <v>16930</v>
      </c>
      <c r="E51" s="820">
        <v>15030</v>
      </c>
      <c r="F51" s="834">
        <v>4120</v>
      </c>
    </row>
    <row r="52" spans="1:14" ht="14.25" customHeight="1" thickBot="1">
      <c r="A52" s="826" t="s">
        <v>137</v>
      </c>
      <c r="B52" s="820" t="s">
        <v>216</v>
      </c>
      <c r="C52" s="820">
        <v>17110</v>
      </c>
      <c r="D52" s="820">
        <v>17750</v>
      </c>
      <c r="E52" s="820">
        <v>17310</v>
      </c>
      <c r="F52" s="834">
        <v>3220</v>
      </c>
    </row>
    <row r="53" spans="1:14" ht="14.25" customHeight="1" thickBot="1">
      <c r="A53" s="826" t="s">
        <v>137</v>
      </c>
      <c r="B53" s="820" t="s">
        <v>228</v>
      </c>
      <c r="C53" s="820">
        <v>17810</v>
      </c>
      <c r="D53" s="820">
        <v>17260</v>
      </c>
      <c r="E53" s="820">
        <v>17090</v>
      </c>
      <c r="F53" s="834">
        <v>3520</v>
      </c>
    </row>
    <row r="54" spans="1:14" ht="14.25" customHeight="1" thickBot="1">
      <c r="A54" s="826" t="s">
        <v>137</v>
      </c>
      <c r="B54" s="820" t="s">
        <v>239</v>
      </c>
      <c r="C54" s="820">
        <v>17410</v>
      </c>
      <c r="D54" s="820">
        <v>16780</v>
      </c>
      <c r="E54" s="820">
        <v>16370</v>
      </c>
      <c r="F54" s="834">
        <v>3410</v>
      </c>
    </row>
    <row r="55" spans="1:14" ht="14.25" customHeight="1" thickBot="1">
      <c r="A55" s="826" t="s">
        <v>137</v>
      </c>
      <c r="B55" s="820" t="s">
        <v>250</v>
      </c>
      <c r="C55" s="820">
        <v>16930</v>
      </c>
      <c r="D55" s="820">
        <v>14720</v>
      </c>
      <c r="E55" s="820">
        <v>15000</v>
      </c>
      <c r="F55" s="834">
        <v>3710</v>
      </c>
    </row>
    <row r="56" spans="1:14" ht="14.25" customHeight="1" thickBot="1">
      <c r="A56" s="826" t="s">
        <v>137</v>
      </c>
      <c r="B56" s="820" t="s">
        <v>261</v>
      </c>
      <c r="C56" s="820">
        <v>14930</v>
      </c>
      <c r="D56" s="820">
        <v>15850</v>
      </c>
      <c r="E56" s="820">
        <v>14320</v>
      </c>
      <c r="F56" s="834">
        <v>3960</v>
      </c>
    </row>
    <row r="57" spans="1:14" ht="14.25" customHeight="1" thickBot="1">
      <c r="A57" s="826" t="s">
        <v>137</v>
      </c>
      <c r="B57" s="820" t="s">
        <v>273</v>
      </c>
      <c r="C57" s="820">
        <v>16160</v>
      </c>
      <c r="D57" s="820">
        <v>16190</v>
      </c>
      <c r="E57" s="820">
        <v>15650</v>
      </c>
      <c r="F57" s="834">
        <v>4200</v>
      </c>
    </row>
    <row r="58" spans="1:14" ht="14.25" customHeight="1" thickBot="1">
      <c r="A58" s="826" t="s">
        <v>137</v>
      </c>
      <c r="B58" s="820" t="s">
        <v>283</v>
      </c>
      <c r="C58" s="820">
        <v>16360</v>
      </c>
      <c r="D58" s="820">
        <v>14050</v>
      </c>
      <c r="E58" s="820">
        <v>16070</v>
      </c>
      <c r="F58" s="834">
        <v>3990</v>
      </c>
    </row>
    <row r="59" spans="1:14" ht="14.25" customHeight="1" thickBot="1">
      <c r="A59" s="826" t="s">
        <v>137</v>
      </c>
      <c r="B59" s="820" t="s">
        <v>293</v>
      </c>
      <c r="C59" s="820">
        <v>14160</v>
      </c>
      <c r="D59" s="820">
        <v>16620</v>
      </c>
      <c r="E59" s="820">
        <v>13940</v>
      </c>
      <c r="F59" s="834">
        <v>4260</v>
      </c>
    </row>
    <row r="60" spans="1:14" ht="14.25" customHeight="1" thickBot="1">
      <c r="A60" s="826" t="s">
        <v>137</v>
      </c>
      <c r="B60" s="820" t="s">
        <v>303</v>
      </c>
      <c r="C60" s="820">
        <v>16750</v>
      </c>
      <c r="D60" s="820">
        <v>13910</v>
      </c>
      <c r="E60" s="820">
        <v>16550</v>
      </c>
      <c r="F60" s="834">
        <v>4550</v>
      </c>
    </row>
    <row r="61" spans="1:14" ht="14.25" customHeight="1" thickBot="1">
      <c r="A61" s="826" t="s">
        <v>137</v>
      </c>
      <c r="B61" s="820" t="s">
        <v>313</v>
      </c>
      <c r="C61" s="820">
        <v>14000</v>
      </c>
      <c r="D61" s="820">
        <v>14550</v>
      </c>
      <c r="E61" s="820">
        <v>13860</v>
      </c>
      <c r="F61" s="838"/>
    </row>
    <row r="62" spans="1:14" ht="14.25" customHeight="1" thickBot="1">
      <c r="A62" s="826" t="s">
        <v>137</v>
      </c>
      <c r="B62" s="820" t="s">
        <v>324</v>
      </c>
      <c r="C62" s="820">
        <v>14660</v>
      </c>
      <c r="D62" s="820">
        <v>17450</v>
      </c>
      <c r="E62" s="820">
        <v>14470</v>
      </c>
      <c r="F62" s="838"/>
    </row>
    <row r="63" spans="1:14" ht="14.25" customHeight="1" thickBot="1">
      <c r="A63" s="826" t="s">
        <v>137</v>
      </c>
      <c r="B63" s="820" t="s">
        <v>335</v>
      </c>
      <c r="C63" s="820">
        <v>17610</v>
      </c>
      <c r="D63" s="820">
        <v>16500</v>
      </c>
      <c r="E63" s="820">
        <v>17330</v>
      </c>
      <c r="F63" s="838"/>
    </row>
    <row r="64" spans="1:14" ht="14.25" customHeight="1" thickBot="1">
      <c r="A64" s="826" t="s">
        <v>137</v>
      </c>
      <c r="B64" s="820" t="s">
        <v>345</v>
      </c>
      <c r="C64" s="820">
        <v>16590</v>
      </c>
      <c r="D64" s="820">
        <v>15130</v>
      </c>
      <c r="E64" s="820">
        <v>16420</v>
      </c>
      <c r="F64" s="838"/>
    </row>
    <row r="65" spans="1:6" s="814" customFormat="1" ht="14.25" customHeight="1" thickBot="1">
      <c r="A65" s="826" t="s">
        <v>137</v>
      </c>
      <c r="B65" s="820" t="s">
        <v>355</v>
      </c>
      <c r="C65" s="820">
        <v>15220</v>
      </c>
      <c r="D65" s="820">
        <v>14660</v>
      </c>
      <c r="E65" s="820">
        <v>15060</v>
      </c>
      <c r="F65" s="834"/>
    </row>
    <row r="66" spans="1:6" s="814" customFormat="1" ht="14.25" customHeight="1" thickBot="1">
      <c r="A66" s="826" t="s">
        <v>137</v>
      </c>
      <c r="B66" s="820" t="s">
        <v>365</v>
      </c>
      <c r="C66" s="820">
        <v>14720</v>
      </c>
      <c r="D66" s="820">
        <v>15970</v>
      </c>
      <c r="E66" s="820">
        <v>14610</v>
      </c>
      <c r="F66" s="834"/>
    </row>
    <row r="67" spans="1:6" s="814" customFormat="1" ht="14.25" customHeight="1" thickBot="1">
      <c r="A67" s="826" t="s">
        <v>137</v>
      </c>
      <c r="B67" s="820" t="s">
        <v>375</v>
      </c>
      <c r="C67" s="820">
        <v>16080</v>
      </c>
      <c r="D67" s="820">
        <v>14840</v>
      </c>
      <c r="E67" s="820">
        <v>15630</v>
      </c>
      <c r="F67" s="834"/>
    </row>
    <row r="68" spans="1:6" s="814" customFormat="1" ht="14.25" customHeight="1" thickBot="1">
      <c r="A68" s="826" t="s">
        <v>137</v>
      </c>
      <c r="B68" s="820" t="s">
        <v>384</v>
      </c>
      <c r="C68" s="820">
        <v>14940</v>
      </c>
      <c r="D68" s="820">
        <v>18000</v>
      </c>
      <c r="E68" s="820">
        <v>14040</v>
      </c>
      <c r="F68" s="834"/>
    </row>
    <row r="69" spans="1:6" s="814" customFormat="1" ht="14.25" customHeight="1" thickBot="1">
      <c r="A69" s="826" t="s">
        <v>137</v>
      </c>
      <c r="B69" s="820" t="s">
        <v>393</v>
      </c>
      <c r="C69" s="820">
        <v>18810</v>
      </c>
      <c r="D69" s="820">
        <v>15100</v>
      </c>
      <c r="E69" s="820">
        <v>14710</v>
      </c>
      <c r="F69" s="834"/>
    </row>
    <row r="70" spans="1:6" s="814" customFormat="1" ht="14.25" customHeight="1" thickBot="1">
      <c r="A70" s="826" t="s">
        <v>137</v>
      </c>
      <c r="B70" s="820" t="s">
        <v>401</v>
      </c>
      <c r="C70" s="820">
        <v>18270</v>
      </c>
      <c r="D70" s="820"/>
      <c r="E70" s="820"/>
      <c r="F70" s="834"/>
    </row>
    <row r="71" spans="1:6" s="814" customFormat="1" ht="14.25" customHeight="1" thickBot="1">
      <c r="A71" s="826" t="s">
        <v>137</v>
      </c>
      <c r="B71" s="820" t="s">
        <v>408</v>
      </c>
      <c r="C71" s="820">
        <v>15230</v>
      </c>
      <c r="D71" s="820"/>
      <c r="E71" s="820"/>
      <c r="F71" s="834"/>
    </row>
    <row r="72" spans="1:6" s="814" customFormat="1" ht="14.25" customHeight="1" thickBot="1">
      <c r="A72" s="826" t="s">
        <v>137</v>
      </c>
      <c r="B72" s="820" t="s">
        <v>415</v>
      </c>
      <c r="C72" s="820"/>
      <c r="D72" s="820"/>
      <c r="E72" s="820"/>
      <c r="F72" s="834">
        <v>4120</v>
      </c>
    </row>
    <row r="73" spans="1:6" s="814" customFormat="1" ht="14.25" customHeight="1" thickBot="1">
      <c r="A73" s="826" t="s">
        <v>137</v>
      </c>
      <c r="B73" s="820" t="s">
        <v>422</v>
      </c>
      <c r="C73" s="820"/>
      <c r="D73" s="820"/>
      <c r="E73" s="820"/>
      <c r="F73" s="834">
        <v>3930</v>
      </c>
    </row>
    <row r="74" spans="1:6" s="814" customFormat="1" ht="14.25" customHeight="1" thickBot="1">
      <c r="A74" s="826" t="s">
        <v>137</v>
      </c>
      <c r="B74" s="820" t="s">
        <v>429</v>
      </c>
      <c r="C74" s="820"/>
      <c r="D74" s="820"/>
      <c r="E74" s="820"/>
      <c r="F74" s="834">
        <v>4060</v>
      </c>
    </row>
    <row r="75" spans="1:6" s="814" customFormat="1" ht="14.25" customHeight="1" thickBot="1">
      <c r="A75" s="826" t="s">
        <v>137</v>
      </c>
      <c r="B75" s="832" t="s">
        <v>436</v>
      </c>
      <c r="C75" s="832"/>
      <c r="D75" s="832"/>
      <c r="E75" s="832"/>
      <c r="F75" s="837">
        <v>3750</v>
      </c>
    </row>
    <row r="76" spans="1:6" s="814" customFormat="1" ht="14.25" customHeight="1" thickBot="1">
      <c r="A76" s="826" t="s">
        <v>523</v>
      </c>
      <c r="B76" s="827" t="s">
        <v>524</v>
      </c>
      <c r="C76" s="827">
        <v>14690</v>
      </c>
      <c r="D76" s="827">
        <v>14640</v>
      </c>
      <c r="E76" s="827">
        <v>14590</v>
      </c>
      <c r="F76" s="828">
        <v>3060</v>
      </c>
    </row>
    <row r="77" spans="1:6" s="814" customFormat="1" ht="14.25" customHeight="1" thickBot="1">
      <c r="A77" s="826" t="s">
        <v>523</v>
      </c>
      <c r="B77" s="820" t="s">
        <v>191</v>
      </c>
      <c r="C77" s="820">
        <v>12550</v>
      </c>
      <c r="D77" s="820">
        <v>12480</v>
      </c>
      <c r="E77" s="820">
        <v>12450</v>
      </c>
      <c r="F77" s="834">
        <v>2590</v>
      </c>
    </row>
    <row r="78" spans="1:6" s="814" customFormat="1" ht="14.25" customHeight="1" thickBot="1">
      <c r="A78" s="826" t="s">
        <v>523</v>
      </c>
      <c r="B78" s="820" t="s">
        <v>204</v>
      </c>
      <c r="C78" s="820">
        <v>14360</v>
      </c>
      <c r="D78" s="820">
        <v>14320</v>
      </c>
      <c r="E78" s="820">
        <v>12510</v>
      </c>
      <c r="F78" s="834">
        <v>2700</v>
      </c>
    </row>
    <row r="79" spans="1:6" s="814" customFormat="1" ht="14.25" customHeight="1" thickBot="1">
      <c r="A79" s="826" t="s">
        <v>523</v>
      </c>
      <c r="B79" s="820" t="s">
        <v>217</v>
      </c>
      <c r="C79" s="820">
        <v>12590</v>
      </c>
      <c r="D79" s="820">
        <v>12540</v>
      </c>
      <c r="E79" s="820">
        <v>12350</v>
      </c>
      <c r="F79" s="834">
        <v>2740</v>
      </c>
    </row>
    <row r="80" spans="1:6" s="814" customFormat="1" ht="14.25" customHeight="1" thickBot="1">
      <c r="A80" s="826" t="s">
        <v>523</v>
      </c>
      <c r="B80" s="820" t="s">
        <v>229</v>
      </c>
      <c r="C80" s="820">
        <v>12450</v>
      </c>
      <c r="D80" s="820">
        <v>12370</v>
      </c>
      <c r="E80" s="820">
        <v>10790</v>
      </c>
      <c r="F80" s="834">
        <v>2290</v>
      </c>
    </row>
    <row r="81" spans="1:6" s="814" customFormat="1" ht="14.25" customHeight="1" thickBot="1">
      <c r="A81" s="826" t="s">
        <v>523</v>
      </c>
      <c r="B81" s="820" t="s">
        <v>240</v>
      </c>
      <c r="C81" s="820">
        <v>14210</v>
      </c>
      <c r="D81" s="820">
        <v>14150</v>
      </c>
      <c r="E81" s="820">
        <v>12730</v>
      </c>
      <c r="F81" s="834">
        <v>2240</v>
      </c>
    </row>
    <row r="82" spans="1:6" s="814" customFormat="1" ht="14.25" customHeight="1" thickBot="1">
      <c r="A82" s="826" t="s">
        <v>523</v>
      </c>
      <c r="B82" s="820" t="s">
        <v>251</v>
      </c>
      <c r="C82" s="820">
        <v>10860</v>
      </c>
      <c r="D82" s="820">
        <v>10820</v>
      </c>
      <c r="E82" s="820">
        <v>14720</v>
      </c>
      <c r="F82" s="834">
        <v>2490</v>
      </c>
    </row>
    <row r="83" spans="1:6" s="814" customFormat="1" ht="14.25" customHeight="1" thickBot="1">
      <c r="A83" s="826" t="s">
        <v>523</v>
      </c>
      <c r="B83" s="820" t="s">
        <v>262</v>
      </c>
      <c r="C83" s="820">
        <v>12810</v>
      </c>
      <c r="D83" s="820">
        <v>12760</v>
      </c>
      <c r="E83" s="820">
        <v>14830</v>
      </c>
      <c r="F83" s="834">
        <v>2450</v>
      </c>
    </row>
    <row r="84" spans="1:6" s="814" customFormat="1" ht="14.25" customHeight="1" thickBot="1">
      <c r="A84" s="826" t="s">
        <v>523</v>
      </c>
      <c r="B84" s="820" t="s">
        <v>274</v>
      </c>
      <c r="C84" s="820">
        <v>14950</v>
      </c>
      <c r="D84" s="820">
        <v>14810</v>
      </c>
      <c r="E84" s="820">
        <v>12590</v>
      </c>
      <c r="F84" s="834">
        <v>2540</v>
      </c>
    </row>
    <row r="85" spans="1:6" s="814" customFormat="1" ht="14.25" customHeight="1" thickBot="1">
      <c r="A85" s="826" t="s">
        <v>523</v>
      </c>
      <c r="B85" s="820" t="s">
        <v>284</v>
      </c>
      <c r="C85" s="820">
        <v>14960</v>
      </c>
      <c r="D85" s="820">
        <v>14890</v>
      </c>
      <c r="E85" s="820">
        <v>12840</v>
      </c>
      <c r="F85" s="834">
        <v>2840</v>
      </c>
    </row>
    <row r="86" spans="1:6" s="814" customFormat="1" ht="14.25" customHeight="1" thickBot="1">
      <c r="A86" s="826" t="s">
        <v>523</v>
      </c>
      <c r="B86" s="820" t="s">
        <v>294</v>
      </c>
      <c r="C86" s="820">
        <v>12730</v>
      </c>
      <c r="D86" s="820">
        <v>12660</v>
      </c>
      <c r="E86" s="820">
        <v>13310</v>
      </c>
      <c r="F86" s="834">
        <v>3140</v>
      </c>
    </row>
    <row r="87" spans="1:6" s="814" customFormat="1" ht="14.25" customHeight="1" thickBot="1">
      <c r="A87" s="826" t="s">
        <v>523</v>
      </c>
      <c r="B87" s="820" t="s">
        <v>304</v>
      </c>
      <c r="C87" s="820">
        <v>12940</v>
      </c>
      <c r="D87" s="820">
        <v>12890</v>
      </c>
      <c r="E87" s="820">
        <v>11580</v>
      </c>
      <c r="F87" s="838"/>
    </row>
    <row r="88" spans="1:6" s="814" customFormat="1" ht="14.25" customHeight="1" thickBot="1">
      <c r="A88" s="826" t="s">
        <v>523</v>
      </c>
      <c r="B88" s="820" t="s">
        <v>314</v>
      </c>
      <c r="C88" s="820">
        <v>13430</v>
      </c>
      <c r="D88" s="820">
        <v>13360</v>
      </c>
      <c r="E88" s="820">
        <v>12790</v>
      </c>
      <c r="F88" s="838"/>
    </row>
    <row r="89" spans="1:6" s="814" customFormat="1" ht="14.25" customHeight="1" thickBot="1">
      <c r="A89" s="826" t="s">
        <v>523</v>
      </c>
      <c r="B89" s="820" t="s">
        <v>325</v>
      </c>
      <c r="C89" s="820">
        <v>11680</v>
      </c>
      <c r="D89" s="820">
        <v>11630</v>
      </c>
      <c r="E89" s="820">
        <v>11320</v>
      </c>
      <c r="F89" s="838"/>
    </row>
    <row r="90" spans="1:6" s="814" customFormat="1" ht="14.25" customHeight="1" thickBot="1">
      <c r="A90" s="826" t="s">
        <v>523</v>
      </c>
      <c r="B90" s="820" t="s">
        <v>336</v>
      </c>
      <c r="C90" s="820">
        <v>12890</v>
      </c>
      <c r="D90" s="820">
        <v>12820</v>
      </c>
      <c r="E90" s="820">
        <v>12710</v>
      </c>
      <c r="F90" s="838"/>
    </row>
    <row r="91" spans="1:6" s="814" customFormat="1" ht="14.25" customHeight="1" thickBot="1">
      <c r="A91" s="826" t="s">
        <v>523</v>
      </c>
      <c r="B91" s="820" t="s">
        <v>346</v>
      </c>
      <c r="C91" s="820">
        <v>11410</v>
      </c>
      <c r="D91" s="820">
        <v>11360</v>
      </c>
      <c r="E91" s="820">
        <v>12670</v>
      </c>
      <c r="F91" s="838"/>
    </row>
    <row r="92" spans="1:6" s="814" customFormat="1" ht="14.25" customHeight="1" thickBot="1">
      <c r="A92" s="826" t="s">
        <v>523</v>
      </c>
      <c r="B92" s="820" t="s">
        <v>356</v>
      </c>
      <c r="C92" s="820">
        <v>12770</v>
      </c>
      <c r="D92" s="820">
        <v>12740</v>
      </c>
      <c r="E92" s="820">
        <v>11970</v>
      </c>
      <c r="F92" s="838"/>
    </row>
    <row r="93" spans="1:6" s="814" customFormat="1" ht="14.25" customHeight="1" thickBot="1">
      <c r="A93" s="826" t="s">
        <v>523</v>
      </c>
      <c r="B93" s="820" t="s">
        <v>366</v>
      </c>
      <c r="C93" s="820">
        <v>12740</v>
      </c>
      <c r="D93" s="820">
        <v>12700</v>
      </c>
      <c r="E93" s="820">
        <v>12540</v>
      </c>
      <c r="F93" s="838"/>
    </row>
    <row r="94" spans="1:6" s="814" customFormat="1" ht="14.25" customHeight="1" thickBot="1">
      <c r="A94" s="826" t="s">
        <v>523</v>
      </c>
      <c r="B94" s="820" t="s">
        <v>376</v>
      </c>
      <c r="C94" s="820">
        <v>12020</v>
      </c>
      <c r="D94" s="820">
        <v>11990</v>
      </c>
      <c r="E94" s="820">
        <v>13110</v>
      </c>
      <c r="F94" s="838"/>
    </row>
    <row r="95" spans="1:6" s="814" customFormat="1" ht="14.25" customHeight="1" thickBot="1">
      <c r="A95" s="826" t="s">
        <v>523</v>
      </c>
      <c r="B95" s="820" t="s">
        <v>385</v>
      </c>
      <c r="C95" s="820">
        <v>12620</v>
      </c>
      <c r="D95" s="820">
        <v>12580</v>
      </c>
      <c r="E95" s="820">
        <v>13160</v>
      </c>
      <c r="F95" s="834"/>
    </row>
    <row r="96" spans="1:6" s="814" customFormat="1" ht="14.25" customHeight="1" thickBot="1">
      <c r="A96" s="826" t="s">
        <v>523</v>
      </c>
      <c r="B96" s="820" t="s">
        <v>394</v>
      </c>
      <c r="C96" s="820">
        <v>13200</v>
      </c>
      <c r="D96" s="820">
        <v>13150</v>
      </c>
      <c r="E96" s="820">
        <v>12900</v>
      </c>
      <c r="F96" s="834"/>
    </row>
    <row r="97" spans="1:6" s="814" customFormat="1" ht="14.25" customHeight="1" thickBot="1">
      <c r="A97" s="826" t="s">
        <v>523</v>
      </c>
      <c r="B97" s="820" t="s">
        <v>402</v>
      </c>
      <c r="C97" s="820">
        <v>13270</v>
      </c>
      <c r="D97" s="820">
        <v>13210</v>
      </c>
      <c r="E97" s="820">
        <v>11080</v>
      </c>
      <c r="F97" s="834"/>
    </row>
    <row r="98" spans="1:6" s="814" customFormat="1" ht="14.25" customHeight="1" thickBot="1">
      <c r="A98" s="826" t="s">
        <v>523</v>
      </c>
      <c r="B98" s="820" t="s">
        <v>409</v>
      </c>
      <c r="C98" s="820">
        <v>13010</v>
      </c>
      <c r="D98" s="820">
        <v>12930</v>
      </c>
      <c r="E98" s="820">
        <v>12840</v>
      </c>
      <c r="F98" s="834"/>
    </row>
    <row r="99" spans="1:6" s="814" customFormat="1" ht="14.25" customHeight="1" thickBot="1">
      <c r="A99" s="826" t="s">
        <v>523</v>
      </c>
      <c r="B99" s="820" t="s">
        <v>416</v>
      </c>
      <c r="C99" s="820">
        <v>11190</v>
      </c>
      <c r="D99" s="820">
        <v>11130</v>
      </c>
      <c r="E99" s="820"/>
      <c r="F99" s="834"/>
    </row>
    <row r="100" spans="1:6" s="814" customFormat="1" ht="14.25" customHeight="1" thickBot="1">
      <c r="A100" s="826" t="s">
        <v>523</v>
      </c>
      <c r="B100" s="820" t="s">
        <v>423</v>
      </c>
      <c r="C100" s="820">
        <v>14280</v>
      </c>
      <c r="D100" s="820">
        <v>14180</v>
      </c>
      <c r="E100" s="820"/>
      <c r="F100" s="834"/>
    </row>
    <row r="101" spans="1:6" s="814" customFormat="1" ht="14.25" customHeight="1" thickBot="1">
      <c r="A101" s="826" t="s">
        <v>523</v>
      </c>
      <c r="B101" s="820" t="s">
        <v>430</v>
      </c>
      <c r="C101" s="820">
        <v>12960</v>
      </c>
      <c r="D101" s="820">
        <v>12890</v>
      </c>
      <c r="E101" s="820"/>
      <c r="F101" s="834"/>
    </row>
    <row r="102" spans="1:6" s="814" customFormat="1" ht="14.25" customHeight="1" thickBot="1">
      <c r="A102" s="826" t="s">
        <v>523</v>
      </c>
      <c r="B102" s="820" t="s">
        <v>437</v>
      </c>
      <c r="C102" s="820"/>
      <c r="D102" s="820"/>
      <c r="E102" s="820"/>
      <c r="F102" s="834">
        <v>3100</v>
      </c>
    </row>
    <row r="103" spans="1:6" s="814" customFormat="1" ht="14.25" customHeight="1" thickBot="1">
      <c r="A103" s="826" t="s">
        <v>523</v>
      </c>
      <c r="B103" s="820" t="s">
        <v>444</v>
      </c>
      <c r="C103" s="820"/>
      <c r="D103" s="820"/>
      <c r="E103" s="820"/>
      <c r="F103" s="834">
        <v>2320</v>
      </c>
    </row>
    <row r="104" spans="1:6" s="814" customFormat="1" ht="14.25" customHeight="1" thickBot="1">
      <c r="A104" s="826" t="s">
        <v>523</v>
      </c>
      <c r="B104" s="820" t="s">
        <v>449</v>
      </c>
      <c r="C104" s="820"/>
      <c r="D104" s="820"/>
      <c r="E104" s="820"/>
      <c r="F104" s="834">
        <v>2320</v>
      </c>
    </row>
    <row r="105" spans="1:6" s="814" customFormat="1" ht="14.25" customHeight="1" thickBot="1">
      <c r="A105" s="826" t="s">
        <v>523</v>
      </c>
      <c r="B105" s="820" t="s">
        <v>453</v>
      </c>
      <c r="C105" s="820"/>
      <c r="D105" s="820"/>
      <c r="E105" s="820"/>
      <c r="F105" s="834">
        <v>2320</v>
      </c>
    </row>
    <row r="106" spans="1:6" s="814" customFormat="1" ht="14.25" customHeight="1" thickBot="1">
      <c r="A106" s="826" t="s">
        <v>523</v>
      </c>
      <c r="B106" s="820" t="s">
        <v>458</v>
      </c>
      <c r="C106" s="820"/>
      <c r="D106" s="820"/>
      <c r="E106" s="820"/>
      <c r="F106" s="834">
        <v>2320</v>
      </c>
    </row>
    <row r="107" spans="1:6" s="814" customFormat="1" ht="14.25" customHeight="1" thickBot="1">
      <c r="A107" s="826" t="s">
        <v>523</v>
      </c>
      <c r="B107" s="820" t="s">
        <v>463</v>
      </c>
      <c r="C107" s="820"/>
      <c r="D107" s="820"/>
      <c r="E107" s="820"/>
      <c r="F107" s="834">
        <v>2280</v>
      </c>
    </row>
    <row r="108" spans="1:6" s="814" customFormat="1" ht="14.25" customHeight="1" thickBot="1">
      <c r="A108" s="826" t="s">
        <v>523</v>
      </c>
      <c r="B108" s="820" t="s">
        <v>468</v>
      </c>
      <c r="C108" s="820"/>
      <c r="D108" s="820"/>
      <c r="E108" s="820"/>
      <c r="F108" s="834">
        <v>2280</v>
      </c>
    </row>
    <row r="109" spans="1:6" s="814" customFormat="1" ht="14.25" customHeight="1" thickBot="1">
      <c r="A109" s="826" t="s">
        <v>523</v>
      </c>
      <c r="B109" s="832" t="s">
        <v>473</v>
      </c>
      <c r="C109" s="832"/>
      <c r="D109" s="832"/>
      <c r="E109" s="832"/>
      <c r="F109" s="837">
        <v>2280</v>
      </c>
    </row>
    <row r="110" spans="1:6" s="814" customFormat="1" ht="14.25" customHeight="1" thickBot="1">
      <c r="A110" s="826" t="s">
        <v>56</v>
      </c>
      <c r="B110" s="827" t="s">
        <v>525</v>
      </c>
      <c r="C110" s="827">
        <v>10520</v>
      </c>
      <c r="D110" s="827">
        <v>10490</v>
      </c>
      <c r="E110" s="827">
        <v>10760</v>
      </c>
      <c r="F110" s="828">
        <v>2160</v>
      </c>
    </row>
    <row r="111" spans="1:6" s="814" customFormat="1" ht="14.25" customHeight="1" thickBot="1">
      <c r="A111" s="826" t="s">
        <v>56</v>
      </c>
      <c r="B111" s="820" t="s">
        <v>192</v>
      </c>
      <c r="C111" s="820">
        <v>10090</v>
      </c>
      <c r="D111" s="820">
        <v>10060</v>
      </c>
      <c r="E111" s="820">
        <v>10300</v>
      </c>
      <c r="F111" s="834">
        <v>2010</v>
      </c>
    </row>
    <row r="112" spans="1:6" s="814" customFormat="1" ht="14.25" customHeight="1" thickBot="1">
      <c r="A112" s="826" t="s">
        <v>56</v>
      </c>
      <c r="B112" s="820" t="s">
        <v>205</v>
      </c>
      <c r="C112" s="820">
        <v>9910</v>
      </c>
      <c r="D112" s="820">
        <v>9850</v>
      </c>
      <c r="E112" s="820">
        <v>9960</v>
      </c>
      <c r="F112" s="834">
        <v>2090</v>
      </c>
    </row>
    <row r="113" spans="1:6" s="814" customFormat="1" ht="14.25" customHeight="1" thickBot="1">
      <c r="A113" s="826" t="s">
        <v>56</v>
      </c>
      <c r="B113" s="820" t="s">
        <v>218</v>
      </c>
      <c r="C113" s="820">
        <v>11430</v>
      </c>
      <c r="D113" s="820">
        <v>11400</v>
      </c>
      <c r="E113" s="820">
        <v>11710</v>
      </c>
      <c r="F113" s="834">
        <v>2050</v>
      </c>
    </row>
    <row r="114" spans="1:6" s="814" customFormat="1" ht="14.25" customHeight="1" thickBot="1">
      <c r="A114" s="826" t="s">
        <v>56</v>
      </c>
      <c r="B114" s="820" t="s">
        <v>230</v>
      </c>
      <c r="C114" s="820">
        <v>11390</v>
      </c>
      <c r="D114" s="820">
        <v>11350</v>
      </c>
      <c r="E114" s="820">
        <v>11640</v>
      </c>
      <c r="F114" s="834">
        <v>1620</v>
      </c>
    </row>
    <row r="115" spans="1:6" s="814" customFormat="1" ht="14.25" customHeight="1" thickBot="1">
      <c r="A115" s="826" t="s">
        <v>56</v>
      </c>
      <c r="B115" s="820" t="s">
        <v>241</v>
      </c>
      <c r="C115" s="820">
        <v>9930</v>
      </c>
      <c r="D115" s="820">
        <v>9900</v>
      </c>
      <c r="E115" s="820">
        <v>10160</v>
      </c>
      <c r="F115" s="834">
        <v>1580</v>
      </c>
    </row>
    <row r="116" spans="1:6" s="814" customFormat="1" ht="14.25" customHeight="1" thickBot="1">
      <c r="A116" s="826" t="s">
        <v>56</v>
      </c>
      <c r="B116" s="820" t="s">
        <v>252</v>
      </c>
      <c r="C116" s="820">
        <v>9150</v>
      </c>
      <c r="D116" s="820">
        <v>9120</v>
      </c>
      <c r="E116" s="820">
        <v>9380</v>
      </c>
      <c r="F116" s="834">
        <v>1750</v>
      </c>
    </row>
    <row r="117" spans="1:6" s="814" customFormat="1" ht="14.25" customHeight="1" thickBot="1">
      <c r="A117" s="826" t="s">
        <v>56</v>
      </c>
      <c r="B117" s="820" t="s">
        <v>263</v>
      </c>
      <c r="C117" s="820">
        <v>10680</v>
      </c>
      <c r="D117" s="820">
        <v>10650</v>
      </c>
      <c r="E117" s="820">
        <v>10970</v>
      </c>
      <c r="F117" s="834">
        <v>1730</v>
      </c>
    </row>
    <row r="118" spans="1:6" s="814" customFormat="1" ht="14.25" customHeight="1" thickBot="1">
      <c r="A118" s="826" t="s">
        <v>56</v>
      </c>
      <c r="B118" s="820" t="s">
        <v>275</v>
      </c>
      <c r="C118" s="820">
        <v>10080</v>
      </c>
      <c r="D118" s="820">
        <v>10050</v>
      </c>
      <c r="E118" s="820">
        <v>10350</v>
      </c>
      <c r="F118" s="834">
        <v>1920</v>
      </c>
    </row>
    <row r="119" spans="1:6" s="814" customFormat="1" ht="14.25" customHeight="1" thickBot="1">
      <c r="A119" s="826" t="s">
        <v>56</v>
      </c>
      <c r="B119" s="820" t="s">
        <v>285</v>
      </c>
      <c r="C119" s="820">
        <v>9450</v>
      </c>
      <c r="D119" s="820">
        <v>9410</v>
      </c>
      <c r="E119" s="820">
        <v>9680</v>
      </c>
      <c r="F119" s="834">
        <v>1880</v>
      </c>
    </row>
    <row r="120" spans="1:6" s="814" customFormat="1" ht="14.25" customHeight="1" thickBot="1">
      <c r="A120" s="826" t="s">
        <v>56</v>
      </c>
      <c r="B120" s="820" t="s">
        <v>295</v>
      </c>
      <c r="C120" s="820">
        <v>8730</v>
      </c>
      <c r="D120" s="820">
        <v>8700</v>
      </c>
      <c r="E120" s="820">
        <v>8950</v>
      </c>
      <c r="F120" s="834">
        <v>1830</v>
      </c>
    </row>
    <row r="121" spans="1:6" s="814" customFormat="1" ht="14.25" customHeight="1" thickBot="1">
      <c r="A121" s="826" t="s">
        <v>56</v>
      </c>
      <c r="B121" s="820" t="s">
        <v>305</v>
      </c>
      <c r="C121" s="820">
        <v>10070</v>
      </c>
      <c r="D121" s="820">
        <v>10040</v>
      </c>
      <c r="E121" s="820">
        <v>10270</v>
      </c>
      <c r="F121" s="834">
        <v>1960</v>
      </c>
    </row>
    <row r="122" spans="1:6" s="814" customFormat="1" ht="14.25" customHeight="1" thickBot="1">
      <c r="A122" s="826" t="s">
        <v>56</v>
      </c>
      <c r="B122" s="820" t="s">
        <v>315</v>
      </c>
      <c r="C122" s="820">
        <v>10500</v>
      </c>
      <c r="D122" s="820">
        <v>10470</v>
      </c>
      <c r="E122" s="820">
        <v>10780</v>
      </c>
      <c r="F122" s="834">
        <v>2180</v>
      </c>
    </row>
    <row r="123" spans="1:6" s="814" customFormat="1" ht="14.25" customHeight="1" thickBot="1">
      <c r="A123" s="826" t="s">
        <v>56</v>
      </c>
      <c r="B123" s="820" t="s">
        <v>326</v>
      </c>
      <c r="C123" s="820">
        <v>10390</v>
      </c>
      <c r="D123" s="820">
        <v>10360</v>
      </c>
      <c r="E123" s="820">
        <v>10660</v>
      </c>
      <c r="F123" s="834">
        <v>2040</v>
      </c>
    </row>
    <row r="124" spans="1:6" s="814" customFormat="1" ht="14.25" customHeight="1" thickBot="1">
      <c r="A124" s="826" t="s">
        <v>56</v>
      </c>
      <c r="B124" s="820" t="s">
        <v>337</v>
      </c>
      <c r="C124" s="820">
        <v>10390</v>
      </c>
      <c r="D124" s="820">
        <v>10360</v>
      </c>
      <c r="E124" s="820">
        <v>10680</v>
      </c>
      <c r="F124" s="838"/>
    </row>
    <row r="125" spans="1:6" s="814" customFormat="1" ht="14.25" customHeight="1" thickBot="1">
      <c r="A125" s="826" t="s">
        <v>56</v>
      </c>
      <c r="B125" s="820" t="s">
        <v>347</v>
      </c>
      <c r="C125" s="820">
        <v>10440</v>
      </c>
      <c r="D125" s="820">
        <v>10410</v>
      </c>
      <c r="E125" s="820">
        <v>10710</v>
      </c>
      <c r="F125" s="838"/>
    </row>
    <row r="126" spans="1:6" s="814" customFormat="1" ht="14.25" customHeight="1" thickBot="1">
      <c r="A126" s="826" t="s">
        <v>56</v>
      </c>
      <c r="B126" s="820" t="s">
        <v>357</v>
      </c>
      <c r="C126" s="820">
        <v>10780</v>
      </c>
      <c r="D126" s="820">
        <v>10750</v>
      </c>
      <c r="E126" s="820">
        <v>11080</v>
      </c>
      <c r="F126" s="838"/>
    </row>
    <row r="127" spans="1:6" s="814" customFormat="1" ht="14.25" customHeight="1" thickBot="1">
      <c r="A127" s="826" t="s">
        <v>56</v>
      </c>
      <c r="B127" s="820" t="s">
        <v>367</v>
      </c>
      <c r="C127" s="820">
        <v>10100</v>
      </c>
      <c r="D127" s="820">
        <v>10070</v>
      </c>
      <c r="E127" s="820">
        <v>10350</v>
      </c>
      <c r="F127" s="838"/>
    </row>
    <row r="128" spans="1:6" s="814" customFormat="1" ht="14.25" customHeight="1" thickBot="1">
      <c r="A128" s="826" t="s">
        <v>56</v>
      </c>
      <c r="B128" s="820" t="s">
        <v>377</v>
      </c>
      <c r="C128" s="820">
        <v>9200</v>
      </c>
      <c r="D128" s="820">
        <v>9160</v>
      </c>
      <c r="E128" s="820">
        <v>9660</v>
      </c>
      <c r="F128" s="838"/>
    </row>
    <row r="129" spans="1:6" s="814" customFormat="1" ht="14.25" customHeight="1" thickBot="1">
      <c r="A129" s="826" t="s">
        <v>56</v>
      </c>
      <c r="B129" s="820" t="s">
        <v>386</v>
      </c>
      <c r="C129" s="820">
        <v>10340</v>
      </c>
      <c r="D129" s="820">
        <v>10310</v>
      </c>
      <c r="E129" s="820">
        <v>10580</v>
      </c>
      <c r="F129" s="838"/>
    </row>
    <row r="130" spans="1:6" s="814" customFormat="1" ht="14.25" customHeight="1" thickBot="1">
      <c r="A130" s="826" t="s">
        <v>56</v>
      </c>
      <c r="B130" s="820" t="s">
        <v>395</v>
      </c>
      <c r="C130" s="820">
        <v>9680</v>
      </c>
      <c r="D130" s="820">
        <v>9660</v>
      </c>
      <c r="E130" s="820">
        <v>9950</v>
      </c>
      <c r="F130" s="838"/>
    </row>
    <row r="131" spans="1:6" s="814" customFormat="1" ht="14.25" customHeight="1" thickBot="1">
      <c r="A131" s="826" t="s">
        <v>56</v>
      </c>
      <c r="B131" s="820" t="s">
        <v>403</v>
      </c>
      <c r="C131" s="820">
        <v>9540</v>
      </c>
      <c r="D131" s="820">
        <v>9510</v>
      </c>
      <c r="E131" s="820">
        <v>9790</v>
      </c>
      <c r="F131" s="838"/>
    </row>
    <row r="132" spans="1:6" s="814" customFormat="1" ht="14.25" customHeight="1" thickBot="1">
      <c r="A132" s="826" t="s">
        <v>56</v>
      </c>
      <c r="B132" s="820" t="s">
        <v>410</v>
      </c>
      <c r="C132" s="820">
        <v>9320</v>
      </c>
      <c r="D132" s="820">
        <v>9290</v>
      </c>
      <c r="E132" s="820">
        <v>9570</v>
      </c>
      <c r="F132" s="838"/>
    </row>
    <row r="133" spans="1:6" s="814" customFormat="1" ht="14.25" customHeight="1" thickBot="1">
      <c r="A133" s="826" t="s">
        <v>56</v>
      </c>
      <c r="B133" s="820" t="s">
        <v>417</v>
      </c>
      <c r="C133" s="820">
        <v>10310</v>
      </c>
      <c r="D133" s="820">
        <v>10280</v>
      </c>
      <c r="E133" s="820">
        <v>10530</v>
      </c>
      <c r="F133" s="838"/>
    </row>
    <row r="134" spans="1:6" s="814" customFormat="1" ht="14.25" customHeight="1" thickBot="1">
      <c r="A134" s="826" t="s">
        <v>56</v>
      </c>
      <c r="B134" s="820" t="s">
        <v>424</v>
      </c>
      <c r="C134" s="820">
        <v>10370</v>
      </c>
      <c r="D134" s="820">
        <v>10310</v>
      </c>
      <c r="E134" s="820">
        <v>10240</v>
      </c>
      <c r="F134" s="834">
        <v>2060</v>
      </c>
    </row>
    <row r="135" spans="1:6" s="814" customFormat="1" ht="14.25" customHeight="1" thickBot="1">
      <c r="A135" s="826" t="s">
        <v>56</v>
      </c>
      <c r="B135" s="820" t="s">
        <v>431</v>
      </c>
      <c r="C135" s="820">
        <v>9300</v>
      </c>
      <c r="D135" s="820">
        <v>9270</v>
      </c>
      <c r="E135" s="820">
        <v>9350</v>
      </c>
      <c r="F135" s="838"/>
    </row>
    <row r="136" spans="1:6" s="814" customFormat="1" ht="14.25" customHeight="1" thickBot="1">
      <c r="A136" s="826" t="s">
        <v>56</v>
      </c>
      <c r="B136" s="820" t="s">
        <v>438</v>
      </c>
      <c r="C136" s="820">
        <v>10160</v>
      </c>
      <c r="D136" s="820">
        <v>10110</v>
      </c>
      <c r="E136" s="820">
        <v>10080</v>
      </c>
      <c r="F136" s="838"/>
    </row>
    <row r="137" spans="1:6" s="814" customFormat="1" ht="14.25" customHeight="1" thickBot="1">
      <c r="A137" s="826" t="s">
        <v>56</v>
      </c>
      <c r="B137" s="820" t="s">
        <v>445</v>
      </c>
      <c r="C137" s="820">
        <v>9200</v>
      </c>
      <c r="D137" s="820">
        <v>9170</v>
      </c>
      <c r="E137" s="820">
        <v>9450</v>
      </c>
      <c r="F137" s="838"/>
    </row>
    <row r="138" spans="1:6" s="814" customFormat="1" ht="14.25" customHeight="1" thickBot="1">
      <c r="A138" s="826" t="s">
        <v>56</v>
      </c>
      <c r="B138" s="820" t="s">
        <v>450</v>
      </c>
      <c r="C138" s="820">
        <v>9690</v>
      </c>
      <c r="D138" s="820">
        <v>9660</v>
      </c>
      <c r="E138" s="820">
        <v>9840</v>
      </c>
      <c r="F138" s="838"/>
    </row>
    <row r="139" spans="1:6" s="814" customFormat="1" ht="14.25" customHeight="1" thickBot="1">
      <c r="A139" s="826" t="s">
        <v>56</v>
      </c>
      <c r="B139" s="820" t="s">
        <v>454</v>
      </c>
      <c r="C139" s="820">
        <v>10290</v>
      </c>
      <c r="D139" s="820">
        <v>10260</v>
      </c>
      <c r="E139" s="820">
        <v>10550</v>
      </c>
      <c r="F139" s="834">
        <v>1700</v>
      </c>
    </row>
    <row r="140" spans="1:6" s="814" customFormat="1" ht="14.25" customHeight="1" thickBot="1">
      <c r="A140" s="826" t="s">
        <v>56</v>
      </c>
      <c r="B140" s="820" t="s">
        <v>459</v>
      </c>
      <c r="C140" s="820">
        <v>9740</v>
      </c>
      <c r="D140" s="820">
        <v>9710</v>
      </c>
      <c r="E140" s="820">
        <v>10000</v>
      </c>
      <c r="F140" s="834">
        <v>2000</v>
      </c>
    </row>
    <row r="141" spans="1:6" s="814" customFormat="1" ht="14.25" customHeight="1" thickBot="1">
      <c r="A141" s="826" t="s">
        <v>56</v>
      </c>
      <c r="B141" s="820" t="s">
        <v>464</v>
      </c>
      <c r="C141" s="820">
        <v>9810</v>
      </c>
      <c r="D141" s="820">
        <v>9770</v>
      </c>
      <c r="E141" s="820">
        <v>10060</v>
      </c>
      <c r="F141" s="838"/>
    </row>
    <row r="142" spans="1:6" s="814" customFormat="1" ht="14.25" customHeight="1" thickBot="1">
      <c r="A142" s="826" t="s">
        <v>56</v>
      </c>
      <c r="B142" s="820" t="s">
        <v>469</v>
      </c>
      <c r="C142" s="820">
        <v>9300</v>
      </c>
      <c r="D142" s="820">
        <v>9270</v>
      </c>
      <c r="E142" s="820">
        <v>9530</v>
      </c>
      <c r="F142" s="838"/>
    </row>
    <row r="143" spans="1:6" s="814" customFormat="1" ht="14.25" customHeight="1" thickBot="1">
      <c r="A143" s="826" t="s">
        <v>56</v>
      </c>
      <c r="B143" s="820" t="s">
        <v>474</v>
      </c>
      <c r="C143" s="820">
        <v>10080</v>
      </c>
      <c r="D143" s="820">
        <v>10050</v>
      </c>
      <c r="E143" s="820">
        <v>10340</v>
      </c>
      <c r="F143" s="838"/>
    </row>
    <row r="144" spans="1:6" s="814" customFormat="1" ht="14.25" customHeight="1" thickBot="1">
      <c r="A144" s="826" t="s">
        <v>56</v>
      </c>
      <c r="B144" s="820" t="s">
        <v>478</v>
      </c>
      <c r="C144" s="820">
        <v>9820</v>
      </c>
      <c r="D144" s="820">
        <v>9750</v>
      </c>
      <c r="E144" s="820">
        <v>9900</v>
      </c>
      <c r="F144" s="838"/>
    </row>
    <row r="145" spans="1:6" s="814" customFormat="1" ht="14.25" customHeight="1" thickBot="1">
      <c r="A145" s="826" t="s">
        <v>56</v>
      </c>
      <c r="B145" s="820" t="s">
        <v>482</v>
      </c>
      <c r="C145" s="820"/>
      <c r="D145" s="820"/>
      <c r="E145" s="820"/>
      <c r="F145" s="834">
        <v>1740</v>
      </c>
    </row>
    <row r="146" spans="1:6" s="814" customFormat="1" ht="14.25" customHeight="1" thickBot="1">
      <c r="A146" s="826" t="s">
        <v>56</v>
      </c>
      <c r="B146" s="820" t="s">
        <v>486</v>
      </c>
      <c r="C146" s="820"/>
      <c r="D146" s="820"/>
      <c r="E146" s="820"/>
      <c r="F146" s="834">
        <v>1740</v>
      </c>
    </row>
    <row r="147" spans="1:6" s="814" customFormat="1" ht="14.25" customHeight="1" thickBot="1">
      <c r="A147" s="826" t="s">
        <v>56</v>
      </c>
      <c r="B147" s="820" t="s">
        <v>490</v>
      </c>
      <c r="C147" s="820"/>
      <c r="D147" s="820"/>
      <c r="E147" s="820"/>
      <c r="F147" s="834">
        <v>1740</v>
      </c>
    </row>
    <row r="148" spans="1:6" s="814" customFormat="1" ht="14.25" customHeight="1" thickBot="1">
      <c r="A148" s="826" t="s">
        <v>56</v>
      </c>
      <c r="B148" s="820" t="s">
        <v>494</v>
      </c>
      <c r="C148" s="820"/>
      <c r="D148" s="820"/>
      <c r="E148" s="820"/>
      <c r="F148" s="834">
        <v>1740</v>
      </c>
    </row>
    <row r="149" spans="1:6" s="814" customFormat="1" ht="14.25" customHeight="1" thickBot="1">
      <c r="A149" s="826" t="s">
        <v>56</v>
      </c>
      <c r="B149" s="820" t="s">
        <v>498</v>
      </c>
      <c r="C149" s="820"/>
      <c r="D149" s="820"/>
      <c r="E149" s="820"/>
      <c r="F149" s="834">
        <v>1740</v>
      </c>
    </row>
    <row r="150" spans="1:6" s="814" customFormat="1" ht="14.25" customHeight="1" thickBot="1">
      <c r="A150" s="826" t="s">
        <v>56</v>
      </c>
      <c r="B150" s="820" t="s">
        <v>501</v>
      </c>
      <c r="C150" s="820"/>
      <c r="D150" s="820"/>
      <c r="E150" s="820"/>
      <c r="F150" s="834">
        <v>1610</v>
      </c>
    </row>
    <row r="151" spans="1:6" s="814" customFormat="1" ht="14.25" customHeight="1" thickBot="1">
      <c r="A151" s="826" t="s">
        <v>56</v>
      </c>
      <c r="B151" s="820" t="s">
        <v>504</v>
      </c>
      <c r="C151" s="820"/>
      <c r="D151" s="820"/>
      <c r="E151" s="820"/>
      <c r="F151" s="834">
        <v>1610</v>
      </c>
    </row>
    <row r="152" spans="1:6" s="814" customFormat="1" ht="14.25" customHeight="1" thickBot="1">
      <c r="A152" s="826" t="s">
        <v>56</v>
      </c>
      <c r="B152" s="820" t="s">
        <v>507</v>
      </c>
      <c r="C152" s="820"/>
      <c r="D152" s="820"/>
      <c r="E152" s="820"/>
      <c r="F152" s="834">
        <v>1610</v>
      </c>
    </row>
    <row r="153" spans="1:6" s="814" customFormat="1" ht="14.25" customHeight="1" thickBot="1">
      <c r="A153" s="826" t="s">
        <v>56</v>
      </c>
      <c r="B153" s="820" t="s">
        <v>510</v>
      </c>
      <c r="C153" s="820"/>
      <c r="D153" s="820"/>
      <c r="E153" s="820"/>
      <c r="F153" s="834">
        <v>1610</v>
      </c>
    </row>
    <row r="154" spans="1:6" s="814" customFormat="1" ht="14.25" customHeight="1" thickBot="1">
      <c r="A154" s="826" t="s">
        <v>56</v>
      </c>
      <c r="B154" s="820" t="s">
        <v>513</v>
      </c>
      <c r="C154" s="820"/>
      <c r="D154" s="820"/>
      <c r="E154" s="820"/>
      <c r="F154" s="834">
        <v>1610</v>
      </c>
    </row>
    <row r="155" spans="1:6" s="814" customFormat="1" ht="14.25" customHeight="1" thickBot="1">
      <c r="A155" s="826" t="s">
        <v>56</v>
      </c>
      <c r="B155" s="820" t="s">
        <v>516</v>
      </c>
      <c r="C155" s="820"/>
      <c r="D155" s="820"/>
      <c r="E155" s="820"/>
      <c r="F155" s="834">
        <v>1800</v>
      </c>
    </row>
    <row r="156" spans="1:6" s="814" customFormat="1" ht="14.25" customHeight="1" thickBot="1">
      <c r="A156" s="826" t="s">
        <v>56</v>
      </c>
      <c r="B156" s="820" t="s">
        <v>518</v>
      </c>
      <c r="C156" s="820"/>
      <c r="D156" s="820"/>
      <c r="E156" s="820"/>
      <c r="F156" s="834">
        <v>1910</v>
      </c>
    </row>
    <row r="157" spans="1:6" s="814" customFormat="1" ht="14.25" customHeight="1" thickBot="1">
      <c r="A157" s="826" t="s">
        <v>56</v>
      </c>
      <c r="B157" s="832" t="s">
        <v>521</v>
      </c>
      <c r="C157" s="832"/>
      <c r="D157" s="832"/>
      <c r="E157" s="832"/>
      <c r="F157" s="837">
        <v>1500</v>
      </c>
    </row>
    <row r="158" spans="1:6" s="814" customFormat="1" ht="14.25" customHeight="1" thickBot="1">
      <c r="A158" s="826" t="s">
        <v>526</v>
      </c>
      <c r="B158" s="827" t="s">
        <v>527</v>
      </c>
      <c r="C158" s="827">
        <v>8170</v>
      </c>
      <c r="D158" s="827">
        <v>8140</v>
      </c>
      <c r="E158" s="827">
        <v>8590</v>
      </c>
      <c r="F158" s="828">
        <v>1450</v>
      </c>
    </row>
    <row r="159" spans="1:6" s="814" customFormat="1" ht="14.25" customHeight="1" thickBot="1">
      <c r="A159" s="826" t="s">
        <v>526</v>
      </c>
      <c r="B159" s="820" t="s">
        <v>193</v>
      </c>
      <c r="C159" s="820">
        <v>7410</v>
      </c>
      <c r="D159" s="820">
        <v>7370</v>
      </c>
      <c r="E159" s="820">
        <v>8030</v>
      </c>
      <c r="F159" s="834">
        <v>1510</v>
      </c>
    </row>
    <row r="160" spans="1:6" s="814" customFormat="1" ht="14.25" customHeight="1" thickBot="1">
      <c r="A160" s="826" t="s">
        <v>526</v>
      </c>
      <c r="B160" s="820" t="s">
        <v>206</v>
      </c>
      <c r="C160" s="820">
        <v>7240</v>
      </c>
      <c r="D160" s="820">
        <v>7210</v>
      </c>
      <c r="E160" s="820">
        <v>7860</v>
      </c>
      <c r="F160" s="834">
        <v>1370</v>
      </c>
    </row>
    <row r="161" spans="1:6" s="814" customFormat="1" ht="14.25" customHeight="1" thickBot="1">
      <c r="A161" s="826" t="s">
        <v>526</v>
      </c>
      <c r="B161" s="820" t="s">
        <v>219</v>
      </c>
      <c r="C161" s="820">
        <v>7720</v>
      </c>
      <c r="D161" s="820">
        <v>7690</v>
      </c>
      <c r="E161" s="820">
        <v>8200</v>
      </c>
      <c r="F161" s="834">
        <v>1190</v>
      </c>
    </row>
    <row r="162" spans="1:6" s="814" customFormat="1" ht="14.25" customHeight="1" thickBot="1">
      <c r="A162" s="826" t="s">
        <v>526</v>
      </c>
      <c r="B162" s="820" t="s">
        <v>231</v>
      </c>
      <c r="C162" s="820">
        <v>6900</v>
      </c>
      <c r="D162" s="820">
        <v>6870</v>
      </c>
      <c r="E162" s="820">
        <v>7500</v>
      </c>
      <c r="F162" s="834">
        <v>1390</v>
      </c>
    </row>
    <row r="163" spans="1:6" s="814" customFormat="1" ht="14.25" customHeight="1" thickBot="1">
      <c r="A163" s="826" t="s">
        <v>526</v>
      </c>
      <c r="B163" s="820" t="s">
        <v>242</v>
      </c>
      <c r="C163" s="820">
        <v>7120</v>
      </c>
      <c r="D163" s="820">
        <v>7090</v>
      </c>
      <c r="E163" s="820">
        <v>7690</v>
      </c>
      <c r="F163" s="834">
        <v>1230</v>
      </c>
    </row>
    <row r="164" spans="1:6" s="814" customFormat="1" ht="14.25" customHeight="1" thickBot="1">
      <c r="A164" s="826" t="s">
        <v>526</v>
      </c>
      <c r="B164" s="820" t="s">
        <v>253</v>
      </c>
      <c r="C164" s="820">
        <v>6560</v>
      </c>
      <c r="D164" s="820">
        <v>6530</v>
      </c>
      <c r="E164" s="820">
        <v>7110</v>
      </c>
      <c r="F164" s="834">
        <v>1340</v>
      </c>
    </row>
    <row r="165" spans="1:6" s="814" customFormat="1" ht="14.25" customHeight="1" thickBot="1">
      <c r="A165" s="826" t="s">
        <v>526</v>
      </c>
      <c r="B165" s="820" t="s">
        <v>264</v>
      </c>
      <c r="C165" s="820">
        <v>7450</v>
      </c>
      <c r="D165" s="820">
        <v>7430</v>
      </c>
      <c r="E165" s="820">
        <v>8110</v>
      </c>
      <c r="F165" s="834">
        <v>1290</v>
      </c>
    </row>
    <row r="166" spans="1:6" s="814" customFormat="1" ht="14.25" customHeight="1" thickBot="1">
      <c r="A166" s="826" t="s">
        <v>526</v>
      </c>
      <c r="B166" s="820" t="s">
        <v>276</v>
      </c>
      <c r="C166" s="820">
        <v>7490</v>
      </c>
      <c r="D166" s="820">
        <v>7460</v>
      </c>
      <c r="E166" s="820">
        <v>8150</v>
      </c>
      <c r="F166" s="834">
        <v>1350</v>
      </c>
    </row>
    <row r="167" spans="1:6" s="814" customFormat="1" ht="14.25" customHeight="1" thickBot="1">
      <c r="A167" s="826" t="s">
        <v>526</v>
      </c>
      <c r="B167" s="820" t="s">
        <v>286</v>
      </c>
      <c r="C167" s="820">
        <v>7540</v>
      </c>
      <c r="D167" s="820">
        <v>7510</v>
      </c>
      <c r="E167" s="820">
        <v>8030</v>
      </c>
      <c r="F167" s="838"/>
    </row>
    <row r="168" spans="1:6" s="814" customFormat="1" ht="14.25" customHeight="1" thickBot="1">
      <c r="A168" s="826" t="s">
        <v>526</v>
      </c>
      <c r="B168" s="820" t="s">
        <v>296</v>
      </c>
      <c r="C168" s="820">
        <v>7210</v>
      </c>
      <c r="D168" s="820">
        <v>7180</v>
      </c>
      <c r="E168" s="820">
        <v>7830</v>
      </c>
      <c r="F168" s="838"/>
    </row>
    <row r="169" spans="1:6" s="814" customFormat="1" ht="14.25" customHeight="1" thickBot="1">
      <c r="A169" s="826" t="s">
        <v>526</v>
      </c>
      <c r="B169" s="820" t="s">
        <v>306</v>
      </c>
      <c r="C169" s="820">
        <v>7040</v>
      </c>
      <c r="D169" s="820">
        <v>7020</v>
      </c>
      <c r="E169" s="820">
        <v>7670</v>
      </c>
      <c r="F169" s="838"/>
    </row>
    <row r="170" spans="1:6" s="814" customFormat="1" ht="14.25" customHeight="1" thickBot="1">
      <c r="A170" s="826" t="s">
        <v>526</v>
      </c>
      <c r="B170" s="820" t="s">
        <v>316</v>
      </c>
      <c r="C170" s="820">
        <v>8040</v>
      </c>
      <c r="D170" s="820">
        <v>7190</v>
      </c>
      <c r="E170" s="820">
        <v>7850</v>
      </c>
      <c r="F170" s="838"/>
    </row>
    <row r="171" spans="1:6" s="814" customFormat="1" ht="14.25" customHeight="1" thickBot="1">
      <c r="A171" s="826" t="s">
        <v>526</v>
      </c>
      <c r="B171" s="820" t="s">
        <v>327</v>
      </c>
      <c r="C171" s="820">
        <v>7860</v>
      </c>
      <c r="D171" s="820">
        <v>7720</v>
      </c>
      <c r="E171" s="820">
        <v>8150</v>
      </c>
      <c r="F171" s="834">
        <v>1110</v>
      </c>
    </row>
    <row r="172" spans="1:6" s="814" customFormat="1" ht="14.25" customHeight="1" thickBot="1">
      <c r="A172" s="826" t="s">
        <v>526</v>
      </c>
      <c r="B172" s="820" t="s">
        <v>338</v>
      </c>
      <c r="C172" s="820">
        <v>7210</v>
      </c>
      <c r="D172" s="820">
        <v>7170</v>
      </c>
      <c r="E172" s="820">
        <v>7320</v>
      </c>
      <c r="F172" s="838"/>
    </row>
    <row r="173" spans="1:6" s="814" customFormat="1" ht="14.25" customHeight="1" thickBot="1">
      <c r="A173" s="826" t="s">
        <v>526</v>
      </c>
      <c r="B173" s="820" t="s">
        <v>348</v>
      </c>
      <c r="C173" s="820">
        <v>6860</v>
      </c>
      <c r="D173" s="820">
        <v>6810</v>
      </c>
      <c r="E173" s="820">
        <v>7440</v>
      </c>
      <c r="F173" s="838"/>
    </row>
    <row r="174" spans="1:6" s="814" customFormat="1" ht="14.25" customHeight="1" thickBot="1">
      <c r="A174" s="826" t="s">
        <v>526</v>
      </c>
      <c r="B174" s="820" t="s">
        <v>358</v>
      </c>
      <c r="C174" s="820">
        <v>7120</v>
      </c>
      <c r="D174" s="820">
        <v>7090</v>
      </c>
      <c r="E174" s="820">
        <v>7500</v>
      </c>
      <c r="F174" s="834">
        <v>1490</v>
      </c>
    </row>
    <row r="175" spans="1:6" s="814" customFormat="1" ht="14.25" customHeight="1" thickBot="1">
      <c r="A175" s="826" t="s">
        <v>526</v>
      </c>
      <c r="B175" s="820" t="s">
        <v>368</v>
      </c>
      <c r="C175" s="820">
        <v>7850</v>
      </c>
      <c r="D175" s="820">
        <v>7820</v>
      </c>
      <c r="E175" s="820">
        <v>8120</v>
      </c>
      <c r="F175" s="834">
        <v>1530</v>
      </c>
    </row>
    <row r="176" spans="1:6" s="814" customFormat="1" ht="14.25" customHeight="1" thickBot="1">
      <c r="A176" s="826" t="s">
        <v>526</v>
      </c>
      <c r="B176" s="820" t="s">
        <v>378</v>
      </c>
      <c r="C176" s="820">
        <v>7620</v>
      </c>
      <c r="D176" s="820">
        <v>7570</v>
      </c>
      <c r="E176" s="820">
        <v>7990</v>
      </c>
      <c r="F176" s="834">
        <v>1480</v>
      </c>
    </row>
    <row r="177" spans="1:6" s="814" customFormat="1" ht="14.25" customHeight="1" thickBot="1">
      <c r="A177" s="826" t="s">
        <v>526</v>
      </c>
      <c r="B177" s="820" t="s">
        <v>387</v>
      </c>
      <c r="C177" s="820">
        <v>8590</v>
      </c>
      <c r="D177" s="820">
        <v>8570</v>
      </c>
      <c r="E177" s="820">
        <v>8740</v>
      </c>
      <c r="F177" s="834">
        <v>1540</v>
      </c>
    </row>
    <row r="178" spans="1:6" s="814" customFormat="1" ht="14.25" customHeight="1" thickBot="1">
      <c r="A178" s="826" t="s">
        <v>526</v>
      </c>
      <c r="B178" s="820" t="s">
        <v>396</v>
      </c>
      <c r="C178" s="820">
        <v>7510</v>
      </c>
      <c r="D178" s="820">
        <v>7470</v>
      </c>
      <c r="E178" s="820">
        <v>8090</v>
      </c>
      <c r="F178" s="834">
        <v>1320</v>
      </c>
    </row>
    <row r="179" spans="1:6" s="814" customFormat="1" ht="14.25" customHeight="1" thickBot="1">
      <c r="A179" s="826" t="s">
        <v>526</v>
      </c>
      <c r="B179" s="820" t="s">
        <v>404</v>
      </c>
      <c r="C179" s="820">
        <v>6380</v>
      </c>
      <c r="D179" s="820">
        <v>6340</v>
      </c>
      <c r="E179" s="820">
        <v>6810</v>
      </c>
      <c r="F179" s="838"/>
    </row>
    <row r="180" spans="1:6" s="814" customFormat="1" ht="14.25" customHeight="1" thickBot="1">
      <c r="A180" s="826" t="s">
        <v>526</v>
      </c>
      <c r="B180" s="820" t="s">
        <v>411</v>
      </c>
      <c r="C180" s="820">
        <v>7830</v>
      </c>
      <c r="D180" s="820">
        <v>7800</v>
      </c>
      <c r="E180" s="820">
        <v>7780</v>
      </c>
      <c r="F180" s="834">
        <v>1440</v>
      </c>
    </row>
    <row r="181" spans="1:6" s="814" customFormat="1" ht="14.25" customHeight="1" thickBot="1">
      <c r="A181" s="826" t="s">
        <v>526</v>
      </c>
      <c r="B181" s="820" t="s">
        <v>418</v>
      </c>
      <c r="C181" s="820">
        <v>7110</v>
      </c>
      <c r="D181" s="820">
        <v>7080</v>
      </c>
      <c r="E181" s="820">
        <v>7730</v>
      </c>
      <c r="F181" s="834">
        <v>1350</v>
      </c>
    </row>
    <row r="182" spans="1:6" s="814" customFormat="1" ht="14.25" customHeight="1" thickBot="1">
      <c r="A182" s="826" t="s">
        <v>526</v>
      </c>
      <c r="B182" s="820" t="s">
        <v>425</v>
      </c>
      <c r="C182" s="820">
        <v>7310</v>
      </c>
      <c r="D182" s="820">
        <v>7280</v>
      </c>
      <c r="E182" s="820">
        <v>7950</v>
      </c>
      <c r="F182" s="834">
        <v>1220</v>
      </c>
    </row>
    <row r="183" spans="1:6" s="814" customFormat="1" ht="14.25" customHeight="1" thickBot="1">
      <c r="A183" s="826" t="s">
        <v>526</v>
      </c>
      <c r="B183" s="820" t="s">
        <v>432</v>
      </c>
      <c r="C183" s="820">
        <v>7470</v>
      </c>
      <c r="D183" s="820">
        <v>7440</v>
      </c>
      <c r="E183" s="820">
        <v>7880</v>
      </c>
      <c r="F183" s="838"/>
    </row>
    <row r="184" spans="1:6" s="814" customFormat="1" ht="14.25" customHeight="1" thickBot="1">
      <c r="A184" s="826" t="s">
        <v>526</v>
      </c>
      <c r="B184" s="820" t="s">
        <v>439</v>
      </c>
      <c r="C184" s="820">
        <v>6960</v>
      </c>
      <c r="D184" s="820">
        <v>6930</v>
      </c>
      <c r="E184" s="820">
        <v>7570</v>
      </c>
      <c r="F184" s="838"/>
    </row>
    <row r="185" spans="1:6" s="814" customFormat="1" ht="14.25" customHeight="1" thickBot="1">
      <c r="A185" s="826" t="s">
        <v>526</v>
      </c>
      <c r="B185" s="820" t="s">
        <v>446</v>
      </c>
      <c r="C185" s="820">
        <v>7260</v>
      </c>
      <c r="D185" s="820">
        <v>7230</v>
      </c>
      <c r="E185" s="820">
        <v>7710</v>
      </c>
      <c r="F185" s="834">
        <v>1360</v>
      </c>
    </row>
    <row r="186" spans="1:6" s="814" customFormat="1" ht="14.25" customHeight="1" thickBot="1">
      <c r="A186" s="826" t="s">
        <v>526</v>
      </c>
      <c r="B186" s="820" t="s">
        <v>451</v>
      </c>
      <c r="C186" s="820"/>
      <c r="D186" s="820"/>
      <c r="E186" s="820"/>
      <c r="F186" s="834">
        <v>1560</v>
      </c>
    </row>
    <row r="187" spans="1:6" s="814" customFormat="1" ht="14.25" customHeight="1" thickBot="1">
      <c r="A187" s="826" t="s">
        <v>526</v>
      </c>
      <c r="B187" s="820" t="s">
        <v>455</v>
      </c>
      <c r="C187" s="820"/>
      <c r="D187" s="820"/>
      <c r="E187" s="820"/>
      <c r="F187" s="834">
        <v>1560</v>
      </c>
    </row>
    <row r="188" spans="1:6" s="814" customFormat="1" ht="14.25" customHeight="1" thickBot="1">
      <c r="A188" s="826" t="s">
        <v>526</v>
      </c>
      <c r="B188" s="820" t="s">
        <v>460</v>
      </c>
      <c r="C188" s="820"/>
      <c r="D188" s="820"/>
      <c r="E188" s="820"/>
      <c r="F188" s="834">
        <v>1560</v>
      </c>
    </row>
    <row r="189" spans="1:6" s="814" customFormat="1" ht="14.25" customHeight="1" thickBot="1">
      <c r="A189" s="826" t="s">
        <v>526</v>
      </c>
      <c r="B189" s="820" t="s">
        <v>465</v>
      </c>
      <c r="C189" s="820"/>
      <c r="D189" s="820"/>
      <c r="E189" s="820"/>
      <c r="F189" s="834">
        <v>1320</v>
      </c>
    </row>
    <row r="190" spans="1:6" s="814" customFormat="1" ht="14.25" customHeight="1" thickBot="1">
      <c r="A190" s="826" t="s">
        <v>526</v>
      </c>
      <c r="B190" s="820" t="s">
        <v>470</v>
      </c>
      <c r="C190" s="820"/>
      <c r="D190" s="820"/>
      <c r="E190" s="820"/>
      <c r="F190" s="834">
        <v>1320</v>
      </c>
    </row>
    <row r="191" spans="1:6" s="814" customFormat="1" ht="14.25" customHeight="1" thickBot="1">
      <c r="A191" s="826" t="s">
        <v>526</v>
      </c>
      <c r="B191" s="820" t="s">
        <v>475</v>
      </c>
      <c r="C191" s="820"/>
      <c r="D191" s="820"/>
      <c r="E191" s="820"/>
      <c r="F191" s="834">
        <v>1320</v>
      </c>
    </row>
    <row r="192" spans="1:6" s="814" customFormat="1" ht="14.25" customHeight="1" thickBot="1">
      <c r="A192" s="826" t="s">
        <v>526</v>
      </c>
      <c r="B192" s="820" t="s">
        <v>479</v>
      </c>
      <c r="C192" s="820"/>
      <c r="D192" s="820"/>
      <c r="E192" s="820"/>
      <c r="F192" s="834">
        <v>1100</v>
      </c>
    </row>
    <row r="193" spans="1:6" s="814" customFormat="1" ht="14.25" customHeight="1" thickBot="1">
      <c r="A193" s="826" t="s">
        <v>526</v>
      </c>
      <c r="B193" s="820" t="s">
        <v>483</v>
      </c>
      <c r="C193" s="820"/>
      <c r="D193" s="820"/>
      <c r="E193" s="820"/>
      <c r="F193" s="834">
        <v>1100</v>
      </c>
    </row>
    <row r="194" spans="1:6" s="814" customFormat="1" ht="14.25" customHeight="1" thickBot="1">
      <c r="A194" s="826" t="s">
        <v>526</v>
      </c>
      <c r="B194" s="820" t="s">
        <v>487</v>
      </c>
      <c r="C194" s="820"/>
      <c r="D194" s="820"/>
      <c r="E194" s="820"/>
      <c r="F194" s="834">
        <v>1080</v>
      </c>
    </row>
    <row r="195" spans="1:6" s="814" customFormat="1" ht="14.25" customHeight="1" thickBot="1">
      <c r="A195" s="826" t="s">
        <v>526</v>
      </c>
      <c r="B195" s="820" t="s">
        <v>491</v>
      </c>
      <c r="C195" s="820"/>
      <c r="D195" s="820"/>
      <c r="E195" s="820"/>
      <c r="F195" s="834">
        <v>1270</v>
      </c>
    </row>
    <row r="196" spans="1:6" s="814" customFormat="1" ht="14.25" customHeight="1" thickBot="1">
      <c r="A196" s="826" t="s">
        <v>526</v>
      </c>
      <c r="B196" s="820" t="s">
        <v>495</v>
      </c>
      <c r="C196" s="820"/>
      <c r="D196" s="820"/>
      <c r="E196" s="820"/>
      <c r="F196" s="834">
        <v>1150</v>
      </c>
    </row>
    <row r="197" spans="1:6" s="814" customFormat="1" ht="14.25" customHeight="1" thickBot="1">
      <c r="A197" s="826" t="s">
        <v>526</v>
      </c>
      <c r="B197" s="820" t="s">
        <v>499</v>
      </c>
      <c r="C197" s="820"/>
      <c r="D197" s="820"/>
      <c r="E197" s="820"/>
      <c r="F197" s="834">
        <v>1330</v>
      </c>
    </row>
    <row r="198" spans="1:6" s="814" customFormat="1" ht="14.25" customHeight="1" thickBot="1">
      <c r="A198" s="826" t="s">
        <v>526</v>
      </c>
      <c r="B198" s="820" t="s">
        <v>502</v>
      </c>
      <c r="C198" s="820"/>
      <c r="D198" s="820"/>
      <c r="E198" s="820"/>
      <c r="F198" s="834">
        <v>1170</v>
      </c>
    </row>
    <row r="199" spans="1:6" s="814" customFormat="1" ht="14.25" customHeight="1" thickBot="1">
      <c r="A199" s="826" t="s">
        <v>526</v>
      </c>
      <c r="B199" s="820" t="s">
        <v>505</v>
      </c>
      <c r="C199" s="820"/>
      <c r="D199" s="820"/>
      <c r="E199" s="820"/>
      <c r="F199" s="834">
        <v>1120</v>
      </c>
    </row>
    <row r="200" spans="1:6" s="814" customFormat="1" ht="14.25" customHeight="1" thickBot="1">
      <c r="A200" s="826" t="s">
        <v>526</v>
      </c>
      <c r="B200" s="820" t="s">
        <v>508</v>
      </c>
      <c r="C200" s="820"/>
      <c r="D200" s="820"/>
      <c r="E200" s="820"/>
      <c r="F200" s="834">
        <v>1120</v>
      </c>
    </row>
    <row r="201" spans="1:6" s="814" customFormat="1" ht="14.25" customHeight="1" thickBot="1">
      <c r="A201" s="826" t="s">
        <v>526</v>
      </c>
      <c r="B201" s="820" t="s">
        <v>511</v>
      </c>
      <c r="C201" s="820"/>
      <c r="D201" s="820"/>
      <c r="E201" s="820"/>
      <c r="F201" s="834">
        <v>1540</v>
      </c>
    </row>
    <row r="202" spans="1:6" s="814" customFormat="1" ht="14.25" customHeight="1" thickBot="1">
      <c r="A202" s="826" t="s">
        <v>526</v>
      </c>
      <c r="B202" s="820" t="s">
        <v>514</v>
      </c>
      <c r="C202" s="820"/>
      <c r="D202" s="820"/>
      <c r="E202" s="820"/>
      <c r="F202" s="834">
        <v>1310</v>
      </c>
    </row>
    <row r="203" spans="1:6" s="814" customFormat="1" ht="14.25" customHeight="1" thickBot="1">
      <c r="A203" s="826" t="s">
        <v>526</v>
      </c>
      <c r="B203" s="820" t="s">
        <v>517</v>
      </c>
      <c r="C203" s="820"/>
      <c r="D203" s="820"/>
      <c r="E203" s="820"/>
      <c r="F203" s="834">
        <v>1310</v>
      </c>
    </row>
    <row r="204" spans="1:6" s="814" customFormat="1" ht="14.25" customHeight="1" thickBot="1">
      <c r="A204" s="826" t="s">
        <v>526</v>
      </c>
      <c r="B204" s="820" t="s">
        <v>519</v>
      </c>
      <c r="C204" s="820"/>
      <c r="D204" s="820"/>
      <c r="E204" s="820"/>
      <c r="F204" s="834">
        <v>1080</v>
      </c>
    </row>
    <row r="205" spans="1:6" s="814" customFormat="1" ht="14.25" customHeight="1" thickBot="1">
      <c r="A205" s="826" t="s">
        <v>526</v>
      </c>
      <c r="B205" s="820" t="s">
        <v>522</v>
      </c>
      <c r="C205" s="820"/>
      <c r="D205" s="820"/>
      <c r="E205" s="820"/>
      <c r="F205" s="834">
        <v>1080</v>
      </c>
    </row>
    <row r="206" spans="1:6" s="814" customFormat="1" ht="14.25" customHeight="1" thickBot="1">
      <c r="A206" s="826" t="s">
        <v>528</v>
      </c>
      <c r="B206" s="827" t="s">
        <v>529</v>
      </c>
      <c r="C206" s="827">
        <v>5450</v>
      </c>
      <c r="D206" s="827">
        <v>5430</v>
      </c>
      <c r="E206" s="827">
        <v>5700</v>
      </c>
      <c r="F206" s="828">
        <v>1020</v>
      </c>
    </row>
    <row r="207" spans="1:6" s="814" customFormat="1" ht="14.25" customHeight="1" thickBot="1">
      <c r="A207" s="826" t="s">
        <v>528</v>
      </c>
      <c r="B207" s="820" t="s">
        <v>194</v>
      </c>
      <c r="C207" s="820">
        <v>5860</v>
      </c>
      <c r="D207" s="820">
        <v>5820</v>
      </c>
      <c r="E207" s="820">
        <v>6050</v>
      </c>
      <c r="F207" s="834">
        <v>1080</v>
      </c>
    </row>
    <row r="208" spans="1:6" s="814" customFormat="1" ht="14.25" customHeight="1" thickBot="1">
      <c r="A208" s="826" t="s">
        <v>528</v>
      </c>
      <c r="B208" s="820" t="s">
        <v>207</v>
      </c>
      <c r="C208" s="820">
        <v>4630</v>
      </c>
      <c r="D208" s="820">
        <v>4600</v>
      </c>
      <c r="E208" s="820">
        <v>4840</v>
      </c>
      <c r="F208" s="834">
        <v>900</v>
      </c>
    </row>
    <row r="209" spans="1:6" s="814" customFormat="1" ht="14.25" customHeight="1" thickBot="1">
      <c r="A209" s="826" t="s">
        <v>528</v>
      </c>
      <c r="B209" s="820" t="s">
        <v>220</v>
      </c>
      <c r="C209" s="820">
        <v>5320</v>
      </c>
      <c r="D209" s="820">
        <v>5270</v>
      </c>
      <c r="E209" s="820">
        <v>5540</v>
      </c>
      <c r="F209" s="834">
        <v>980</v>
      </c>
    </row>
    <row r="210" spans="1:6" s="814" customFormat="1" ht="14.25" customHeight="1" thickBot="1">
      <c r="A210" s="826" t="s">
        <v>528</v>
      </c>
      <c r="B210" s="820" t="s">
        <v>232</v>
      </c>
      <c r="C210" s="820">
        <v>5760</v>
      </c>
      <c r="D210" s="820">
        <v>5710</v>
      </c>
      <c r="E210" s="820">
        <v>6010</v>
      </c>
      <c r="F210" s="834">
        <v>870</v>
      </c>
    </row>
    <row r="211" spans="1:6" s="814" customFormat="1" ht="14.25" customHeight="1" thickBot="1">
      <c r="A211" s="826" t="s">
        <v>528</v>
      </c>
      <c r="B211" s="820" t="s">
        <v>243</v>
      </c>
      <c r="C211" s="820">
        <v>4160</v>
      </c>
      <c r="D211" s="820">
        <v>4100</v>
      </c>
      <c r="E211" s="820">
        <v>4270</v>
      </c>
      <c r="F211" s="834">
        <v>790</v>
      </c>
    </row>
    <row r="212" spans="1:6" s="814" customFormat="1" ht="14.25" customHeight="1" thickBot="1">
      <c r="A212" s="826" t="s">
        <v>528</v>
      </c>
      <c r="B212" s="820" t="s">
        <v>254</v>
      </c>
      <c r="C212" s="820">
        <v>4880</v>
      </c>
      <c r="D212" s="820">
        <v>4850</v>
      </c>
      <c r="E212" s="820">
        <v>5110</v>
      </c>
      <c r="F212" s="834">
        <v>940</v>
      </c>
    </row>
    <row r="213" spans="1:6" s="814" customFormat="1" ht="14.25" customHeight="1" thickBot="1">
      <c r="A213" s="826" t="s">
        <v>528</v>
      </c>
      <c r="B213" s="820" t="s">
        <v>265</v>
      </c>
      <c r="C213" s="820">
        <v>4640</v>
      </c>
      <c r="D213" s="820">
        <v>4590</v>
      </c>
      <c r="E213" s="820">
        <v>4700</v>
      </c>
      <c r="F213" s="834">
        <v>1030</v>
      </c>
    </row>
    <row r="214" spans="1:6" s="814" customFormat="1" ht="14.25" customHeight="1" thickBot="1">
      <c r="A214" s="826" t="s">
        <v>528</v>
      </c>
      <c r="B214" s="820" t="s">
        <v>277</v>
      </c>
      <c r="C214" s="820">
        <v>4540</v>
      </c>
      <c r="D214" s="820">
        <v>4490</v>
      </c>
      <c r="E214" s="820">
        <v>4610</v>
      </c>
      <c r="F214" s="838"/>
    </row>
    <row r="215" spans="1:6" s="814" customFormat="1" ht="14.25" customHeight="1" thickBot="1">
      <c r="A215" s="826" t="s">
        <v>528</v>
      </c>
      <c r="B215" s="820" t="s">
        <v>287</v>
      </c>
      <c r="C215" s="820">
        <v>5280</v>
      </c>
      <c r="D215" s="820">
        <v>5250</v>
      </c>
      <c r="E215" s="820">
        <v>5520</v>
      </c>
      <c r="F215" s="834">
        <v>1000</v>
      </c>
    </row>
    <row r="216" spans="1:6" s="814" customFormat="1" ht="14.25" customHeight="1" thickBot="1">
      <c r="A216" s="826" t="s">
        <v>528</v>
      </c>
      <c r="B216" s="820" t="s">
        <v>297</v>
      </c>
      <c r="C216" s="820">
        <v>5100</v>
      </c>
      <c r="D216" s="820">
        <v>5050</v>
      </c>
      <c r="E216" s="820">
        <v>5300</v>
      </c>
      <c r="F216" s="834">
        <v>950</v>
      </c>
    </row>
    <row r="217" spans="1:6" s="814" customFormat="1" ht="14.25" customHeight="1" thickBot="1">
      <c r="A217" s="826" t="s">
        <v>528</v>
      </c>
      <c r="B217" s="820" t="s">
        <v>307</v>
      </c>
      <c r="C217" s="820">
        <v>5370</v>
      </c>
      <c r="D217" s="820">
        <v>5320</v>
      </c>
      <c r="E217" s="820">
        <v>5410</v>
      </c>
      <c r="F217" s="834">
        <v>950</v>
      </c>
    </row>
    <row r="218" spans="1:6" s="814" customFormat="1" ht="14.25" customHeight="1" thickBot="1">
      <c r="A218" s="826" t="s">
        <v>528</v>
      </c>
      <c r="B218" s="820" t="s">
        <v>317</v>
      </c>
      <c r="C218" s="820">
        <v>5540</v>
      </c>
      <c r="D218" s="820">
        <v>5480</v>
      </c>
      <c r="E218" s="820">
        <v>5740</v>
      </c>
      <c r="F218" s="834">
        <v>1020</v>
      </c>
    </row>
    <row r="219" spans="1:6" s="814" customFormat="1" ht="14.25" customHeight="1" thickBot="1">
      <c r="A219" s="826" t="s">
        <v>528</v>
      </c>
      <c r="B219" s="820" t="s">
        <v>328</v>
      </c>
      <c r="C219" s="820">
        <v>5140</v>
      </c>
      <c r="D219" s="820">
        <v>5100</v>
      </c>
      <c r="E219" s="820">
        <v>5350</v>
      </c>
      <c r="F219" s="834">
        <v>1120</v>
      </c>
    </row>
    <row r="220" spans="1:6" s="814" customFormat="1" ht="14.25" customHeight="1" thickBot="1">
      <c r="A220" s="826" t="s">
        <v>528</v>
      </c>
      <c r="B220" s="820" t="s">
        <v>339</v>
      </c>
      <c r="C220" s="820">
        <v>5040</v>
      </c>
      <c r="D220" s="820">
        <v>5000</v>
      </c>
      <c r="E220" s="820">
        <v>5240</v>
      </c>
      <c r="F220" s="834">
        <v>980</v>
      </c>
    </row>
    <row r="221" spans="1:6" s="814" customFormat="1" ht="14.25" customHeight="1" thickBot="1">
      <c r="A221" s="826" t="s">
        <v>528</v>
      </c>
      <c r="B221" s="820" t="s">
        <v>349</v>
      </c>
      <c r="C221" s="839"/>
      <c r="D221" s="839"/>
      <c r="E221" s="839"/>
      <c r="F221" s="834">
        <v>1070</v>
      </c>
    </row>
    <row r="222" spans="1:6" s="814" customFormat="1" ht="14.25" customHeight="1" thickBot="1">
      <c r="A222" s="826" t="s">
        <v>528</v>
      </c>
      <c r="B222" s="820" t="s">
        <v>359</v>
      </c>
      <c r="C222" s="839"/>
      <c r="D222" s="839"/>
      <c r="E222" s="839"/>
      <c r="F222" s="834">
        <v>870</v>
      </c>
    </row>
    <row r="223" spans="1:6" s="814" customFormat="1" ht="14.25" customHeight="1" thickBot="1">
      <c r="A223" s="826" t="s">
        <v>528</v>
      </c>
      <c r="B223" s="820" t="s">
        <v>369</v>
      </c>
      <c r="C223" s="839"/>
      <c r="D223" s="839"/>
      <c r="E223" s="839"/>
      <c r="F223" s="834">
        <v>940</v>
      </c>
    </row>
    <row r="224" spans="1:6" s="814" customFormat="1" ht="14.25" customHeight="1" thickBot="1">
      <c r="A224" s="826" t="s">
        <v>528</v>
      </c>
      <c r="B224" s="820" t="s">
        <v>379</v>
      </c>
      <c r="C224" s="839"/>
      <c r="D224" s="839"/>
      <c r="E224" s="839"/>
      <c r="F224" s="834">
        <v>990</v>
      </c>
    </row>
    <row r="225" spans="1:6" s="814" customFormat="1" ht="14.25" customHeight="1" thickBot="1">
      <c r="A225" s="826" t="s">
        <v>528</v>
      </c>
      <c r="B225" s="820" t="s">
        <v>388</v>
      </c>
      <c r="C225" s="820">
        <v>5730</v>
      </c>
      <c r="D225" s="820">
        <v>5680</v>
      </c>
      <c r="E225" s="820">
        <v>6020</v>
      </c>
      <c r="F225" s="834">
        <v>1000</v>
      </c>
    </row>
    <row r="226" spans="1:6" s="814" customFormat="1" ht="14.25" customHeight="1" thickBot="1">
      <c r="A226" s="826" t="s">
        <v>528</v>
      </c>
      <c r="B226" s="820" t="s">
        <v>397</v>
      </c>
      <c r="C226" s="820">
        <v>4970</v>
      </c>
      <c r="D226" s="820">
        <v>4940</v>
      </c>
      <c r="E226" s="820">
        <v>5180</v>
      </c>
      <c r="F226" s="834">
        <v>960</v>
      </c>
    </row>
    <row r="227" spans="1:6" s="814" customFormat="1" ht="14.25" customHeight="1" thickBot="1">
      <c r="A227" s="826" t="s">
        <v>528</v>
      </c>
      <c r="B227" s="820" t="s">
        <v>405</v>
      </c>
      <c r="C227" s="820">
        <v>5550</v>
      </c>
      <c r="D227" s="820">
        <v>5500</v>
      </c>
      <c r="E227" s="820">
        <v>5780</v>
      </c>
      <c r="F227" s="834">
        <v>940</v>
      </c>
    </row>
    <row r="228" spans="1:6" s="814" customFormat="1" ht="14.25" customHeight="1" thickBot="1">
      <c r="A228" s="826" t="s">
        <v>528</v>
      </c>
      <c r="B228" s="820" t="s">
        <v>412</v>
      </c>
      <c r="C228" s="820">
        <v>5460</v>
      </c>
      <c r="D228" s="820">
        <v>5420</v>
      </c>
      <c r="E228" s="820">
        <v>5690</v>
      </c>
      <c r="F228" s="834">
        <v>910</v>
      </c>
    </row>
    <row r="229" spans="1:6" s="814" customFormat="1" ht="14.25" customHeight="1" thickBot="1">
      <c r="A229" s="826" t="s">
        <v>528</v>
      </c>
      <c r="B229" s="820" t="s">
        <v>419</v>
      </c>
      <c r="C229" s="820">
        <v>5310</v>
      </c>
      <c r="D229" s="820">
        <v>5270</v>
      </c>
      <c r="E229" s="820">
        <v>5510</v>
      </c>
      <c r="F229" s="838"/>
    </row>
    <row r="230" spans="1:6" s="814" customFormat="1" ht="14.25" customHeight="1" thickBot="1">
      <c r="A230" s="826" t="s">
        <v>528</v>
      </c>
      <c r="B230" s="820" t="s">
        <v>426</v>
      </c>
      <c r="C230" s="820">
        <v>4540</v>
      </c>
      <c r="D230" s="820">
        <v>4500</v>
      </c>
      <c r="E230" s="820">
        <v>4730</v>
      </c>
      <c r="F230" s="838"/>
    </row>
    <row r="231" spans="1:6" s="814" customFormat="1" ht="14.25" customHeight="1" thickBot="1">
      <c r="A231" s="826" t="s">
        <v>528</v>
      </c>
      <c r="B231" s="820" t="s">
        <v>433</v>
      </c>
      <c r="C231" s="820">
        <v>4480</v>
      </c>
      <c r="D231" s="820">
        <v>4410</v>
      </c>
      <c r="E231" s="820">
        <v>4640</v>
      </c>
      <c r="F231" s="838"/>
    </row>
    <row r="232" spans="1:6" s="814" customFormat="1" ht="14.25" customHeight="1" thickBot="1">
      <c r="A232" s="826" t="s">
        <v>528</v>
      </c>
      <c r="B232" s="820" t="s">
        <v>440</v>
      </c>
      <c r="C232" s="820">
        <v>5670</v>
      </c>
      <c r="D232" s="820">
        <v>5600</v>
      </c>
      <c r="E232" s="820">
        <v>5890</v>
      </c>
      <c r="F232" s="834">
        <v>1150</v>
      </c>
    </row>
    <row r="233" spans="1:6" s="814" customFormat="1" ht="14.25" customHeight="1" thickBot="1">
      <c r="A233" s="826" t="s">
        <v>528</v>
      </c>
      <c r="B233" s="820" t="s">
        <v>447</v>
      </c>
      <c r="C233" s="820">
        <v>4590</v>
      </c>
      <c r="D233" s="820">
        <v>4500</v>
      </c>
      <c r="E233" s="820">
        <v>4600</v>
      </c>
      <c r="F233" s="838"/>
    </row>
    <row r="234" spans="1:6" s="814" customFormat="1" ht="14.25" customHeight="1" thickBot="1">
      <c r="A234" s="826" t="s">
        <v>528</v>
      </c>
      <c r="B234" s="820" t="s">
        <v>1053</v>
      </c>
      <c r="C234" s="820">
        <v>3990</v>
      </c>
      <c r="D234" s="820">
        <v>3950</v>
      </c>
      <c r="E234" s="820">
        <v>4180</v>
      </c>
      <c r="F234" s="838"/>
    </row>
    <row r="235" spans="1:6" s="814" customFormat="1" ht="14.25" customHeight="1" thickBot="1">
      <c r="A235" s="826" t="s">
        <v>528</v>
      </c>
      <c r="B235" s="820" t="s">
        <v>456</v>
      </c>
      <c r="C235" s="820">
        <v>5590</v>
      </c>
      <c r="D235" s="820">
        <v>5540</v>
      </c>
      <c r="E235" s="820">
        <v>5810</v>
      </c>
      <c r="F235" s="834">
        <v>970</v>
      </c>
    </row>
    <row r="236" spans="1:6" s="814" customFormat="1" ht="14.25" customHeight="1" thickBot="1">
      <c r="A236" s="826" t="s">
        <v>528</v>
      </c>
      <c r="B236" s="820" t="s">
        <v>461</v>
      </c>
      <c r="C236" s="820"/>
      <c r="D236" s="820"/>
      <c r="E236" s="820"/>
      <c r="F236" s="834">
        <v>1020</v>
      </c>
    </row>
    <row r="237" spans="1:6" s="814" customFormat="1" ht="14.25" customHeight="1" thickBot="1">
      <c r="A237" s="826" t="s">
        <v>528</v>
      </c>
      <c r="B237" s="820" t="s">
        <v>466</v>
      </c>
      <c r="C237" s="820"/>
      <c r="D237" s="820"/>
      <c r="E237" s="820"/>
      <c r="F237" s="834">
        <v>960</v>
      </c>
    </row>
    <row r="238" spans="1:6" s="814" customFormat="1" ht="14.25" customHeight="1" thickBot="1">
      <c r="A238" s="826" t="s">
        <v>528</v>
      </c>
      <c r="B238" s="820" t="s">
        <v>471</v>
      </c>
      <c r="C238" s="820"/>
      <c r="D238" s="820"/>
      <c r="E238" s="820"/>
      <c r="F238" s="834">
        <v>960</v>
      </c>
    </row>
    <row r="239" spans="1:6" s="814" customFormat="1" ht="14.25" customHeight="1" thickBot="1">
      <c r="A239" s="826" t="s">
        <v>528</v>
      </c>
      <c r="B239" s="820" t="s">
        <v>476</v>
      </c>
      <c r="C239" s="820"/>
      <c r="D239" s="820"/>
      <c r="E239" s="820"/>
      <c r="F239" s="834">
        <v>960</v>
      </c>
    </row>
    <row r="240" spans="1:6" s="814" customFormat="1" ht="14.25" customHeight="1" thickBot="1">
      <c r="A240" s="826" t="s">
        <v>528</v>
      </c>
      <c r="B240" s="820" t="s">
        <v>480</v>
      </c>
      <c r="C240" s="820"/>
      <c r="D240" s="820"/>
      <c r="E240" s="820"/>
      <c r="F240" s="834">
        <v>990</v>
      </c>
    </row>
    <row r="241" spans="1:6" s="814" customFormat="1" ht="14.25" customHeight="1" thickBot="1">
      <c r="A241" s="826" t="s">
        <v>528</v>
      </c>
      <c r="B241" s="820" t="s">
        <v>484</v>
      </c>
      <c r="C241" s="820"/>
      <c r="D241" s="820"/>
      <c r="E241" s="820"/>
      <c r="F241" s="834">
        <v>1000</v>
      </c>
    </row>
    <row r="242" spans="1:6" s="814" customFormat="1" ht="14.25" customHeight="1" thickBot="1">
      <c r="A242" s="826" t="s">
        <v>528</v>
      </c>
      <c r="B242" s="820" t="s">
        <v>488</v>
      </c>
      <c r="C242" s="820"/>
      <c r="D242" s="820"/>
      <c r="E242" s="820"/>
      <c r="F242" s="834">
        <v>980</v>
      </c>
    </row>
    <row r="243" spans="1:6" s="814" customFormat="1" ht="14.25" customHeight="1" thickBot="1">
      <c r="A243" s="826" t="s">
        <v>528</v>
      </c>
      <c r="B243" s="820" t="s">
        <v>492</v>
      </c>
      <c r="C243" s="820"/>
      <c r="D243" s="820"/>
      <c r="E243" s="820"/>
      <c r="F243" s="834">
        <v>970</v>
      </c>
    </row>
    <row r="244" spans="1:6" s="814" customFormat="1" ht="14.25" customHeight="1" thickBot="1">
      <c r="A244" s="826" t="s">
        <v>528</v>
      </c>
      <c r="B244" s="832" t="s">
        <v>496</v>
      </c>
      <c r="C244" s="832"/>
      <c r="D244" s="832"/>
      <c r="E244" s="832"/>
      <c r="F244" s="837">
        <v>970</v>
      </c>
    </row>
    <row r="245" spans="1:6" s="814" customFormat="1" ht="14.25" customHeight="1" thickBot="1">
      <c r="A245" s="826" t="s">
        <v>530</v>
      </c>
      <c r="B245" s="827" t="s">
        <v>531</v>
      </c>
      <c r="C245" s="827">
        <v>4050</v>
      </c>
      <c r="D245" s="827">
        <v>4020</v>
      </c>
      <c r="E245" s="827">
        <v>4160</v>
      </c>
      <c r="F245" s="828">
        <v>840</v>
      </c>
    </row>
    <row r="246" spans="1:6" s="814" customFormat="1" ht="14.25" customHeight="1" thickBot="1">
      <c r="A246" s="826" t="s">
        <v>530</v>
      </c>
      <c r="B246" s="820" t="s">
        <v>195</v>
      </c>
      <c r="C246" s="820">
        <v>4010</v>
      </c>
      <c r="D246" s="820">
        <v>3960</v>
      </c>
      <c r="E246" s="820">
        <v>4130</v>
      </c>
      <c r="F246" s="834">
        <v>840</v>
      </c>
    </row>
    <row r="247" spans="1:6" s="814" customFormat="1" ht="14.25" customHeight="1" thickBot="1">
      <c r="A247" s="826" t="s">
        <v>530</v>
      </c>
      <c r="B247" s="820" t="s">
        <v>532</v>
      </c>
      <c r="C247" s="820">
        <v>3170</v>
      </c>
      <c r="D247" s="820">
        <v>3140</v>
      </c>
      <c r="E247" s="820">
        <v>3270</v>
      </c>
      <c r="F247" s="834">
        <v>640</v>
      </c>
    </row>
    <row r="248" spans="1:6" s="814" customFormat="1" ht="14.25" customHeight="1" thickBot="1">
      <c r="A248" s="826" t="s">
        <v>530</v>
      </c>
      <c r="B248" s="820" t="s">
        <v>533</v>
      </c>
      <c r="C248" s="820">
        <v>3140</v>
      </c>
      <c r="D248" s="820">
        <v>3120</v>
      </c>
      <c r="E248" s="820">
        <v>3240</v>
      </c>
      <c r="F248" s="834">
        <v>620</v>
      </c>
    </row>
    <row r="249" spans="1:6" s="814" customFormat="1" ht="14.25" customHeight="1" thickBot="1">
      <c r="A249" s="826" t="s">
        <v>530</v>
      </c>
      <c r="B249" s="820" t="s">
        <v>233</v>
      </c>
      <c r="C249" s="820">
        <v>3200</v>
      </c>
      <c r="D249" s="820">
        <v>3100</v>
      </c>
      <c r="E249" s="820">
        <v>3230</v>
      </c>
      <c r="F249" s="834">
        <v>750</v>
      </c>
    </row>
    <row r="250" spans="1:6" s="814" customFormat="1" ht="14.25" customHeight="1" thickBot="1">
      <c r="A250" s="826" t="s">
        <v>530</v>
      </c>
      <c r="B250" s="820" t="s">
        <v>244</v>
      </c>
      <c r="C250" s="820">
        <v>4060</v>
      </c>
      <c r="D250" s="820">
        <v>4000</v>
      </c>
      <c r="E250" s="820">
        <v>4140</v>
      </c>
      <c r="F250" s="834">
        <v>790</v>
      </c>
    </row>
    <row r="251" spans="1:6" s="814" customFormat="1" ht="14.25" customHeight="1" thickBot="1">
      <c r="A251" s="826" t="s">
        <v>530</v>
      </c>
      <c r="B251" s="820" t="s">
        <v>255</v>
      </c>
      <c r="C251" s="820">
        <v>3990</v>
      </c>
      <c r="D251" s="820">
        <v>3970</v>
      </c>
      <c r="E251" s="820">
        <v>4110</v>
      </c>
      <c r="F251" s="834">
        <v>730</v>
      </c>
    </row>
    <row r="252" spans="1:6" s="814" customFormat="1" ht="14.25" customHeight="1" thickBot="1">
      <c r="A252" s="826" t="s">
        <v>530</v>
      </c>
      <c r="B252" s="820" t="s">
        <v>266</v>
      </c>
      <c r="C252" s="820">
        <v>3560</v>
      </c>
      <c r="D252" s="820">
        <v>3530</v>
      </c>
      <c r="E252" s="820">
        <v>3650</v>
      </c>
      <c r="F252" s="834">
        <v>750</v>
      </c>
    </row>
    <row r="253" spans="1:6" s="814" customFormat="1" ht="14.25" customHeight="1" thickBot="1">
      <c r="A253" s="826" t="s">
        <v>530</v>
      </c>
      <c r="B253" s="820" t="s">
        <v>278</v>
      </c>
      <c r="C253" s="820">
        <v>3780</v>
      </c>
      <c r="D253" s="820">
        <v>3750</v>
      </c>
      <c r="E253" s="820">
        <v>3870</v>
      </c>
      <c r="F253" s="834">
        <v>770</v>
      </c>
    </row>
    <row r="254" spans="1:6" s="814" customFormat="1" ht="14.25" customHeight="1" thickBot="1">
      <c r="A254" s="826" t="s">
        <v>530</v>
      </c>
      <c r="B254" s="820" t="s">
        <v>288</v>
      </c>
      <c r="C254" s="839"/>
      <c r="D254" s="839"/>
      <c r="E254" s="839"/>
      <c r="F254" s="834">
        <v>740</v>
      </c>
    </row>
    <row r="255" spans="1:6" s="814" customFormat="1" ht="14.25" customHeight="1" thickBot="1">
      <c r="A255" s="826" t="s">
        <v>530</v>
      </c>
      <c r="B255" s="820" t="s">
        <v>298</v>
      </c>
      <c r="C255" s="839"/>
      <c r="D255" s="839"/>
      <c r="E255" s="839"/>
      <c r="F255" s="834">
        <v>760</v>
      </c>
    </row>
    <row r="256" spans="1:6" s="814" customFormat="1" ht="14.25" customHeight="1" thickBot="1">
      <c r="A256" s="826" t="s">
        <v>530</v>
      </c>
      <c r="B256" s="820" t="s">
        <v>308</v>
      </c>
      <c r="C256" s="820">
        <v>3760</v>
      </c>
      <c r="D256" s="820">
        <v>3730</v>
      </c>
      <c r="E256" s="820">
        <v>3870</v>
      </c>
      <c r="F256" s="834">
        <v>830</v>
      </c>
    </row>
    <row r="257" spans="1:6" s="814" customFormat="1" ht="14.25" customHeight="1" thickBot="1">
      <c r="A257" s="826" t="s">
        <v>530</v>
      </c>
      <c r="B257" s="820" t="s">
        <v>318</v>
      </c>
      <c r="C257" s="820">
        <v>3570</v>
      </c>
      <c r="D257" s="820">
        <v>3540</v>
      </c>
      <c r="E257" s="820">
        <v>3650</v>
      </c>
      <c r="F257" s="834">
        <v>790</v>
      </c>
    </row>
    <row r="258" spans="1:6" s="814" customFormat="1" ht="14.25" customHeight="1" thickBot="1">
      <c r="A258" s="826" t="s">
        <v>530</v>
      </c>
      <c r="B258" s="820" t="s">
        <v>329</v>
      </c>
      <c r="C258" s="820">
        <v>3410</v>
      </c>
      <c r="D258" s="820">
        <v>3380</v>
      </c>
      <c r="E258" s="820">
        <v>3500</v>
      </c>
      <c r="F258" s="834">
        <v>830</v>
      </c>
    </row>
    <row r="259" spans="1:6" s="814" customFormat="1" ht="14.25" customHeight="1" thickBot="1">
      <c r="A259" s="826" t="s">
        <v>530</v>
      </c>
      <c r="B259" s="820" t="s">
        <v>340</v>
      </c>
      <c r="C259" s="820">
        <v>3870</v>
      </c>
      <c r="D259" s="820">
        <v>3840</v>
      </c>
      <c r="E259" s="820">
        <v>3970</v>
      </c>
      <c r="F259" s="834">
        <v>830</v>
      </c>
    </row>
    <row r="260" spans="1:6" s="814" customFormat="1" ht="14.25" customHeight="1" thickBot="1">
      <c r="A260" s="826" t="s">
        <v>530</v>
      </c>
      <c r="B260" s="820" t="s">
        <v>350</v>
      </c>
      <c r="C260" s="820">
        <v>3700</v>
      </c>
      <c r="D260" s="820">
        <v>3660</v>
      </c>
      <c r="E260" s="820">
        <v>3810</v>
      </c>
      <c r="F260" s="834">
        <v>790</v>
      </c>
    </row>
    <row r="261" spans="1:6" s="814" customFormat="1" ht="14.25" customHeight="1" thickBot="1">
      <c r="A261" s="826" t="s">
        <v>530</v>
      </c>
      <c r="B261" s="820" t="s">
        <v>360</v>
      </c>
      <c r="C261" s="820">
        <v>3470</v>
      </c>
      <c r="D261" s="820">
        <v>3430</v>
      </c>
      <c r="E261" s="820">
        <v>3640</v>
      </c>
      <c r="F261" s="834">
        <v>760</v>
      </c>
    </row>
    <row r="262" spans="1:6" s="814" customFormat="1" ht="14.25" customHeight="1" thickBot="1">
      <c r="A262" s="826" t="s">
        <v>530</v>
      </c>
      <c r="B262" s="820" t="s">
        <v>370</v>
      </c>
      <c r="C262" s="820">
        <v>3510</v>
      </c>
      <c r="D262" s="820">
        <v>3470</v>
      </c>
      <c r="E262" s="820">
        <v>3680</v>
      </c>
      <c r="F262" s="838"/>
    </row>
    <row r="263" spans="1:6" s="814" customFormat="1" ht="14.25" customHeight="1" thickBot="1">
      <c r="A263" s="826" t="s">
        <v>530</v>
      </c>
      <c r="B263" s="820" t="s">
        <v>380</v>
      </c>
      <c r="C263" s="820">
        <v>3960</v>
      </c>
      <c r="D263" s="820">
        <v>3930</v>
      </c>
      <c r="E263" s="820">
        <v>4070</v>
      </c>
      <c r="F263" s="834">
        <v>830</v>
      </c>
    </row>
    <row r="264" spans="1:6" s="814" customFormat="1" ht="14.25" customHeight="1" thickBot="1">
      <c r="A264" s="826" t="s">
        <v>530</v>
      </c>
      <c r="B264" s="820" t="s">
        <v>389</v>
      </c>
      <c r="C264" s="820">
        <v>4010</v>
      </c>
      <c r="D264" s="820">
        <v>3980</v>
      </c>
      <c r="E264" s="820">
        <v>4150</v>
      </c>
      <c r="F264" s="834">
        <v>760</v>
      </c>
    </row>
    <row r="265" spans="1:6" s="814" customFormat="1" ht="14.25" customHeight="1" thickBot="1">
      <c r="A265" s="826" t="s">
        <v>530</v>
      </c>
      <c r="B265" s="820" t="s">
        <v>398</v>
      </c>
      <c r="C265" s="820">
        <v>3910</v>
      </c>
      <c r="D265" s="820">
        <v>3890</v>
      </c>
      <c r="E265" s="820">
        <v>4040</v>
      </c>
      <c r="F265" s="834">
        <v>780</v>
      </c>
    </row>
    <row r="266" spans="1:6" s="814" customFormat="1" ht="14.25" customHeight="1" thickBot="1">
      <c r="A266" s="826" t="s">
        <v>530</v>
      </c>
      <c r="B266" s="820" t="s">
        <v>406</v>
      </c>
      <c r="C266" s="820">
        <v>3930</v>
      </c>
      <c r="D266" s="820">
        <v>3900</v>
      </c>
      <c r="E266" s="820">
        <v>4080</v>
      </c>
      <c r="F266" s="834">
        <v>770</v>
      </c>
    </row>
    <row r="267" spans="1:6" s="814" customFormat="1" ht="14.25" customHeight="1" thickBot="1">
      <c r="A267" s="826" t="s">
        <v>530</v>
      </c>
      <c r="B267" s="820" t="s">
        <v>413</v>
      </c>
      <c r="C267" s="820">
        <v>3800</v>
      </c>
      <c r="D267" s="820">
        <v>3780</v>
      </c>
      <c r="E267" s="820">
        <v>3930</v>
      </c>
      <c r="F267" s="838"/>
    </row>
    <row r="268" spans="1:6" s="814" customFormat="1" ht="14.25" customHeight="1" thickBot="1">
      <c r="A268" s="826" t="s">
        <v>530</v>
      </c>
      <c r="B268" s="820" t="s">
        <v>420</v>
      </c>
      <c r="C268" s="820">
        <v>3460</v>
      </c>
      <c r="D268" s="820">
        <v>3430</v>
      </c>
      <c r="E268" s="820">
        <v>3560</v>
      </c>
      <c r="F268" s="834">
        <v>840</v>
      </c>
    </row>
    <row r="269" spans="1:6" s="814" customFormat="1" ht="14.25" customHeight="1" thickBot="1">
      <c r="A269" s="826" t="s">
        <v>530</v>
      </c>
      <c r="B269" s="820" t="s">
        <v>427</v>
      </c>
      <c r="C269" s="820">
        <v>3210</v>
      </c>
      <c r="D269" s="820">
        <v>3190</v>
      </c>
      <c r="E269" s="820">
        <v>3310</v>
      </c>
      <c r="F269" s="834">
        <v>730</v>
      </c>
    </row>
    <row r="270" spans="1:6" s="814" customFormat="1" ht="14.25" customHeight="1" thickBot="1">
      <c r="A270" s="826" t="s">
        <v>530</v>
      </c>
      <c r="B270" s="820" t="s">
        <v>434</v>
      </c>
      <c r="C270" s="820">
        <v>3240</v>
      </c>
      <c r="D270" s="820">
        <v>3210</v>
      </c>
      <c r="E270" s="820">
        <v>3390</v>
      </c>
      <c r="F270" s="834">
        <v>820</v>
      </c>
    </row>
    <row r="271" spans="1:6" s="814" customFormat="1" ht="14.25" customHeight="1" thickBot="1">
      <c r="A271" s="826" t="s">
        <v>530</v>
      </c>
      <c r="B271" s="820" t="s">
        <v>441</v>
      </c>
      <c r="C271" s="820">
        <v>3300</v>
      </c>
      <c r="D271" s="820">
        <v>3270</v>
      </c>
      <c r="E271" s="820">
        <v>3380</v>
      </c>
      <c r="F271" s="834">
        <v>750</v>
      </c>
    </row>
    <row r="272" spans="1:6" s="814" customFormat="1" ht="14.25" customHeight="1" thickBot="1">
      <c r="A272" s="826" t="s">
        <v>530</v>
      </c>
      <c r="B272" s="820" t="s">
        <v>448</v>
      </c>
      <c r="C272" s="839"/>
      <c r="D272" s="839"/>
      <c r="E272" s="839"/>
      <c r="F272" s="834">
        <v>740</v>
      </c>
    </row>
    <row r="273" spans="1:6" s="814" customFormat="1" ht="14.25" customHeight="1" thickBot="1">
      <c r="A273" s="826" t="s">
        <v>530</v>
      </c>
      <c r="B273" s="820" t="s">
        <v>452</v>
      </c>
      <c r="C273" s="820">
        <v>3130</v>
      </c>
      <c r="D273" s="820">
        <v>3100</v>
      </c>
      <c r="E273" s="820">
        <v>3230</v>
      </c>
      <c r="F273" s="834">
        <v>700</v>
      </c>
    </row>
    <row r="274" spans="1:6" s="814" customFormat="1" ht="14.25" customHeight="1" thickBot="1">
      <c r="A274" s="826" t="s">
        <v>530</v>
      </c>
      <c r="B274" s="820" t="s">
        <v>457</v>
      </c>
      <c r="C274" s="820">
        <v>3460</v>
      </c>
      <c r="D274" s="820">
        <v>3430</v>
      </c>
      <c r="E274" s="820">
        <v>3560</v>
      </c>
      <c r="F274" s="834">
        <v>690</v>
      </c>
    </row>
    <row r="275" spans="1:6" s="814" customFormat="1" ht="14.25" customHeight="1" thickBot="1">
      <c r="A275" s="826" t="s">
        <v>530</v>
      </c>
      <c r="B275" s="820" t="s">
        <v>462</v>
      </c>
      <c r="C275" s="820">
        <v>4040</v>
      </c>
      <c r="D275" s="820">
        <v>4020</v>
      </c>
      <c r="E275" s="820">
        <v>4160</v>
      </c>
      <c r="F275" s="834">
        <v>820</v>
      </c>
    </row>
    <row r="276" spans="1:6" s="814" customFormat="1" ht="14.25" customHeight="1" thickBot="1">
      <c r="A276" s="826" t="s">
        <v>530</v>
      </c>
      <c r="B276" s="820" t="s">
        <v>467</v>
      </c>
      <c r="C276" s="820">
        <v>3270</v>
      </c>
      <c r="D276" s="820">
        <v>3240</v>
      </c>
      <c r="E276" s="820">
        <v>3350</v>
      </c>
      <c r="F276" s="834">
        <v>680</v>
      </c>
    </row>
    <row r="277" spans="1:6" s="814" customFormat="1" ht="14.25" customHeight="1" thickBot="1">
      <c r="A277" s="826" t="s">
        <v>530</v>
      </c>
      <c r="B277" s="820" t="s">
        <v>472</v>
      </c>
      <c r="C277" s="820">
        <v>2930</v>
      </c>
      <c r="D277" s="820">
        <v>2900</v>
      </c>
      <c r="E277" s="820">
        <v>3000</v>
      </c>
      <c r="F277" s="834">
        <v>640</v>
      </c>
    </row>
    <row r="278" spans="1:6" s="814" customFormat="1" ht="14.25" customHeight="1" thickBot="1">
      <c r="A278" s="826" t="s">
        <v>530</v>
      </c>
      <c r="B278" s="820" t="s">
        <v>477</v>
      </c>
      <c r="C278" s="820">
        <v>4080</v>
      </c>
      <c r="D278" s="820">
        <v>4030</v>
      </c>
      <c r="E278" s="820">
        <v>4140</v>
      </c>
      <c r="F278" s="834">
        <v>850</v>
      </c>
    </row>
    <row r="279" spans="1:6" s="814" customFormat="1" ht="14.25" customHeight="1" thickBot="1">
      <c r="A279" s="826" t="s">
        <v>530</v>
      </c>
      <c r="B279" s="820" t="s">
        <v>481</v>
      </c>
      <c r="C279" s="820"/>
      <c r="D279" s="820"/>
      <c r="E279" s="820"/>
      <c r="F279" s="834">
        <v>760</v>
      </c>
    </row>
    <row r="280" spans="1:6" s="814" customFormat="1" ht="14.25" customHeight="1" thickBot="1">
      <c r="A280" s="826" t="s">
        <v>530</v>
      </c>
      <c r="B280" s="820" t="s">
        <v>485</v>
      </c>
      <c r="C280" s="820"/>
      <c r="D280" s="820"/>
      <c r="E280" s="820"/>
      <c r="F280" s="834">
        <v>760</v>
      </c>
    </row>
    <row r="281" spans="1:6" s="814" customFormat="1" ht="14.25" customHeight="1" thickBot="1">
      <c r="A281" s="826" t="s">
        <v>530</v>
      </c>
      <c r="B281" s="820" t="s">
        <v>489</v>
      </c>
      <c r="C281" s="820"/>
      <c r="D281" s="820"/>
      <c r="E281" s="820"/>
      <c r="F281" s="834">
        <v>780</v>
      </c>
    </row>
    <row r="282" spans="1:6" s="814" customFormat="1" ht="14.25" customHeight="1" thickBot="1">
      <c r="A282" s="826" t="s">
        <v>530</v>
      </c>
      <c r="B282" s="820" t="s">
        <v>493</v>
      </c>
      <c r="C282" s="820"/>
      <c r="D282" s="820"/>
      <c r="E282" s="820"/>
      <c r="F282" s="834">
        <v>730</v>
      </c>
    </row>
    <row r="283" spans="1:6" s="814" customFormat="1" ht="14.25" customHeight="1" thickBot="1">
      <c r="A283" s="826" t="s">
        <v>530</v>
      </c>
      <c r="B283" s="820" t="s">
        <v>497</v>
      </c>
      <c r="C283" s="820"/>
      <c r="D283" s="820"/>
      <c r="E283" s="820"/>
      <c r="F283" s="834">
        <v>770</v>
      </c>
    </row>
    <row r="284" spans="1:6" s="814" customFormat="1" ht="14.25" customHeight="1" thickBot="1">
      <c r="A284" s="826" t="s">
        <v>530</v>
      </c>
      <c r="B284" s="820" t="s">
        <v>500</v>
      </c>
      <c r="C284" s="820"/>
      <c r="D284" s="820"/>
      <c r="E284" s="820"/>
      <c r="F284" s="834">
        <v>640</v>
      </c>
    </row>
    <row r="285" spans="1:6" s="814" customFormat="1" ht="14.25" customHeight="1" thickBot="1">
      <c r="A285" s="826" t="s">
        <v>530</v>
      </c>
      <c r="B285" s="820" t="s">
        <v>503</v>
      </c>
      <c r="C285" s="820"/>
      <c r="D285" s="820"/>
      <c r="E285" s="820"/>
      <c r="F285" s="834">
        <v>640</v>
      </c>
    </row>
    <row r="286" spans="1:6" s="814" customFormat="1" ht="14.25" customHeight="1" thickBot="1">
      <c r="A286" s="826" t="s">
        <v>530</v>
      </c>
      <c r="B286" s="820" t="s">
        <v>506</v>
      </c>
      <c r="C286" s="820"/>
      <c r="D286" s="820"/>
      <c r="E286" s="820"/>
      <c r="F286" s="834">
        <v>850</v>
      </c>
    </row>
    <row r="287" spans="1:6" s="814" customFormat="1" ht="14.25" customHeight="1" thickBot="1">
      <c r="A287" s="826" t="s">
        <v>530</v>
      </c>
      <c r="B287" s="820" t="s">
        <v>509</v>
      </c>
      <c r="C287" s="820"/>
      <c r="D287" s="820"/>
      <c r="E287" s="820"/>
      <c r="F287" s="834">
        <v>760</v>
      </c>
    </row>
    <row r="288" spans="1:6" s="814" customFormat="1" ht="14.25" customHeight="1" thickBot="1">
      <c r="A288" s="826" t="s">
        <v>530</v>
      </c>
      <c r="B288" s="820" t="s">
        <v>512</v>
      </c>
      <c r="C288" s="820"/>
      <c r="D288" s="820"/>
      <c r="E288" s="820"/>
      <c r="F288" s="834">
        <v>830</v>
      </c>
    </row>
    <row r="289" spans="1:6" s="814" customFormat="1" ht="14.25" customHeight="1" thickBot="1">
      <c r="A289" s="826" t="s">
        <v>530</v>
      </c>
      <c r="B289" s="832" t="s">
        <v>515</v>
      </c>
      <c r="C289" s="832"/>
      <c r="D289" s="832"/>
      <c r="E289" s="832"/>
      <c r="F289" s="837">
        <v>680</v>
      </c>
    </row>
    <row r="290" spans="1:6" s="814" customFormat="1" ht="14.25" customHeight="1" thickBot="1">
      <c r="A290" s="826" t="s">
        <v>534</v>
      </c>
      <c r="B290" s="827" t="s">
        <v>535</v>
      </c>
      <c r="C290" s="827">
        <v>2770</v>
      </c>
      <c r="D290" s="827">
        <v>2740</v>
      </c>
      <c r="E290" s="827">
        <v>2720</v>
      </c>
      <c r="F290" s="840"/>
    </row>
    <row r="291" spans="1:6" s="814" customFormat="1" ht="14.25" customHeight="1" thickBot="1">
      <c r="A291" s="826" t="s">
        <v>534</v>
      </c>
      <c r="B291" s="820" t="s">
        <v>196</v>
      </c>
      <c r="C291" s="820">
        <v>2670</v>
      </c>
      <c r="D291" s="820">
        <v>2640</v>
      </c>
      <c r="E291" s="820">
        <v>2620</v>
      </c>
      <c r="F291" s="838"/>
    </row>
    <row r="292" spans="1:6" s="814" customFormat="1" ht="14.25" customHeight="1" thickBot="1">
      <c r="A292" s="826" t="s">
        <v>534</v>
      </c>
      <c r="B292" s="820" t="s">
        <v>536</v>
      </c>
      <c r="C292" s="820">
        <v>2180</v>
      </c>
      <c r="D292" s="820">
        <v>2140</v>
      </c>
      <c r="E292" s="820">
        <v>2120</v>
      </c>
      <c r="F292" s="834">
        <v>490</v>
      </c>
    </row>
    <row r="293" spans="1:6" s="814" customFormat="1" ht="14.25" customHeight="1" thickBot="1">
      <c r="A293" s="826" t="s">
        <v>534</v>
      </c>
      <c r="B293" s="820" t="s">
        <v>537</v>
      </c>
      <c r="C293" s="820"/>
      <c r="D293" s="820"/>
      <c r="E293" s="820"/>
      <c r="F293" s="834">
        <v>470</v>
      </c>
    </row>
    <row r="294" spans="1:6" s="814" customFormat="1" ht="14.25" customHeight="1" thickBot="1">
      <c r="A294" s="826" t="s">
        <v>534</v>
      </c>
      <c r="B294" s="820" t="s">
        <v>538</v>
      </c>
      <c r="C294" s="820">
        <v>2730</v>
      </c>
      <c r="D294" s="820">
        <v>2700</v>
      </c>
      <c r="E294" s="820">
        <v>2680</v>
      </c>
      <c r="F294" s="834">
        <v>490</v>
      </c>
    </row>
    <row r="295" spans="1:6" s="814" customFormat="1" ht="14.25" customHeight="1" thickBot="1">
      <c r="A295" s="826" t="s">
        <v>534</v>
      </c>
      <c r="B295" s="820" t="s">
        <v>234</v>
      </c>
      <c r="C295" s="820">
        <v>2380</v>
      </c>
      <c r="D295" s="820">
        <v>2350</v>
      </c>
      <c r="E295" s="820">
        <v>2330</v>
      </c>
      <c r="F295" s="834">
        <v>530</v>
      </c>
    </row>
    <row r="296" spans="1:6" s="814" customFormat="1" ht="14.25" customHeight="1" thickBot="1">
      <c r="A296" s="826" t="s">
        <v>534</v>
      </c>
      <c r="B296" s="820" t="s">
        <v>245</v>
      </c>
      <c r="C296" s="820">
        <v>2650</v>
      </c>
      <c r="D296" s="820">
        <v>2620</v>
      </c>
      <c r="E296" s="820">
        <v>2590</v>
      </c>
      <c r="F296" s="834">
        <v>590</v>
      </c>
    </row>
    <row r="297" spans="1:6" s="814" customFormat="1" ht="14.25" customHeight="1" thickBot="1">
      <c r="A297" s="826" t="s">
        <v>534</v>
      </c>
      <c r="B297" s="820" t="s">
        <v>256</v>
      </c>
      <c r="C297" s="820">
        <v>2700</v>
      </c>
      <c r="D297" s="820">
        <v>2670</v>
      </c>
      <c r="E297" s="820">
        <v>2650</v>
      </c>
      <c r="F297" s="834">
        <v>630</v>
      </c>
    </row>
    <row r="298" spans="1:6" s="814" customFormat="1" ht="14.25" customHeight="1" thickBot="1">
      <c r="A298" s="826" t="s">
        <v>534</v>
      </c>
      <c r="B298" s="820" t="s">
        <v>267</v>
      </c>
      <c r="C298" s="820">
        <v>2650</v>
      </c>
      <c r="D298" s="820">
        <v>2620</v>
      </c>
      <c r="E298" s="820">
        <v>2590</v>
      </c>
      <c r="F298" s="834">
        <v>640</v>
      </c>
    </row>
    <row r="299" spans="1:6" s="814" customFormat="1" ht="14.25" customHeight="1" thickBot="1">
      <c r="A299" s="826" t="s">
        <v>534</v>
      </c>
      <c r="B299" s="820" t="s">
        <v>279</v>
      </c>
      <c r="C299" s="820">
        <v>2500</v>
      </c>
      <c r="D299" s="820">
        <v>2480</v>
      </c>
      <c r="E299" s="820">
        <v>2460</v>
      </c>
      <c r="F299" s="838"/>
    </row>
    <row r="300" spans="1:6" s="814" customFormat="1" ht="14.25" customHeight="1" thickBot="1">
      <c r="A300" s="826" t="s">
        <v>534</v>
      </c>
      <c r="B300" s="820" t="s">
        <v>289</v>
      </c>
      <c r="C300" s="820">
        <v>2760</v>
      </c>
      <c r="D300" s="820">
        <v>2730</v>
      </c>
      <c r="E300" s="820">
        <v>2700</v>
      </c>
      <c r="F300" s="834">
        <v>630</v>
      </c>
    </row>
    <row r="301" spans="1:6" s="814" customFormat="1" ht="14.25" customHeight="1" thickBot="1">
      <c r="A301" s="826" t="s">
        <v>534</v>
      </c>
      <c r="B301" s="820" t="s">
        <v>299</v>
      </c>
      <c r="C301" s="820">
        <v>2510</v>
      </c>
      <c r="D301" s="820">
        <v>2480</v>
      </c>
      <c r="E301" s="820">
        <v>2460</v>
      </c>
      <c r="F301" s="838"/>
    </row>
    <row r="302" spans="1:6" s="814" customFormat="1" ht="14.25" customHeight="1" thickBot="1">
      <c r="A302" s="826" t="s">
        <v>534</v>
      </c>
      <c r="B302" s="820" t="s">
        <v>309</v>
      </c>
      <c r="C302" s="820">
        <v>2480</v>
      </c>
      <c r="D302" s="820">
        <v>2450</v>
      </c>
      <c r="E302" s="820">
        <v>2420</v>
      </c>
      <c r="F302" s="834">
        <v>600</v>
      </c>
    </row>
    <row r="303" spans="1:6" s="814" customFormat="1" ht="14.25" customHeight="1" thickBot="1">
      <c r="A303" s="826" t="s">
        <v>534</v>
      </c>
      <c r="B303" s="820" t="s">
        <v>319</v>
      </c>
      <c r="C303" s="820">
        <v>2270</v>
      </c>
      <c r="D303" s="820">
        <v>2240</v>
      </c>
      <c r="E303" s="820">
        <v>2210</v>
      </c>
      <c r="F303" s="834">
        <v>540</v>
      </c>
    </row>
    <row r="304" spans="1:6" s="814" customFormat="1" ht="14.25" customHeight="1" thickBot="1">
      <c r="A304" s="826" t="s">
        <v>534</v>
      </c>
      <c r="B304" s="820" t="s">
        <v>330</v>
      </c>
      <c r="C304" s="820">
        <v>2310</v>
      </c>
      <c r="D304" s="820">
        <v>2290</v>
      </c>
      <c r="E304" s="820">
        <v>2270</v>
      </c>
      <c r="F304" s="838"/>
    </row>
    <row r="305" spans="1:6" s="814" customFormat="1" ht="14.25" customHeight="1" thickBot="1">
      <c r="A305" s="826" t="s">
        <v>534</v>
      </c>
      <c r="B305" s="820" t="s">
        <v>341</v>
      </c>
      <c r="C305" s="820">
        <v>2490</v>
      </c>
      <c r="D305" s="820">
        <v>2470</v>
      </c>
      <c r="E305" s="820">
        <v>2440</v>
      </c>
      <c r="F305" s="834">
        <v>560</v>
      </c>
    </row>
    <row r="306" spans="1:6" s="814" customFormat="1" ht="14.25" customHeight="1" thickBot="1">
      <c r="A306" s="826" t="s">
        <v>534</v>
      </c>
      <c r="B306" s="820" t="s">
        <v>351</v>
      </c>
      <c r="C306" s="820">
        <v>2420</v>
      </c>
      <c r="D306" s="820">
        <v>2400</v>
      </c>
      <c r="E306" s="820">
        <v>2380</v>
      </c>
      <c r="F306" s="838"/>
    </row>
    <row r="307" spans="1:6" s="814" customFormat="1" ht="14.25" customHeight="1" thickBot="1">
      <c r="A307" s="826" t="s">
        <v>534</v>
      </c>
      <c r="B307" s="820" t="s">
        <v>361</v>
      </c>
      <c r="C307" s="820">
        <v>2770</v>
      </c>
      <c r="D307" s="820">
        <v>2740</v>
      </c>
      <c r="E307" s="820">
        <v>2710</v>
      </c>
      <c r="F307" s="834">
        <v>650</v>
      </c>
    </row>
    <row r="308" spans="1:6" s="814" customFormat="1" ht="14.25" customHeight="1" thickBot="1">
      <c r="A308" s="826" t="s">
        <v>534</v>
      </c>
      <c r="B308" s="820" t="s">
        <v>371</v>
      </c>
      <c r="C308" s="820">
        <v>2610</v>
      </c>
      <c r="D308" s="820">
        <v>2580</v>
      </c>
      <c r="E308" s="820">
        <v>2550</v>
      </c>
      <c r="F308" s="834">
        <v>580</v>
      </c>
    </row>
    <row r="309" spans="1:6" s="814" customFormat="1" ht="14.25" customHeight="1" thickBot="1">
      <c r="A309" s="826" t="s">
        <v>534</v>
      </c>
      <c r="B309" s="820" t="s">
        <v>381</v>
      </c>
      <c r="C309" s="820">
        <v>2690</v>
      </c>
      <c r="D309" s="820">
        <v>2670</v>
      </c>
      <c r="E309" s="820">
        <v>2650</v>
      </c>
      <c r="F309" s="838"/>
    </row>
    <row r="310" spans="1:6" s="814" customFormat="1" ht="14.25" customHeight="1" thickBot="1">
      <c r="A310" s="826" t="s">
        <v>534</v>
      </c>
      <c r="B310" s="820" t="s">
        <v>390</v>
      </c>
      <c r="C310" s="820">
        <v>2360</v>
      </c>
      <c r="D310" s="820">
        <v>2330</v>
      </c>
      <c r="E310" s="820">
        <v>2310</v>
      </c>
      <c r="F310" s="834">
        <v>560</v>
      </c>
    </row>
    <row r="311" spans="1:6" s="814" customFormat="1" ht="14.25" customHeight="1" thickBot="1">
      <c r="A311" s="826" t="s">
        <v>534</v>
      </c>
      <c r="B311" s="820" t="s">
        <v>399</v>
      </c>
      <c r="C311" s="820">
        <v>1970</v>
      </c>
      <c r="D311" s="820">
        <v>1950</v>
      </c>
      <c r="E311" s="820">
        <v>1920</v>
      </c>
      <c r="F311" s="834">
        <v>470</v>
      </c>
    </row>
    <row r="312" spans="1:6" s="814" customFormat="1" ht="14.25" customHeight="1" thickBot="1">
      <c r="A312" s="826" t="s">
        <v>534</v>
      </c>
      <c r="B312" s="820" t="s">
        <v>407</v>
      </c>
      <c r="C312" s="820">
        <v>2230</v>
      </c>
      <c r="D312" s="820">
        <v>2200</v>
      </c>
      <c r="E312" s="820">
        <v>2170</v>
      </c>
      <c r="F312" s="834">
        <v>460</v>
      </c>
    </row>
    <row r="313" spans="1:6" s="814" customFormat="1" ht="14.25" customHeight="1" thickBot="1">
      <c r="A313" s="826" t="s">
        <v>534</v>
      </c>
      <c r="B313" s="820" t="s">
        <v>414</v>
      </c>
      <c r="C313" s="820">
        <v>2770</v>
      </c>
      <c r="D313" s="820">
        <v>2740</v>
      </c>
      <c r="E313" s="820">
        <v>2710</v>
      </c>
      <c r="F313" s="834">
        <v>610</v>
      </c>
    </row>
    <row r="314" spans="1:6" s="814" customFormat="1" ht="14.25" customHeight="1" thickBot="1">
      <c r="A314" s="826" t="s">
        <v>534</v>
      </c>
      <c r="B314" s="820" t="s">
        <v>421</v>
      </c>
      <c r="C314" s="820"/>
      <c r="D314" s="820"/>
      <c r="E314" s="820"/>
      <c r="F314" s="834">
        <v>490</v>
      </c>
    </row>
    <row r="315" spans="1:6" s="814" customFormat="1" ht="14.25" customHeight="1" thickBot="1">
      <c r="A315" s="826" t="s">
        <v>534</v>
      </c>
      <c r="B315" s="820" t="s">
        <v>428</v>
      </c>
      <c r="C315" s="820"/>
      <c r="D315" s="820"/>
      <c r="E315" s="820"/>
      <c r="F315" s="834">
        <v>520</v>
      </c>
    </row>
    <row r="316" spans="1:6" s="814" customFormat="1" ht="14.25" customHeight="1" thickBot="1">
      <c r="A316" s="826" t="s">
        <v>534</v>
      </c>
      <c r="B316" s="832" t="s">
        <v>435</v>
      </c>
      <c r="C316" s="832"/>
      <c r="D316" s="832"/>
      <c r="E316" s="832"/>
      <c r="F316" s="837">
        <v>460</v>
      </c>
    </row>
    <row r="317" spans="1:6" s="814" customFormat="1" ht="14.25" customHeight="1" thickBot="1">
      <c r="A317" s="826" t="s">
        <v>321</v>
      </c>
      <c r="B317" s="827" t="s">
        <v>539</v>
      </c>
      <c r="C317" s="827">
        <v>1200</v>
      </c>
      <c r="D317" s="827">
        <v>1180</v>
      </c>
      <c r="E317" s="827">
        <v>1160</v>
      </c>
      <c r="F317" s="828">
        <v>370</v>
      </c>
    </row>
    <row r="318" spans="1:6" s="814" customFormat="1" ht="14.25" customHeight="1" thickBot="1">
      <c r="A318" s="826" t="s">
        <v>321</v>
      </c>
      <c r="B318" s="820" t="s">
        <v>540</v>
      </c>
      <c r="C318" s="820">
        <v>1090</v>
      </c>
      <c r="D318" s="820">
        <v>1060</v>
      </c>
      <c r="E318" s="820">
        <v>1040</v>
      </c>
      <c r="F318" s="838"/>
    </row>
    <row r="319" spans="1:6" s="814" customFormat="1" ht="14.25" customHeight="1" thickBot="1">
      <c r="A319" s="826" t="s">
        <v>321</v>
      </c>
      <c r="B319" s="820" t="s">
        <v>541</v>
      </c>
      <c r="C319" s="820">
        <v>1520</v>
      </c>
      <c r="D319" s="820">
        <v>1470</v>
      </c>
      <c r="E319" s="820">
        <v>1440</v>
      </c>
      <c r="F319" s="834">
        <v>370</v>
      </c>
    </row>
    <row r="320" spans="1:6" s="814" customFormat="1" ht="14.25" customHeight="1" thickBot="1">
      <c r="A320" s="826" t="s">
        <v>321</v>
      </c>
      <c r="B320" s="820" t="s">
        <v>223</v>
      </c>
      <c r="C320" s="820">
        <v>1360</v>
      </c>
      <c r="D320" s="820">
        <v>1300</v>
      </c>
      <c r="E320" s="820">
        <v>1270</v>
      </c>
      <c r="F320" s="838"/>
    </row>
    <row r="321" spans="1:6" s="814" customFormat="1" ht="14.25" customHeight="1" thickBot="1">
      <c r="A321" s="826" t="s">
        <v>321</v>
      </c>
      <c r="B321" s="820" t="s">
        <v>235</v>
      </c>
      <c r="C321" s="820">
        <v>1750</v>
      </c>
      <c r="D321" s="820">
        <v>1690</v>
      </c>
      <c r="E321" s="820">
        <v>1660</v>
      </c>
      <c r="F321" s="838"/>
    </row>
    <row r="322" spans="1:6" s="814" customFormat="1" ht="14.25" customHeight="1" thickBot="1">
      <c r="A322" s="826" t="s">
        <v>321</v>
      </c>
      <c r="B322" s="820" t="s">
        <v>246</v>
      </c>
      <c r="C322" s="820">
        <v>1650</v>
      </c>
      <c r="D322" s="820">
        <v>1610</v>
      </c>
      <c r="E322" s="820">
        <v>1580</v>
      </c>
      <c r="F322" s="834">
        <v>500</v>
      </c>
    </row>
    <row r="323" spans="1:6" s="814" customFormat="1" ht="14.25" customHeight="1" thickBot="1">
      <c r="A323" s="826" t="s">
        <v>321</v>
      </c>
      <c r="B323" s="820" t="s">
        <v>257</v>
      </c>
      <c r="C323" s="820">
        <v>1780</v>
      </c>
      <c r="D323" s="820">
        <v>1740</v>
      </c>
      <c r="E323" s="820">
        <v>1720</v>
      </c>
      <c r="F323" s="838"/>
    </row>
    <row r="324" spans="1:6" s="814" customFormat="1" ht="14.25" customHeight="1" thickBot="1">
      <c r="A324" s="826" t="s">
        <v>321</v>
      </c>
      <c r="B324" s="820" t="s">
        <v>268</v>
      </c>
      <c r="C324" s="820">
        <v>1650</v>
      </c>
      <c r="D324" s="820">
        <v>1610</v>
      </c>
      <c r="E324" s="820">
        <v>1580</v>
      </c>
      <c r="F324" s="838"/>
    </row>
    <row r="325" spans="1:6" s="814" customFormat="1" ht="14.25" customHeight="1" thickBot="1">
      <c r="A325" s="826" t="s">
        <v>321</v>
      </c>
      <c r="B325" s="820" t="s">
        <v>280</v>
      </c>
      <c r="C325" s="820">
        <v>1330</v>
      </c>
      <c r="D325" s="820">
        <v>1270</v>
      </c>
      <c r="E325" s="820">
        <v>1240</v>
      </c>
      <c r="F325" s="834">
        <v>430</v>
      </c>
    </row>
    <row r="326" spans="1:6" s="814" customFormat="1" ht="14.25" customHeight="1" thickBot="1">
      <c r="A326" s="826" t="s">
        <v>321</v>
      </c>
      <c r="B326" s="820" t="s">
        <v>290</v>
      </c>
      <c r="C326" s="820">
        <v>1470</v>
      </c>
      <c r="D326" s="820">
        <v>1430</v>
      </c>
      <c r="E326" s="820">
        <v>1400</v>
      </c>
      <c r="F326" s="838"/>
    </row>
    <row r="327" spans="1:6" s="814" customFormat="1" ht="14.25" customHeight="1" thickBot="1">
      <c r="A327" s="826" t="s">
        <v>321</v>
      </c>
      <c r="B327" s="820" t="s">
        <v>300</v>
      </c>
      <c r="C327" s="820">
        <v>1420</v>
      </c>
      <c r="D327" s="820">
        <v>1380</v>
      </c>
      <c r="E327" s="820">
        <v>1360</v>
      </c>
      <c r="F327" s="834">
        <v>420</v>
      </c>
    </row>
    <row r="328" spans="1:6" s="814" customFormat="1" ht="14.25" customHeight="1" thickBot="1">
      <c r="A328" s="826" t="s">
        <v>321</v>
      </c>
      <c r="B328" s="820" t="s">
        <v>310</v>
      </c>
      <c r="C328" s="820">
        <v>1400</v>
      </c>
      <c r="D328" s="820">
        <v>1360</v>
      </c>
      <c r="E328" s="820">
        <v>1330</v>
      </c>
      <c r="F328" s="834">
        <v>460</v>
      </c>
    </row>
    <row r="329" spans="1:6" s="814" customFormat="1" ht="14.25" customHeight="1" thickBot="1">
      <c r="A329" s="826" t="s">
        <v>321</v>
      </c>
      <c r="B329" s="820" t="s">
        <v>320</v>
      </c>
      <c r="C329" s="820">
        <v>1640</v>
      </c>
      <c r="D329" s="820">
        <v>1610</v>
      </c>
      <c r="E329" s="820">
        <v>1580</v>
      </c>
      <c r="F329" s="834">
        <v>410</v>
      </c>
    </row>
    <row r="330" spans="1:6" s="814" customFormat="1" ht="14.25" customHeight="1" thickBot="1">
      <c r="A330" s="826" t="s">
        <v>321</v>
      </c>
      <c r="B330" s="820" t="s">
        <v>331</v>
      </c>
      <c r="C330" s="820">
        <v>1260</v>
      </c>
      <c r="D330" s="820">
        <v>1220</v>
      </c>
      <c r="E330" s="820">
        <v>1200</v>
      </c>
      <c r="F330" s="838"/>
    </row>
    <row r="331" spans="1:6" s="814" customFormat="1" ht="14.25" customHeight="1" thickBot="1">
      <c r="A331" s="826" t="s">
        <v>321</v>
      </c>
      <c r="B331" s="820" t="s">
        <v>342</v>
      </c>
      <c r="C331" s="820">
        <v>1620</v>
      </c>
      <c r="D331" s="820">
        <v>1560</v>
      </c>
      <c r="E331" s="820">
        <v>1530</v>
      </c>
      <c r="F331" s="834">
        <v>490</v>
      </c>
    </row>
    <row r="332" spans="1:6" s="814" customFormat="1" ht="14.25" customHeight="1" thickBot="1">
      <c r="A332" s="826" t="s">
        <v>321</v>
      </c>
      <c r="B332" s="820" t="s">
        <v>352</v>
      </c>
      <c r="C332" s="820">
        <v>1520</v>
      </c>
      <c r="D332" s="820">
        <v>1470</v>
      </c>
      <c r="E332" s="820">
        <v>1440</v>
      </c>
      <c r="F332" s="834">
        <v>440</v>
      </c>
    </row>
    <row r="333" spans="1:6" s="814" customFormat="1" ht="14.25" customHeight="1" thickBot="1">
      <c r="A333" s="826" t="s">
        <v>321</v>
      </c>
      <c r="B333" s="820" t="s">
        <v>362</v>
      </c>
      <c r="C333" s="820">
        <v>1370</v>
      </c>
      <c r="D333" s="820">
        <v>1320</v>
      </c>
      <c r="E333" s="820">
        <v>1300</v>
      </c>
      <c r="F333" s="834">
        <v>460</v>
      </c>
    </row>
    <row r="334" spans="1:6" s="814" customFormat="1" ht="14.25" customHeight="1" thickBot="1">
      <c r="A334" s="826" t="s">
        <v>321</v>
      </c>
      <c r="B334" s="820" t="s">
        <v>372</v>
      </c>
      <c r="C334" s="820">
        <v>1410</v>
      </c>
      <c r="D334" s="820">
        <v>1340</v>
      </c>
      <c r="E334" s="820">
        <v>1310</v>
      </c>
      <c r="F334" s="834">
        <v>410</v>
      </c>
    </row>
    <row r="335" spans="1:6" s="814" customFormat="1" ht="14.25" customHeight="1" thickBot="1">
      <c r="A335" s="826" t="s">
        <v>321</v>
      </c>
      <c r="B335" s="820" t="s">
        <v>382</v>
      </c>
      <c r="C335" s="820">
        <v>1260</v>
      </c>
      <c r="D335" s="820">
        <v>1220</v>
      </c>
      <c r="E335" s="820">
        <v>1200</v>
      </c>
      <c r="F335" s="838"/>
    </row>
    <row r="336" spans="1:6" s="814" customFormat="1" ht="14.25" customHeight="1" thickBot="1">
      <c r="A336" s="826" t="s">
        <v>321</v>
      </c>
      <c r="B336" s="820" t="s">
        <v>391</v>
      </c>
      <c r="C336" s="820">
        <v>1160</v>
      </c>
      <c r="D336" s="820">
        <v>1140</v>
      </c>
      <c r="E336" s="820">
        <v>1120</v>
      </c>
      <c r="F336" s="834">
        <v>430</v>
      </c>
    </row>
    <row r="337" spans="1:6" s="814" customFormat="1" ht="14.25" customHeight="1" thickBot="1">
      <c r="A337" s="826" t="s">
        <v>321</v>
      </c>
      <c r="B337" s="832" t="s">
        <v>400</v>
      </c>
      <c r="C337" s="832"/>
      <c r="D337" s="832"/>
      <c r="E337" s="832"/>
      <c r="F337" s="837">
        <v>380</v>
      </c>
    </row>
    <row r="338" spans="1:6" s="814" customFormat="1" ht="14.25" customHeight="1" thickBot="1">
      <c r="A338" s="826" t="s">
        <v>332</v>
      </c>
      <c r="B338" s="827" t="s">
        <v>542</v>
      </c>
      <c r="C338" s="827">
        <v>880</v>
      </c>
      <c r="D338" s="827">
        <v>850</v>
      </c>
      <c r="E338" s="827">
        <v>830</v>
      </c>
      <c r="F338" s="840"/>
    </row>
    <row r="339" spans="1:6" s="814" customFormat="1" ht="14.25" customHeight="1" thickBot="1">
      <c r="A339" s="826" t="s">
        <v>332</v>
      </c>
      <c r="B339" s="820" t="s">
        <v>543</v>
      </c>
      <c r="C339" s="820">
        <v>830</v>
      </c>
      <c r="D339" s="820">
        <v>800</v>
      </c>
      <c r="E339" s="820">
        <v>780</v>
      </c>
      <c r="F339" s="838"/>
    </row>
    <row r="340" spans="1:6" s="814" customFormat="1" ht="14.25" customHeight="1" thickBot="1">
      <c r="A340" s="826" t="s">
        <v>332</v>
      </c>
      <c r="B340" s="820" t="s">
        <v>544</v>
      </c>
      <c r="C340" s="820">
        <v>980</v>
      </c>
      <c r="D340" s="820">
        <v>950</v>
      </c>
      <c r="E340" s="820">
        <v>920</v>
      </c>
      <c r="F340" s="838"/>
    </row>
    <row r="341" spans="1:6" s="814" customFormat="1" ht="14.25" customHeight="1" thickBot="1">
      <c r="A341" s="826" t="s">
        <v>332</v>
      </c>
      <c r="B341" s="820" t="s">
        <v>545</v>
      </c>
      <c r="C341" s="820">
        <v>760</v>
      </c>
      <c r="D341" s="820">
        <v>720</v>
      </c>
      <c r="E341" s="820">
        <v>690</v>
      </c>
      <c r="F341" s="834">
        <v>350</v>
      </c>
    </row>
    <row r="342" spans="1:6" s="814" customFormat="1" ht="14.25" customHeight="1" thickBot="1">
      <c r="A342" s="826" t="s">
        <v>332</v>
      </c>
      <c r="B342" s="820" t="s">
        <v>236</v>
      </c>
      <c r="C342" s="820">
        <v>910</v>
      </c>
      <c r="D342" s="820">
        <v>870</v>
      </c>
      <c r="E342" s="820">
        <v>850</v>
      </c>
      <c r="F342" s="834">
        <v>370</v>
      </c>
    </row>
    <row r="343" spans="1:6" s="814" customFormat="1" ht="14.25" customHeight="1" thickBot="1">
      <c r="A343" s="826" t="s">
        <v>332</v>
      </c>
      <c r="B343" s="820" t="s">
        <v>247</v>
      </c>
      <c r="C343" s="820">
        <v>800</v>
      </c>
      <c r="D343" s="820">
        <v>760</v>
      </c>
      <c r="E343" s="820">
        <v>730</v>
      </c>
      <c r="F343" s="834">
        <v>340</v>
      </c>
    </row>
    <row r="344" spans="1:6" s="814" customFormat="1" ht="14.25" customHeight="1" thickBot="1">
      <c r="A344" s="826" t="s">
        <v>332</v>
      </c>
      <c r="B344" s="832" t="s">
        <v>258</v>
      </c>
      <c r="C344" s="832">
        <v>720</v>
      </c>
      <c r="D344" s="832">
        <v>690</v>
      </c>
      <c r="E344" s="832">
        <v>660</v>
      </c>
      <c r="F344" s="83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1" customWidth="1"/>
    <col min="2" max="2" width="10.25" style="799" customWidth="1"/>
  </cols>
  <sheetData>
    <row r="1" spans="1:6">
      <c r="A1" s="3402" t="s">
        <v>871</v>
      </c>
      <c r="B1" s="3402"/>
    </row>
    <row r="2" spans="1:6" ht="14.25" thickBot="1">
      <c r="A2" s="1045"/>
      <c r="B2" s="1045"/>
    </row>
    <row r="3" spans="1:6" ht="14.25" thickBot="1">
      <c r="A3" s="1045"/>
      <c r="B3" s="1045"/>
      <c r="C3" s="1049" t="s">
        <v>874</v>
      </c>
      <c r="D3" s="1049" t="s">
        <v>875</v>
      </c>
      <c r="E3" s="1049" t="s">
        <v>876</v>
      </c>
      <c r="F3" s="1049" t="s">
        <v>877</v>
      </c>
    </row>
    <row r="4" spans="1:6" ht="14.25" thickBot="1">
      <c r="A4" s="1047" t="s">
        <v>872</v>
      </c>
      <c r="B4" s="1048" t="s">
        <v>873</v>
      </c>
      <c r="C4" s="1049"/>
      <c r="D4" s="1049"/>
      <c r="E4" s="1049"/>
      <c r="F4" s="1049"/>
    </row>
    <row r="5" spans="1:6" ht="14.25" thickBot="1">
      <c r="A5" s="826" t="s">
        <v>878</v>
      </c>
      <c r="B5" s="827" t="s">
        <v>879</v>
      </c>
      <c r="C5" s="1050">
        <v>8.8999999999999996E-2</v>
      </c>
      <c r="D5" s="1050">
        <v>7.3999999999999996E-2</v>
      </c>
      <c r="E5" s="1050">
        <v>7.4999999999999997E-2</v>
      </c>
      <c r="F5" s="1051">
        <v>0.1</v>
      </c>
    </row>
    <row r="6" spans="1:6" ht="14.25" thickBot="1">
      <c r="A6" s="826" t="s">
        <v>212</v>
      </c>
      <c r="B6" s="820" t="s">
        <v>880</v>
      </c>
      <c r="C6" s="1052">
        <v>0.1</v>
      </c>
      <c r="D6" s="1052">
        <v>9.0999999999999998E-2</v>
      </c>
      <c r="E6" s="1052">
        <v>9.0999999999999998E-2</v>
      </c>
      <c r="F6" s="1053">
        <v>0.1</v>
      </c>
    </row>
    <row r="7" spans="1:6" ht="14.25" thickBot="1">
      <c r="A7" s="826" t="s">
        <v>212</v>
      </c>
      <c r="B7" s="830" t="s">
        <v>201</v>
      </c>
      <c r="C7" s="1052">
        <v>8.5999999999999993E-2</v>
      </c>
      <c r="D7" s="1052">
        <v>9.6000000000000002E-2</v>
      </c>
      <c r="E7" s="1052">
        <v>7.5999999999999998E-2</v>
      </c>
      <c r="F7" s="1053">
        <v>0.1</v>
      </c>
    </row>
    <row r="8" spans="1:6" ht="14.25" thickBot="1">
      <c r="A8" s="826" t="s">
        <v>212</v>
      </c>
      <c r="B8" s="820" t="s">
        <v>213</v>
      </c>
      <c r="C8" s="1052">
        <v>9.9000000000000005E-2</v>
      </c>
      <c r="D8" s="1052">
        <v>9.8000000000000004E-2</v>
      </c>
      <c r="E8" s="1052">
        <v>9.8000000000000004E-2</v>
      </c>
      <c r="F8" s="1053">
        <v>0.1</v>
      </c>
    </row>
    <row r="9" spans="1:6" ht="14.25" thickBot="1">
      <c r="A9" s="836" t="s">
        <v>212</v>
      </c>
      <c r="B9" s="831" t="s">
        <v>225</v>
      </c>
      <c r="C9" s="1054">
        <v>0.05</v>
      </c>
      <c r="D9" s="1062"/>
      <c r="E9" s="1062"/>
      <c r="F9" s="1063"/>
    </row>
    <row r="10" spans="1:6" ht="14.25" thickBot="1">
      <c r="A10" s="826" t="s">
        <v>269</v>
      </c>
      <c r="B10" s="827" t="s">
        <v>881</v>
      </c>
      <c r="C10" s="1050">
        <v>8.8999999999999996E-2</v>
      </c>
      <c r="D10" s="1050">
        <v>7.2999999999999995E-2</v>
      </c>
      <c r="E10" s="1050">
        <v>8.2000000000000003E-2</v>
      </c>
      <c r="F10" s="1051">
        <v>0.1</v>
      </c>
    </row>
    <row r="11" spans="1:6" ht="14.25" thickBot="1">
      <c r="A11" s="826" t="s">
        <v>269</v>
      </c>
      <c r="B11" s="830" t="s">
        <v>188</v>
      </c>
      <c r="C11" s="1052">
        <v>8.8999999999999996E-2</v>
      </c>
      <c r="D11" s="1052">
        <v>7.2999999999999995E-2</v>
      </c>
      <c r="E11" s="1052">
        <v>8.2000000000000003E-2</v>
      </c>
      <c r="F11" s="1053">
        <v>0.1</v>
      </c>
    </row>
    <row r="12" spans="1:6" ht="14.25" thickBot="1">
      <c r="A12" s="826" t="s">
        <v>269</v>
      </c>
      <c r="B12" s="830" t="s">
        <v>138</v>
      </c>
      <c r="C12" s="1052">
        <v>6.0999999999999999E-2</v>
      </c>
      <c r="D12" s="1052">
        <v>7.0999999999999994E-2</v>
      </c>
      <c r="E12" s="1052">
        <v>9.6000000000000002E-2</v>
      </c>
      <c r="F12" s="1053">
        <v>0.1</v>
      </c>
    </row>
    <row r="13" spans="1:6" ht="14.25" thickBot="1">
      <c r="A13" s="826" t="s">
        <v>269</v>
      </c>
      <c r="B13" s="830" t="s">
        <v>214</v>
      </c>
      <c r="C13" s="1052">
        <v>6.9000000000000006E-2</v>
      </c>
      <c r="D13" s="1052">
        <v>6.5000000000000002E-2</v>
      </c>
      <c r="E13" s="1052">
        <v>6.6000000000000003E-2</v>
      </c>
      <c r="F13" s="1053">
        <v>0.1</v>
      </c>
    </row>
    <row r="14" spans="1:6" ht="14.25" thickBot="1">
      <c r="A14" s="826" t="s">
        <v>269</v>
      </c>
      <c r="B14" s="830" t="s">
        <v>226</v>
      </c>
      <c r="C14" s="1052">
        <v>0.1</v>
      </c>
      <c r="D14" s="1052">
        <v>6.5000000000000002E-2</v>
      </c>
      <c r="E14" s="1052">
        <v>7.0000000000000007E-2</v>
      </c>
      <c r="F14" s="1053">
        <v>0.1</v>
      </c>
    </row>
    <row r="15" spans="1:6" ht="14.25" thickBot="1">
      <c r="A15" s="826" t="s">
        <v>269</v>
      </c>
      <c r="B15" s="830" t="s">
        <v>237</v>
      </c>
      <c r="C15" s="1052">
        <v>9.8000000000000004E-2</v>
      </c>
      <c r="D15" s="1052">
        <v>8.8999999999999996E-2</v>
      </c>
      <c r="E15" s="1052">
        <v>8.8999999999999996E-2</v>
      </c>
      <c r="F15" s="1053">
        <v>0.1</v>
      </c>
    </row>
    <row r="16" spans="1:6" ht="14.25" thickBot="1">
      <c r="A16" s="826" t="s">
        <v>269</v>
      </c>
      <c r="B16" s="830" t="s">
        <v>248</v>
      </c>
      <c r="C16" s="1052">
        <v>7.0000000000000007E-2</v>
      </c>
      <c r="D16" s="1052">
        <v>9.2999999999999999E-2</v>
      </c>
      <c r="E16" s="1052">
        <v>9.6000000000000002E-2</v>
      </c>
      <c r="F16" s="1053">
        <v>0.1</v>
      </c>
    </row>
    <row r="17" spans="1:6" ht="14.25" thickBot="1">
      <c r="A17" s="826" t="s">
        <v>269</v>
      </c>
      <c r="B17" s="830" t="s">
        <v>259</v>
      </c>
      <c r="C17" s="1052">
        <v>9.5000000000000001E-2</v>
      </c>
      <c r="D17" s="1052">
        <v>0.1</v>
      </c>
      <c r="E17" s="1052">
        <v>0.1</v>
      </c>
      <c r="F17" s="1064"/>
    </row>
    <row r="18" spans="1:6" ht="14.25" thickBot="1">
      <c r="A18" s="826" t="s">
        <v>269</v>
      </c>
      <c r="B18" s="830" t="s">
        <v>271</v>
      </c>
      <c r="C18" s="1052">
        <v>7.3999999999999996E-2</v>
      </c>
      <c r="D18" s="1052">
        <v>9.9000000000000005E-2</v>
      </c>
      <c r="E18" s="1052">
        <v>0.1</v>
      </c>
      <c r="F18" s="1064"/>
    </row>
    <row r="19" spans="1:6" ht="14.25" thickBot="1">
      <c r="A19" s="826" t="s">
        <v>269</v>
      </c>
      <c r="B19" s="830" t="s">
        <v>281</v>
      </c>
      <c r="C19" s="1052">
        <v>9.9000000000000005E-2</v>
      </c>
      <c r="D19" s="1052">
        <v>7.5999999999999998E-2</v>
      </c>
      <c r="E19" s="1052">
        <v>8.6999999999999994E-2</v>
      </c>
      <c r="F19" s="1064"/>
    </row>
    <row r="20" spans="1:6" ht="14.25" thickBot="1">
      <c r="A20" s="826" t="s">
        <v>269</v>
      </c>
      <c r="B20" s="830" t="s">
        <v>291</v>
      </c>
      <c r="C20" s="1052">
        <v>9.8000000000000004E-2</v>
      </c>
      <c r="D20" s="1052">
        <v>8.5000000000000006E-2</v>
      </c>
      <c r="E20" s="1052">
        <v>8.2000000000000003E-2</v>
      </c>
      <c r="F20" s="1064"/>
    </row>
    <row r="21" spans="1:6" ht="14.25" thickBot="1">
      <c r="A21" s="826" t="s">
        <v>269</v>
      </c>
      <c r="B21" s="830" t="s">
        <v>301</v>
      </c>
      <c r="C21" s="1052">
        <v>6.6000000000000003E-2</v>
      </c>
      <c r="D21" s="1052">
        <v>6.4000000000000001E-2</v>
      </c>
      <c r="E21" s="1052">
        <v>6.5000000000000002E-2</v>
      </c>
      <c r="F21" s="1064"/>
    </row>
    <row r="22" spans="1:6" ht="14.25" thickBot="1">
      <c r="A22" s="826" t="s">
        <v>269</v>
      </c>
      <c r="B22" s="830" t="s">
        <v>882</v>
      </c>
      <c r="C22" s="1052">
        <v>0.08</v>
      </c>
      <c r="D22" s="1052">
        <v>9.8000000000000004E-2</v>
      </c>
      <c r="E22" s="1052">
        <v>9.8000000000000004E-2</v>
      </c>
      <c r="F22" s="1064"/>
    </row>
    <row r="23" spans="1:6" ht="14.25" thickBot="1">
      <c r="A23" s="826" t="s">
        <v>269</v>
      </c>
      <c r="B23" s="830" t="s">
        <v>322</v>
      </c>
      <c r="C23" s="1052">
        <v>9.9000000000000005E-2</v>
      </c>
      <c r="D23" s="1052">
        <v>9.8000000000000004E-2</v>
      </c>
      <c r="E23" s="1052">
        <v>9.0999999999999998E-2</v>
      </c>
      <c r="F23" s="1064"/>
    </row>
    <row r="24" spans="1:6" ht="14.25" thickBot="1">
      <c r="A24" s="826" t="s">
        <v>269</v>
      </c>
      <c r="B24" s="830" t="s">
        <v>333</v>
      </c>
      <c r="C24" s="1052">
        <v>8.8999999999999996E-2</v>
      </c>
      <c r="D24" s="1052">
        <v>9.7000000000000003E-2</v>
      </c>
      <c r="E24" s="1052">
        <v>7.0000000000000007E-2</v>
      </c>
      <c r="F24" s="1064"/>
    </row>
    <row r="25" spans="1:6" ht="14.25" thickBot="1">
      <c r="A25" s="826" t="s">
        <v>269</v>
      </c>
      <c r="B25" s="830" t="s">
        <v>343</v>
      </c>
      <c r="C25" s="1052">
        <v>8.8999999999999996E-2</v>
      </c>
      <c r="D25" s="1052">
        <v>0.1</v>
      </c>
      <c r="E25" s="1052">
        <v>8.1000000000000003E-2</v>
      </c>
      <c r="F25" s="1064"/>
    </row>
    <row r="26" spans="1:6" ht="14.25" thickBot="1">
      <c r="A26" s="826" t="s">
        <v>269</v>
      </c>
      <c r="B26" s="830" t="s">
        <v>353</v>
      </c>
      <c r="C26" s="1065"/>
      <c r="D26" s="1052">
        <v>9.6000000000000002E-2</v>
      </c>
      <c r="E26" s="1052">
        <v>9.2999999999999999E-2</v>
      </c>
      <c r="F26" s="1064"/>
    </row>
    <row r="27" spans="1:6" ht="14.25" thickBot="1">
      <c r="A27" s="826" t="s">
        <v>269</v>
      </c>
      <c r="B27" s="830" t="s">
        <v>363</v>
      </c>
      <c r="C27" s="1065"/>
      <c r="D27" s="1052">
        <v>7.5999999999999998E-2</v>
      </c>
      <c r="E27" s="1052">
        <v>9.1999999999999998E-2</v>
      </c>
      <c r="F27" s="1064"/>
    </row>
    <row r="28" spans="1:6" ht="14.25" thickBot="1">
      <c r="A28" s="836" t="s">
        <v>269</v>
      </c>
      <c r="B28" s="831" t="s">
        <v>373</v>
      </c>
      <c r="C28" s="1062"/>
      <c r="D28" s="1054">
        <v>7.5999999999999998E-2</v>
      </c>
      <c r="E28" s="1054">
        <v>9.1999999999999998E-2</v>
      </c>
      <c r="F28" s="1063"/>
    </row>
    <row r="29" spans="1:6" ht="14.25" thickBot="1">
      <c r="A29" s="826" t="s">
        <v>442</v>
      </c>
      <c r="B29" s="827" t="s">
        <v>883</v>
      </c>
      <c r="C29" s="1050">
        <v>6.4000000000000001E-2</v>
      </c>
      <c r="D29" s="1050">
        <v>6.5000000000000002E-2</v>
      </c>
      <c r="E29" s="1050">
        <v>6.9000000000000006E-2</v>
      </c>
      <c r="F29" s="1051">
        <v>0.1</v>
      </c>
    </row>
    <row r="30" spans="1:6" ht="14.25" thickBot="1">
      <c r="A30" s="826" t="s">
        <v>442</v>
      </c>
      <c r="B30" s="830" t="s">
        <v>189</v>
      </c>
      <c r="C30" s="1052">
        <v>6.4000000000000001E-2</v>
      </c>
      <c r="D30" s="1052">
        <v>9.9000000000000005E-2</v>
      </c>
      <c r="E30" s="1052">
        <v>0.1</v>
      </c>
      <c r="F30" s="1053">
        <v>0.1</v>
      </c>
    </row>
    <row r="31" spans="1:6" ht="14.25" thickBot="1">
      <c r="A31" s="826" t="s">
        <v>442</v>
      </c>
      <c r="B31" s="830" t="s">
        <v>202</v>
      </c>
      <c r="C31" s="1052">
        <v>0.1</v>
      </c>
      <c r="D31" s="1052">
        <v>9.5000000000000001E-2</v>
      </c>
      <c r="E31" s="1052">
        <v>8.8999999999999996E-2</v>
      </c>
      <c r="F31" s="1053">
        <v>0.1</v>
      </c>
    </row>
    <row r="32" spans="1:6" ht="14.25" thickBot="1">
      <c r="A32" s="826" t="s">
        <v>442</v>
      </c>
      <c r="B32" s="830" t="s">
        <v>215</v>
      </c>
      <c r="C32" s="1052">
        <v>0.05</v>
      </c>
      <c r="D32" s="1052">
        <v>0.05</v>
      </c>
      <c r="E32" s="1052">
        <v>8.7999999999999995E-2</v>
      </c>
      <c r="F32" s="1053">
        <v>0.1</v>
      </c>
    </row>
    <row r="33" spans="1:6" ht="14.25" thickBot="1">
      <c r="A33" s="826" t="s">
        <v>442</v>
      </c>
      <c r="B33" s="830" t="s">
        <v>227</v>
      </c>
      <c r="C33" s="1052">
        <v>7.4999999999999997E-2</v>
      </c>
      <c r="D33" s="1052">
        <v>9.4E-2</v>
      </c>
      <c r="E33" s="1052">
        <v>9.7000000000000003E-2</v>
      </c>
      <c r="F33" s="1053">
        <v>0.1</v>
      </c>
    </row>
    <row r="34" spans="1:6" ht="14.25" thickBot="1">
      <c r="A34" s="826" t="s">
        <v>442</v>
      </c>
      <c r="B34" s="830" t="s">
        <v>238</v>
      </c>
      <c r="C34" s="1052">
        <v>9.8000000000000004E-2</v>
      </c>
      <c r="D34" s="1052">
        <v>8.5999999999999993E-2</v>
      </c>
      <c r="E34" s="1052">
        <v>9.7000000000000003E-2</v>
      </c>
      <c r="F34" s="1053">
        <v>0.1</v>
      </c>
    </row>
    <row r="35" spans="1:6" ht="14.25" thickBot="1">
      <c r="A35" s="826" t="s">
        <v>442</v>
      </c>
      <c r="B35" s="830" t="s">
        <v>249</v>
      </c>
      <c r="C35" s="1052">
        <v>5.8999999999999997E-2</v>
      </c>
      <c r="D35" s="1052">
        <v>6.5000000000000002E-2</v>
      </c>
      <c r="E35" s="1052">
        <v>7.0000000000000007E-2</v>
      </c>
      <c r="F35" s="1053">
        <v>0.1</v>
      </c>
    </row>
    <row r="36" spans="1:6" ht="14.25" thickBot="1">
      <c r="A36" s="826" t="s">
        <v>442</v>
      </c>
      <c r="B36" s="830" t="s">
        <v>260</v>
      </c>
      <c r="C36" s="1052">
        <v>6.3E-2</v>
      </c>
      <c r="D36" s="1052">
        <v>0.1</v>
      </c>
      <c r="E36" s="1052">
        <v>0.1</v>
      </c>
      <c r="F36" s="1053">
        <v>0.1</v>
      </c>
    </row>
    <row r="37" spans="1:6" ht="14.25" thickBot="1">
      <c r="A37" s="826" t="s">
        <v>442</v>
      </c>
      <c r="B37" s="830" t="s">
        <v>272</v>
      </c>
      <c r="C37" s="1052">
        <v>7.3999999999999996E-2</v>
      </c>
      <c r="D37" s="1052">
        <v>0.1</v>
      </c>
      <c r="E37" s="1052">
        <v>0.1</v>
      </c>
      <c r="F37" s="1053">
        <v>0.1</v>
      </c>
    </row>
    <row r="38" spans="1:6" ht="14.25" thickBot="1">
      <c r="A38" s="826" t="s">
        <v>442</v>
      </c>
      <c r="B38" s="830" t="s">
        <v>282</v>
      </c>
      <c r="C38" s="1052">
        <v>0.1</v>
      </c>
      <c r="D38" s="1052">
        <v>9.6000000000000002E-2</v>
      </c>
      <c r="E38" s="1052">
        <v>9.6000000000000002E-2</v>
      </c>
      <c r="F38" s="1064"/>
    </row>
    <row r="39" spans="1:6" ht="14.25" thickBot="1">
      <c r="A39" s="826" t="s">
        <v>442</v>
      </c>
      <c r="B39" s="830" t="s">
        <v>292</v>
      </c>
      <c r="C39" s="1052">
        <v>0.1</v>
      </c>
      <c r="D39" s="1052">
        <v>9.6000000000000002E-2</v>
      </c>
      <c r="E39" s="1052">
        <v>9.6000000000000002E-2</v>
      </c>
      <c r="F39" s="1064"/>
    </row>
    <row r="40" spans="1:6" ht="14.25" thickBot="1">
      <c r="A40" s="826" t="s">
        <v>442</v>
      </c>
      <c r="B40" s="830" t="s">
        <v>302</v>
      </c>
      <c r="C40" s="1052">
        <v>9.6000000000000002E-2</v>
      </c>
      <c r="D40" s="1052">
        <v>0.1</v>
      </c>
      <c r="E40" s="1052">
        <v>9.9000000000000005E-2</v>
      </c>
      <c r="F40" s="1064"/>
    </row>
    <row r="41" spans="1:6" ht="14.25" thickBot="1">
      <c r="A41" s="826" t="s">
        <v>442</v>
      </c>
      <c r="B41" s="830" t="s">
        <v>312</v>
      </c>
      <c r="C41" s="1052">
        <v>9.6000000000000002E-2</v>
      </c>
      <c r="D41" s="1052">
        <v>9.8000000000000004E-2</v>
      </c>
      <c r="E41" s="1052">
        <v>9.8000000000000004E-2</v>
      </c>
      <c r="F41" s="1064"/>
    </row>
    <row r="42" spans="1:6" ht="14.25" thickBot="1">
      <c r="A42" s="826" t="s">
        <v>442</v>
      </c>
      <c r="B42" s="830" t="s">
        <v>323</v>
      </c>
      <c r="C42" s="1052">
        <v>0.1</v>
      </c>
      <c r="D42" s="1052">
        <v>8.7999999999999995E-2</v>
      </c>
      <c r="E42" s="1052">
        <v>0.1</v>
      </c>
      <c r="F42" s="1064"/>
    </row>
    <row r="43" spans="1:6" ht="14.25" thickBot="1">
      <c r="A43" s="826" t="s">
        <v>442</v>
      </c>
      <c r="B43" s="830" t="s">
        <v>334</v>
      </c>
      <c r="C43" s="1052">
        <v>9.8000000000000004E-2</v>
      </c>
      <c r="D43" s="1052">
        <v>9.7000000000000003E-2</v>
      </c>
      <c r="E43" s="1052">
        <v>9.6000000000000002E-2</v>
      </c>
      <c r="F43" s="1064"/>
    </row>
    <row r="44" spans="1:6" ht="14.25" thickBot="1">
      <c r="A44" s="826" t="s">
        <v>442</v>
      </c>
      <c r="B44" s="830" t="s">
        <v>344</v>
      </c>
      <c r="C44" s="1052">
        <v>8.5999999999999993E-2</v>
      </c>
      <c r="D44" s="1052">
        <v>7.9000000000000001E-2</v>
      </c>
      <c r="E44" s="1052">
        <v>7.0999999999999994E-2</v>
      </c>
      <c r="F44" s="1064"/>
    </row>
    <row r="45" spans="1:6" ht="14.25" thickBot="1">
      <c r="A45" s="826" t="s">
        <v>442</v>
      </c>
      <c r="B45" s="830" t="s">
        <v>354</v>
      </c>
      <c r="C45" s="1052">
        <v>9.8000000000000004E-2</v>
      </c>
      <c r="D45" s="1052">
        <v>9.6000000000000002E-2</v>
      </c>
      <c r="E45" s="1052">
        <v>9.6000000000000002E-2</v>
      </c>
      <c r="F45" s="1064"/>
    </row>
    <row r="46" spans="1:6" ht="14.25" thickBot="1">
      <c r="A46" s="826" t="s">
        <v>442</v>
      </c>
      <c r="B46" s="830" t="s">
        <v>364</v>
      </c>
      <c r="C46" s="1052">
        <v>8.5999999999999993E-2</v>
      </c>
      <c r="D46" s="1052">
        <v>9.8000000000000004E-2</v>
      </c>
      <c r="E46" s="1052">
        <v>8.7999999999999995E-2</v>
      </c>
      <c r="F46" s="1064"/>
    </row>
    <row r="47" spans="1:6" ht="14.25" thickBot="1">
      <c r="A47" s="826" t="s">
        <v>442</v>
      </c>
      <c r="B47" s="830" t="s">
        <v>374</v>
      </c>
      <c r="C47" s="1052">
        <v>9.6000000000000002E-2</v>
      </c>
      <c r="D47" s="1065"/>
      <c r="E47" s="1052">
        <v>6.9000000000000006E-2</v>
      </c>
      <c r="F47" s="1064"/>
    </row>
    <row r="48" spans="1:6" ht="14.25" thickBot="1">
      <c r="A48" s="836" t="s">
        <v>442</v>
      </c>
      <c r="B48" s="831" t="s">
        <v>383</v>
      </c>
      <c r="C48" s="1054">
        <v>9.8000000000000004E-2</v>
      </c>
      <c r="D48" s="1062"/>
      <c r="E48" s="1054">
        <v>9.5000000000000001E-2</v>
      </c>
      <c r="F48" s="1063"/>
    </row>
    <row r="49" spans="1:6" ht="14.25" thickBot="1">
      <c r="A49" s="826" t="s">
        <v>137</v>
      </c>
      <c r="B49" s="827" t="s">
        <v>884</v>
      </c>
      <c r="C49" s="1050">
        <v>9.7000000000000003E-2</v>
      </c>
      <c r="D49" s="1050">
        <v>9.5000000000000001E-2</v>
      </c>
      <c r="E49" s="1050">
        <v>9.7000000000000003E-2</v>
      </c>
      <c r="F49" s="1051">
        <v>0.1</v>
      </c>
    </row>
    <row r="50" spans="1:6" ht="14.25" thickBot="1">
      <c r="A50" s="826" t="s">
        <v>137</v>
      </c>
      <c r="B50" s="820" t="s">
        <v>190</v>
      </c>
      <c r="C50" s="1052">
        <v>7.4999999999999997E-2</v>
      </c>
      <c r="D50" s="1052">
        <v>9.5000000000000001E-2</v>
      </c>
      <c r="E50" s="1052">
        <v>0.1</v>
      </c>
      <c r="F50" s="1053">
        <v>0.1</v>
      </c>
    </row>
    <row r="51" spans="1:6" ht="14.25" thickBot="1">
      <c r="A51" s="826" t="s">
        <v>137</v>
      </c>
      <c r="B51" s="820" t="s">
        <v>203</v>
      </c>
      <c r="C51" s="1052">
        <v>9.8000000000000004E-2</v>
      </c>
      <c r="D51" s="1052">
        <v>8.8999999999999996E-2</v>
      </c>
      <c r="E51" s="1052">
        <v>0.1</v>
      </c>
      <c r="F51" s="1053">
        <v>0.1</v>
      </c>
    </row>
    <row r="52" spans="1:6" ht="14.25" thickBot="1">
      <c r="A52" s="826" t="s">
        <v>137</v>
      </c>
      <c r="B52" s="820" t="s">
        <v>216</v>
      </c>
      <c r="C52" s="1052">
        <v>9.8000000000000004E-2</v>
      </c>
      <c r="D52" s="1052">
        <v>9.7000000000000003E-2</v>
      </c>
      <c r="E52" s="1052">
        <v>8.1000000000000003E-2</v>
      </c>
      <c r="F52" s="1053">
        <v>0.1</v>
      </c>
    </row>
    <row r="53" spans="1:6" ht="14.25" thickBot="1">
      <c r="A53" s="826" t="s">
        <v>137</v>
      </c>
      <c r="B53" s="820" t="s">
        <v>228</v>
      </c>
      <c r="C53" s="1052">
        <v>9.7000000000000003E-2</v>
      </c>
      <c r="D53" s="1052">
        <v>7.5999999999999998E-2</v>
      </c>
      <c r="E53" s="1052">
        <v>7.0999999999999994E-2</v>
      </c>
      <c r="F53" s="1053">
        <v>0.1</v>
      </c>
    </row>
    <row r="54" spans="1:6" ht="14.25" thickBot="1">
      <c r="A54" s="826" t="s">
        <v>137</v>
      </c>
      <c r="B54" s="820" t="s">
        <v>239</v>
      </c>
      <c r="C54" s="1052">
        <v>7.5999999999999998E-2</v>
      </c>
      <c r="D54" s="1052">
        <v>0.1</v>
      </c>
      <c r="E54" s="1052">
        <v>9.9000000000000005E-2</v>
      </c>
      <c r="F54" s="1053">
        <v>0.1</v>
      </c>
    </row>
    <row r="55" spans="1:6" ht="14.25" thickBot="1">
      <c r="A55" s="826" t="s">
        <v>137</v>
      </c>
      <c r="B55" s="820" t="s">
        <v>250</v>
      </c>
      <c r="C55" s="1052">
        <v>0.1</v>
      </c>
      <c r="D55" s="1052">
        <v>0.1</v>
      </c>
      <c r="E55" s="1052">
        <v>9.6000000000000002E-2</v>
      </c>
      <c r="F55" s="1053">
        <v>0.1</v>
      </c>
    </row>
    <row r="56" spans="1:6" ht="14.25" thickBot="1">
      <c r="A56" s="826" t="s">
        <v>137</v>
      </c>
      <c r="B56" s="820" t="s">
        <v>261</v>
      </c>
      <c r="C56" s="1052">
        <v>0.1</v>
      </c>
      <c r="D56" s="1052">
        <v>9.6000000000000002E-2</v>
      </c>
      <c r="E56" s="1052">
        <v>5.1999999999999998E-2</v>
      </c>
      <c r="F56" s="1053">
        <v>0.1</v>
      </c>
    </row>
    <row r="57" spans="1:6" ht="14.25" thickBot="1">
      <c r="A57" s="826" t="s">
        <v>137</v>
      </c>
      <c r="B57" s="820" t="s">
        <v>273</v>
      </c>
      <c r="C57" s="1052">
        <v>9.7000000000000003E-2</v>
      </c>
      <c r="D57" s="1052">
        <v>9.6000000000000002E-2</v>
      </c>
      <c r="E57" s="1052">
        <v>9.6000000000000002E-2</v>
      </c>
      <c r="F57" s="1053">
        <v>0.1</v>
      </c>
    </row>
    <row r="58" spans="1:6" ht="14.25" thickBot="1">
      <c r="A58" s="826" t="s">
        <v>137</v>
      </c>
      <c r="B58" s="820" t="s">
        <v>283</v>
      </c>
      <c r="C58" s="1052">
        <v>9.6000000000000002E-2</v>
      </c>
      <c r="D58" s="1052">
        <v>9.9000000000000005E-2</v>
      </c>
      <c r="E58" s="1052">
        <v>9.6000000000000002E-2</v>
      </c>
      <c r="F58" s="1053">
        <v>0.1</v>
      </c>
    </row>
    <row r="59" spans="1:6" ht="14.25" thickBot="1">
      <c r="A59" s="826" t="s">
        <v>137</v>
      </c>
      <c r="B59" s="820" t="s">
        <v>293</v>
      </c>
      <c r="C59" s="1052">
        <v>7.1999999999999995E-2</v>
      </c>
      <c r="D59" s="1052">
        <v>9.6000000000000002E-2</v>
      </c>
      <c r="E59" s="1052">
        <v>7.0999999999999994E-2</v>
      </c>
      <c r="F59" s="1053">
        <v>0.1</v>
      </c>
    </row>
    <row r="60" spans="1:6" ht="14.25" thickBot="1">
      <c r="A60" s="826" t="s">
        <v>137</v>
      </c>
      <c r="B60" s="820" t="s">
        <v>303</v>
      </c>
      <c r="C60" s="1052">
        <v>9.6000000000000002E-2</v>
      </c>
      <c r="D60" s="1052">
        <v>8.8999999999999996E-2</v>
      </c>
      <c r="E60" s="1052">
        <v>9.6000000000000002E-2</v>
      </c>
      <c r="F60" s="1053">
        <v>0.1</v>
      </c>
    </row>
    <row r="61" spans="1:6" ht="14.25" thickBot="1">
      <c r="A61" s="826" t="s">
        <v>137</v>
      </c>
      <c r="B61" s="820" t="s">
        <v>313</v>
      </c>
      <c r="C61" s="1052">
        <v>8.8999999999999996E-2</v>
      </c>
      <c r="D61" s="1052">
        <v>9.8000000000000004E-2</v>
      </c>
      <c r="E61" s="1052">
        <v>8.7999999999999995E-2</v>
      </c>
      <c r="F61" s="1064"/>
    </row>
    <row r="62" spans="1:6" ht="14.25" thickBot="1">
      <c r="A62" s="826" t="s">
        <v>137</v>
      </c>
      <c r="B62" s="820" t="s">
        <v>324</v>
      </c>
      <c r="C62" s="1052">
        <v>9.8000000000000004E-2</v>
      </c>
      <c r="D62" s="1052">
        <v>9.2999999999999999E-2</v>
      </c>
      <c r="E62" s="1052">
        <v>9.7000000000000003E-2</v>
      </c>
      <c r="F62" s="1064"/>
    </row>
    <row r="63" spans="1:6" ht="14.25" thickBot="1">
      <c r="A63" s="826" t="s">
        <v>137</v>
      </c>
      <c r="B63" s="820" t="s">
        <v>335</v>
      </c>
      <c r="C63" s="1052">
        <v>9.6000000000000002E-2</v>
      </c>
      <c r="D63" s="1052">
        <v>9.8000000000000004E-2</v>
      </c>
      <c r="E63" s="1052">
        <v>0.09</v>
      </c>
      <c r="F63" s="1064"/>
    </row>
    <row r="64" spans="1:6" ht="14.25" thickBot="1">
      <c r="A64" s="826" t="s">
        <v>137</v>
      </c>
      <c r="B64" s="820" t="s">
        <v>345</v>
      </c>
      <c r="C64" s="1052">
        <v>9.9000000000000005E-2</v>
      </c>
      <c r="D64" s="1052">
        <v>9.7000000000000003E-2</v>
      </c>
      <c r="E64" s="1052">
        <v>9.9000000000000005E-2</v>
      </c>
      <c r="F64" s="1064"/>
    </row>
    <row r="65" spans="1:6" ht="14.25" thickBot="1">
      <c r="A65" s="826" t="s">
        <v>137</v>
      </c>
      <c r="B65" s="820" t="s">
        <v>355</v>
      </c>
      <c r="C65" s="1052">
        <v>9.8000000000000004E-2</v>
      </c>
      <c r="D65" s="1052">
        <v>9.6000000000000002E-2</v>
      </c>
      <c r="E65" s="1052">
        <v>9.6000000000000002E-2</v>
      </c>
      <c r="F65" s="1064"/>
    </row>
    <row r="66" spans="1:6" ht="14.25" thickBot="1">
      <c r="A66" s="826" t="s">
        <v>137</v>
      </c>
      <c r="B66" s="820" t="s">
        <v>365</v>
      </c>
      <c r="C66" s="1052">
        <v>9.6000000000000002E-2</v>
      </c>
      <c r="D66" s="1052">
        <v>9.1999999999999998E-2</v>
      </c>
      <c r="E66" s="1052">
        <v>9.6000000000000002E-2</v>
      </c>
      <c r="F66" s="1064"/>
    </row>
    <row r="67" spans="1:6" ht="14.25" thickBot="1">
      <c r="A67" s="826" t="s">
        <v>137</v>
      </c>
      <c r="B67" s="820" t="s">
        <v>375</v>
      </c>
      <c r="C67" s="1052">
        <v>9.4E-2</v>
      </c>
      <c r="D67" s="1052">
        <v>0.1</v>
      </c>
      <c r="E67" s="1052">
        <v>8.7999999999999995E-2</v>
      </c>
      <c r="F67" s="1064"/>
    </row>
    <row r="68" spans="1:6" ht="14.25" thickBot="1">
      <c r="A68" s="826" t="s">
        <v>137</v>
      </c>
      <c r="B68" s="820" t="s">
        <v>384</v>
      </c>
      <c r="C68" s="1052">
        <v>0.1</v>
      </c>
      <c r="D68" s="1052">
        <v>8.7999999999999995E-2</v>
      </c>
      <c r="E68" s="1052">
        <v>9.7000000000000003E-2</v>
      </c>
      <c r="F68" s="1064"/>
    </row>
    <row r="69" spans="1:6" ht="14.25" thickBot="1">
      <c r="A69" s="826" t="s">
        <v>137</v>
      </c>
      <c r="B69" s="820" t="s">
        <v>393</v>
      </c>
      <c r="C69" s="1052">
        <v>6.4000000000000001E-2</v>
      </c>
      <c r="D69" s="1052">
        <v>0.1</v>
      </c>
      <c r="E69" s="1052">
        <v>0.1</v>
      </c>
      <c r="F69" s="1064"/>
    </row>
    <row r="70" spans="1:6" ht="14.25" thickBot="1">
      <c r="A70" s="826" t="s">
        <v>137</v>
      </c>
      <c r="B70" s="820" t="s">
        <v>401</v>
      </c>
      <c r="C70" s="1052">
        <v>9.0999999999999998E-2</v>
      </c>
      <c r="D70" s="1065"/>
      <c r="E70" s="1065"/>
      <c r="F70" s="1064"/>
    </row>
    <row r="71" spans="1:6" ht="14.25" thickBot="1">
      <c r="A71" s="826" t="s">
        <v>137</v>
      </c>
      <c r="B71" s="820" t="s">
        <v>408</v>
      </c>
      <c r="C71" s="1052">
        <v>0.1</v>
      </c>
      <c r="D71" s="1065"/>
      <c r="E71" s="1065"/>
      <c r="F71" s="1064"/>
    </row>
    <row r="72" spans="1:6" ht="14.25" thickBot="1">
      <c r="A72" s="826" t="s">
        <v>137</v>
      </c>
      <c r="B72" s="820" t="s">
        <v>885</v>
      </c>
      <c r="C72" s="1065"/>
      <c r="D72" s="1065"/>
      <c r="E72" s="1065"/>
      <c r="F72" s="1053">
        <v>0.05</v>
      </c>
    </row>
    <row r="73" spans="1:6" ht="14.25" thickBot="1">
      <c r="A73" s="826" t="s">
        <v>137</v>
      </c>
      <c r="B73" s="820" t="s">
        <v>886</v>
      </c>
      <c r="C73" s="1065"/>
      <c r="D73" s="1065"/>
      <c r="E73" s="1065"/>
      <c r="F73" s="1053">
        <v>0.05</v>
      </c>
    </row>
    <row r="74" spans="1:6" ht="14.25" thickBot="1">
      <c r="A74" s="826" t="s">
        <v>137</v>
      </c>
      <c r="B74" s="820" t="s">
        <v>887</v>
      </c>
      <c r="C74" s="1065"/>
      <c r="D74" s="1065"/>
      <c r="E74" s="1065"/>
      <c r="F74" s="1053">
        <v>0.05</v>
      </c>
    </row>
    <row r="75" spans="1:6" ht="14.25" thickBot="1">
      <c r="A75" s="836" t="s">
        <v>137</v>
      </c>
      <c r="B75" s="832" t="s">
        <v>888</v>
      </c>
      <c r="C75" s="1062"/>
      <c r="D75" s="1062"/>
      <c r="E75" s="1062"/>
      <c r="F75" s="1055">
        <v>0.05</v>
      </c>
    </row>
    <row r="76" spans="1:6" ht="14.25" thickBot="1">
      <c r="A76" s="826" t="s">
        <v>523</v>
      </c>
      <c r="B76" s="827" t="s">
        <v>889</v>
      </c>
      <c r="C76" s="1050">
        <v>0.1</v>
      </c>
      <c r="D76" s="1050">
        <v>0.1</v>
      </c>
      <c r="E76" s="1050">
        <v>0.1</v>
      </c>
      <c r="F76" s="1051">
        <v>0.1</v>
      </c>
    </row>
    <row r="77" spans="1:6" ht="14.25" thickBot="1">
      <c r="A77" s="826" t="s">
        <v>523</v>
      </c>
      <c r="B77" s="820" t="s">
        <v>191</v>
      </c>
      <c r="C77" s="1052">
        <v>8.7999999999999995E-2</v>
      </c>
      <c r="D77" s="1052">
        <v>8.6999999999999994E-2</v>
      </c>
      <c r="E77" s="1052">
        <v>7.9000000000000001E-2</v>
      </c>
      <c r="F77" s="1053">
        <v>0.1</v>
      </c>
    </row>
    <row r="78" spans="1:6" ht="14.25" thickBot="1">
      <c r="A78" s="826" t="s">
        <v>523</v>
      </c>
      <c r="B78" s="820" t="s">
        <v>204</v>
      </c>
      <c r="C78" s="1052">
        <v>8.6999999999999994E-2</v>
      </c>
      <c r="D78" s="1052">
        <v>8.4000000000000005E-2</v>
      </c>
      <c r="E78" s="1052">
        <v>9.6000000000000002E-2</v>
      </c>
      <c r="F78" s="1053">
        <v>0.1</v>
      </c>
    </row>
    <row r="79" spans="1:6" ht="14.25" thickBot="1">
      <c r="A79" s="826" t="s">
        <v>523</v>
      </c>
      <c r="B79" s="820" t="s">
        <v>217</v>
      </c>
      <c r="C79" s="1052">
        <v>9.8000000000000004E-2</v>
      </c>
      <c r="D79" s="1052">
        <v>9.8000000000000004E-2</v>
      </c>
      <c r="E79" s="1052">
        <v>9.0999999999999998E-2</v>
      </c>
      <c r="F79" s="1053">
        <v>0.1</v>
      </c>
    </row>
    <row r="80" spans="1:6" ht="14.25" thickBot="1">
      <c r="A80" s="826" t="s">
        <v>523</v>
      </c>
      <c r="B80" s="820" t="s">
        <v>229</v>
      </c>
      <c r="C80" s="1052">
        <v>9.6000000000000002E-2</v>
      </c>
      <c r="D80" s="1052">
        <v>9.6000000000000002E-2</v>
      </c>
      <c r="E80" s="1052">
        <v>0.1</v>
      </c>
      <c r="F80" s="1053">
        <v>0.1</v>
      </c>
    </row>
    <row r="81" spans="1:6" ht="14.25" thickBot="1">
      <c r="A81" s="826" t="s">
        <v>523</v>
      </c>
      <c r="B81" s="820" t="s">
        <v>240</v>
      </c>
      <c r="C81" s="1052">
        <v>9.9000000000000005E-2</v>
      </c>
      <c r="D81" s="1052">
        <v>9.9000000000000005E-2</v>
      </c>
      <c r="E81" s="1052">
        <v>9.8000000000000004E-2</v>
      </c>
      <c r="F81" s="1053">
        <v>0.1</v>
      </c>
    </row>
    <row r="82" spans="1:6" ht="14.25" thickBot="1">
      <c r="A82" s="826" t="s">
        <v>523</v>
      </c>
      <c r="B82" s="820" t="s">
        <v>251</v>
      </c>
      <c r="C82" s="1052">
        <v>9.9000000000000005E-2</v>
      </c>
      <c r="D82" s="1052">
        <v>9.9000000000000005E-2</v>
      </c>
      <c r="E82" s="1052">
        <v>9.7000000000000003E-2</v>
      </c>
      <c r="F82" s="1053">
        <v>0.1</v>
      </c>
    </row>
    <row r="83" spans="1:6" ht="14.25" thickBot="1">
      <c r="A83" s="826" t="s">
        <v>523</v>
      </c>
      <c r="B83" s="820" t="s">
        <v>262</v>
      </c>
      <c r="C83" s="1052">
        <v>9.8000000000000004E-2</v>
      </c>
      <c r="D83" s="1052">
        <v>9.8000000000000004E-2</v>
      </c>
      <c r="E83" s="1052">
        <v>9.8000000000000004E-2</v>
      </c>
      <c r="F83" s="1053">
        <v>0.1</v>
      </c>
    </row>
    <row r="84" spans="1:6" ht="14.25" thickBot="1">
      <c r="A84" s="826" t="s">
        <v>523</v>
      </c>
      <c r="B84" s="820" t="s">
        <v>274</v>
      </c>
      <c r="C84" s="1052">
        <v>9.9000000000000005E-2</v>
      </c>
      <c r="D84" s="1052">
        <v>9.9000000000000005E-2</v>
      </c>
      <c r="E84" s="1052">
        <v>9.9000000000000005E-2</v>
      </c>
      <c r="F84" s="1053">
        <v>0.1</v>
      </c>
    </row>
    <row r="85" spans="1:6" ht="14.25" thickBot="1">
      <c r="A85" s="826" t="s">
        <v>523</v>
      </c>
      <c r="B85" s="820" t="s">
        <v>284</v>
      </c>
      <c r="C85" s="1052">
        <v>9.9000000000000005E-2</v>
      </c>
      <c r="D85" s="1052">
        <v>9.9000000000000005E-2</v>
      </c>
      <c r="E85" s="1052">
        <v>9.9000000000000005E-2</v>
      </c>
      <c r="F85" s="1053">
        <v>0.1</v>
      </c>
    </row>
    <row r="86" spans="1:6" ht="14.25" thickBot="1">
      <c r="A86" s="826" t="s">
        <v>523</v>
      </c>
      <c r="B86" s="820" t="s">
        <v>294</v>
      </c>
      <c r="C86" s="1052">
        <v>0.1</v>
      </c>
      <c r="D86" s="1052">
        <v>0.1</v>
      </c>
      <c r="E86" s="1052">
        <v>7.6999999999999999E-2</v>
      </c>
      <c r="F86" s="1053">
        <v>0.1</v>
      </c>
    </row>
    <row r="87" spans="1:6" ht="14.25" thickBot="1">
      <c r="A87" s="826" t="s">
        <v>523</v>
      </c>
      <c r="B87" s="820" t="s">
        <v>304</v>
      </c>
      <c r="C87" s="1052">
        <v>0.1</v>
      </c>
      <c r="D87" s="1052">
        <v>0.1</v>
      </c>
      <c r="E87" s="1052">
        <v>9.8000000000000004E-2</v>
      </c>
      <c r="F87" s="1064"/>
    </row>
    <row r="88" spans="1:6" ht="14.25" thickBot="1">
      <c r="A88" s="826" t="s">
        <v>523</v>
      </c>
      <c r="B88" s="820" t="s">
        <v>314</v>
      </c>
      <c r="C88" s="1052">
        <v>9.1999999999999998E-2</v>
      </c>
      <c r="D88" s="1052">
        <v>8.5000000000000006E-2</v>
      </c>
      <c r="E88" s="1052">
        <v>9.6000000000000002E-2</v>
      </c>
      <c r="F88" s="1064"/>
    </row>
    <row r="89" spans="1:6" ht="14.25" thickBot="1">
      <c r="A89" s="826" t="s">
        <v>523</v>
      </c>
      <c r="B89" s="820" t="s">
        <v>325</v>
      </c>
      <c r="C89" s="1052">
        <v>0.1</v>
      </c>
      <c r="D89" s="1052">
        <v>0.1</v>
      </c>
      <c r="E89" s="1052">
        <v>9.7000000000000003E-2</v>
      </c>
      <c r="F89" s="1064"/>
    </row>
    <row r="90" spans="1:6" ht="14.25" thickBot="1">
      <c r="A90" s="826" t="s">
        <v>523</v>
      </c>
      <c r="B90" s="820" t="s">
        <v>336</v>
      </c>
      <c r="C90" s="1052">
        <v>9.8000000000000004E-2</v>
      </c>
      <c r="D90" s="1052">
        <v>9.8000000000000004E-2</v>
      </c>
      <c r="E90" s="1052">
        <v>8.7999999999999995E-2</v>
      </c>
      <c r="F90" s="1064"/>
    </row>
    <row r="91" spans="1:6" ht="14.25" thickBot="1">
      <c r="A91" s="826" t="s">
        <v>523</v>
      </c>
      <c r="B91" s="820" t="s">
        <v>346</v>
      </c>
      <c r="C91" s="1052">
        <v>9.9000000000000005E-2</v>
      </c>
      <c r="D91" s="1052">
        <v>9.9000000000000005E-2</v>
      </c>
      <c r="E91" s="1052">
        <v>9.0999999999999998E-2</v>
      </c>
      <c r="F91" s="1064"/>
    </row>
    <row r="92" spans="1:6" ht="14.25" thickBot="1">
      <c r="A92" s="826" t="s">
        <v>523</v>
      </c>
      <c r="B92" s="820" t="s">
        <v>356</v>
      </c>
      <c r="C92" s="1052">
        <v>9.6000000000000002E-2</v>
      </c>
      <c r="D92" s="1052">
        <v>9.6000000000000002E-2</v>
      </c>
      <c r="E92" s="1052">
        <v>7.2999999999999995E-2</v>
      </c>
      <c r="F92" s="1064"/>
    </row>
    <row r="93" spans="1:6" ht="14.25" thickBot="1">
      <c r="A93" s="826" t="s">
        <v>523</v>
      </c>
      <c r="B93" s="820" t="s">
        <v>366</v>
      </c>
      <c r="C93" s="1052">
        <v>9.6000000000000002E-2</v>
      </c>
      <c r="D93" s="1052">
        <v>9.6000000000000002E-2</v>
      </c>
      <c r="E93" s="1052">
        <v>9.9000000000000005E-2</v>
      </c>
      <c r="F93" s="1064"/>
    </row>
    <row r="94" spans="1:6" ht="14.25" thickBot="1">
      <c r="A94" s="826" t="s">
        <v>523</v>
      </c>
      <c r="B94" s="820" t="s">
        <v>376</v>
      </c>
      <c r="C94" s="1052">
        <v>7.5999999999999998E-2</v>
      </c>
      <c r="D94" s="1052">
        <v>7.3999999999999996E-2</v>
      </c>
      <c r="E94" s="1052">
        <v>9.7000000000000003E-2</v>
      </c>
      <c r="F94" s="1064"/>
    </row>
    <row r="95" spans="1:6" ht="14.25" thickBot="1">
      <c r="A95" s="826" t="s">
        <v>523</v>
      </c>
      <c r="B95" s="820" t="s">
        <v>385</v>
      </c>
      <c r="C95" s="1052">
        <v>9.9000000000000005E-2</v>
      </c>
      <c r="D95" s="1052">
        <v>9.4E-2</v>
      </c>
      <c r="E95" s="1052">
        <v>9.6000000000000002E-2</v>
      </c>
      <c r="F95" s="1064"/>
    </row>
    <row r="96" spans="1:6" ht="14.25" thickBot="1">
      <c r="A96" s="826" t="s">
        <v>523</v>
      </c>
      <c r="B96" s="820" t="s">
        <v>394</v>
      </c>
      <c r="C96" s="1052">
        <v>9.9000000000000005E-2</v>
      </c>
      <c r="D96" s="1052">
        <v>9.9000000000000005E-2</v>
      </c>
      <c r="E96" s="1052">
        <v>9.9000000000000005E-2</v>
      </c>
      <c r="F96" s="1064"/>
    </row>
    <row r="97" spans="1:6" ht="14.25" thickBot="1">
      <c r="A97" s="826" t="s">
        <v>523</v>
      </c>
      <c r="B97" s="820" t="s">
        <v>402</v>
      </c>
      <c r="C97" s="1052">
        <v>9.8000000000000004E-2</v>
      </c>
      <c r="D97" s="1052">
        <v>9.8000000000000004E-2</v>
      </c>
      <c r="E97" s="1052">
        <v>9.7000000000000003E-2</v>
      </c>
      <c r="F97" s="1064"/>
    </row>
    <row r="98" spans="1:6" ht="14.25" thickBot="1">
      <c r="A98" s="826" t="s">
        <v>523</v>
      </c>
      <c r="B98" s="820" t="s">
        <v>409</v>
      </c>
      <c r="C98" s="1052">
        <v>0.1</v>
      </c>
      <c r="D98" s="1052">
        <v>0.1</v>
      </c>
      <c r="E98" s="1052">
        <v>9.7000000000000003E-2</v>
      </c>
      <c r="F98" s="1064"/>
    </row>
    <row r="99" spans="1:6" ht="14.25" thickBot="1">
      <c r="A99" s="826" t="s">
        <v>523</v>
      </c>
      <c r="B99" s="820" t="s">
        <v>416</v>
      </c>
      <c r="C99" s="1052">
        <v>0.1</v>
      </c>
      <c r="D99" s="1052">
        <v>0.1</v>
      </c>
      <c r="E99" s="1065"/>
      <c r="F99" s="1064"/>
    </row>
    <row r="100" spans="1:6" ht="14.25" thickBot="1">
      <c r="A100" s="826" t="s">
        <v>523</v>
      </c>
      <c r="B100" s="820" t="s">
        <v>423</v>
      </c>
      <c r="C100" s="1052">
        <v>0.09</v>
      </c>
      <c r="D100" s="1052">
        <v>8.8999999999999996E-2</v>
      </c>
      <c r="E100" s="1065"/>
      <c r="F100" s="1064"/>
    </row>
    <row r="101" spans="1:6" ht="14.25" thickBot="1">
      <c r="A101" s="826" t="s">
        <v>523</v>
      </c>
      <c r="B101" s="820" t="s">
        <v>430</v>
      </c>
      <c r="C101" s="1052">
        <v>9.8000000000000004E-2</v>
      </c>
      <c r="D101" s="1052">
        <v>9.7000000000000003E-2</v>
      </c>
      <c r="E101" s="1065"/>
      <c r="F101" s="1064"/>
    </row>
    <row r="102" spans="1:6" ht="14.25" thickBot="1">
      <c r="A102" s="826" t="s">
        <v>523</v>
      </c>
      <c r="B102" s="820" t="s">
        <v>890</v>
      </c>
      <c r="C102" s="1065"/>
      <c r="D102" s="1065"/>
      <c r="E102" s="1065"/>
      <c r="F102" s="1053">
        <v>0.05</v>
      </c>
    </row>
    <row r="103" spans="1:6" ht="24.75" thickBot="1">
      <c r="A103" s="826" t="s">
        <v>523</v>
      </c>
      <c r="B103" s="820" t="s">
        <v>891</v>
      </c>
      <c r="C103" s="1065"/>
      <c r="D103" s="1065"/>
      <c r="E103" s="1065"/>
      <c r="F103" s="1053">
        <v>0.05</v>
      </c>
    </row>
    <row r="104" spans="1:6" ht="14.25" thickBot="1">
      <c r="A104" s="826" t="s">
        <v>523</v>
      </c>
      <c r="B104" s="820" t="s">
        <v>892</v>
      </c>
      <c r="C104" s="1065"/>
      <c r="D104" s="1065"/>
      <c r="E104" s="1065"/>
      <c r="F104" s="1053">
        <v>0.05</v>
      </c>
    </row>
    <row r="105" spans="1:6" ht="14.25" thickBot="1">
      <c r="A105" s="826" t="s">
        <v>523</v>
      </c>
      <c r="B105" s="820" t="s">
        <v>893</v>
      </c>
      <c r="C105" s="1065"/>
      <c r="D105" s="1065"/>
      <c r="E105" s="1065"/>
      <c r="F105" s="1053">
        <v>0.05</v>
      </c>
    </row>
    <row r="106" spans="1:6" ht="14.25" thickBot="1">
      <c r="A106" s="826" t="s">
        <v>523</v>
      </c>
      <c r="B106" s="820" t="s">
        <v>894</v>
      </c>
      <c r="C106" s="1065"/>
      <c r="D106" s="1065"/>
      <c r="E106" s="1065"/>
      <c r="F106" s="1053">
        <v>0.05</v>
      </c>
    </row>
    <row r="107" spans="1:6" ht="24.75" thickBot="1">
      <c r="A107" s="826" t="s">
        <v>523</v>
      </c>
      <c r="B107" s="820" t="s">
        <v>895</v>
      </c>
      <c r="C107" s="1065"/>
      <c r="D107" s="1065"/>
      <c r="E107" s="1065"/>
      <c r="F107" s="1053">
        <v>0.05</v>
      </c>
    </row>
    <row r="108" spans="1:6" ht="24.75" thickBot="1">
      <c r="A108" s="826" t="s">
        <v>523</v>
      </c>
      <c r="B108" s="820" t="s">
        <v>896</v>
      </c>
      <c r="C108" s="1065"/>
      <c r="D108" s="1065"/>
      <c r="E108" s="1065"/>
      <c r="F108" s="1053">
        <v>0.05</v>
      </c>
    </row>
    <row r="109" spans="1:6" ht="24.75" thickBot="1">
      <c r="A109" s="836" t="s">
        <v>523</v>
      </c>
      <c r="B109" s="832" t="s">
        <v>897</v>
      </c>
      <c r="C109" s="1062"/>
      <c r="D109" s="1062"/>
      <c r="E109" s="1062"/>
      <c r="F109" s="1055">
        <v>0.05</v>
      </c>
    </row>
    <row r="110" spans="1:6" ht="14.25" thickBot="1">
      <c r="A110" s="826" t="s">
        <v>56</v>
      </c>
      <c r="B110" s="827" t="s">
        <v>898</v>
      </c>
      <c r="C110" s="1050">
        <v>0.129</v>
      </c>
      <c r="D110" s="1050">
        <v>0.129</v>
      </c>
      <c r="E110" s="1050">
        <v>0.126</v>
      </c>
      <c r="F110" s="1051">
        <v>0.13</v>
      </c>
    </row>
    <row r="111" spans="1:6" ht="14.25" thickBot="1">
      <c r="A111" s="826" t="s">
        <v>56</v>
      </c>
      <c r="B111" s="820" t="s">
        <v>192</v>
      </c>
      <c r="C111" s="1052">
        <v>0.11</v>
      </c>
      <c r="D111" s="1052">
        <v>0.11</v>
      </c>
      <c r="E111" s="1052">
        <v>9.9000000000000005E-2</v>
      </c>
      <c r="F111" s="1053">
        <v>0.128</v>
      </c>
    </row>
    <row r="112" spans="1:6" ht="14.25" thickBot="1">
      <c r="A112" s="826" t="s">
        <v>56</v>
      </c>
      <c r="B112" s="820" t="s">
        <v>205</v>
      </c>
      <c r="C112" s="1052">
        <v>0.125</v>
      </c>
      <c r="D112" s="1052">
        <v>0.125</v>
      </c>
      <c r="E112" s="1052">
        <v>0.12</v>
      </c>
      <c r="F112" s="1053">
        <v>0.125</v>
      </c>
    </row>
    <row r="113" spans="1:6" ht="14.25" thickBot="1">
      <c r="A113" s="826" t="s">
        <v>56</v>
      </c>
      <c r="B113" s="820" t="s">
        <v>218</v>
      </c>
      <c r="C113" s="1052">
        <v>0.13</v>
      </c>
      <c r="D113" s="1052">
        <v>0.13</v>
      </c>
      <c r="E113" s="1052">
        <v>0.13</v>
      </c>
      <c r="F113" s="1053">
        <v>0.13</v>
      </c>
    </row>
    <row r="114" spans="1:6" ht="14.25" thickBot="1">
      <c r="A114" s="826" t="s">
        <v>56</v>
      </c>
      <c r="B114" s="820" t="s">
        <v>230</v>
      </c>
      <c r="C114" s="1052">
        <v>0.123</v>
      </c>
      <c r="D114" s="1052">
        <v>0.123</v>
      </c>
      <c r="E114" s="1052">
        <v>0.12</v>
      </c>
      <c r="F114" s="1053">
        <v>0.13</v>
      </c>
    </row>
    <row r="115" spans="1:6" ht="14.25" thickBot="1">
      <c r="A115" s="826" t="s">
        <v>56</v>
      </c>
      <c r="B115" s="820" t="s">
        <v>241</v>
      </c>
      <c r="C115" s="1052">
        <v>0.125</v>
      </c>
      <c r="D115" s="1052">
        <v>0.125</v>
      </c>
      <c r="E115" s="1052">
        <v>0.11700000000000001</v>
      </c>
      <c r="F115" s="1053">
        <v>0.13</v>
      </c>
    </row>
    <row r="116" spans="1:6" ht="14.25" thickBot="1">
      <c r="A116" s="826" t="s">
        <v>56</v>
      </c>
      <c r="B116" s="820" t="s">
        <v>252</v>
      </c>
      <c r="C116" s="1052">
        <v>0.11700000000000001</v>
      </c>
      <c r="D116" s="1052">
        <v>0.11700000000000001</v>
      </c>
      <c r="E116" s="1052">
        <v>8.7999999999999995E-2</v>
      </c>
      <c r="F116" s="1053">
        <v>0.13</v>
      </c>
    </row>
    <row r="117" spans="1:6" ht="14.25" thickBot="1">
      <c r="A117" s="826" t="s">
        <v>56</v>
      </c>
      <c r="B117" s="820" t="s">
        <v>263</v>
      </c>
      <c r="C117" s="1052">
        <v>0.13</v>
      </c>
      <c r="D117" s="1052">
        <v>0.13</v>
      </c>
      <c r="E117" s="1052">
        <v>0.129</v>
      </c>
      <c r="F117" s="1053">
        <v>0.13</v>
      </c>
    </row>
    <row r="118" spans="1:6" ht="14.25" thickBot="1">
      <c r="A118" s="826" t="s">
        <v>56</v>
      </c>
      <c r="B118" s="820" t="s">
        <v>275</v>
      </c>
      <c r="C118" s="1052">
        <v>0.123</v>
      </c>
      <c r="D118" s="1052">
        <v>0.123</v>
      </c>
      <c r="E118" s="1052">
        <v>0.11600000000000001</v>
      </c>
      <c r="F118" s="1053">
        <v>0.13</v>
      </c>
    </row>
    <row r="119" spans="1:6" ht="14.25" thickBot="1">
      <c r="A119" s="826" t="s">
        <v>56</v>
      </c>
      <c r="B119" s="820" t="s">
        <v>285</v>
      </c>
      <c r="C119" s="1052">
        <v>0.127</v>
      </c>
      <c r="D119" s="1052">
        <v>0.127</v>
      </c>
      <c r="E119" s="1052">
        <v>0.124</v>
      </c>
      <c r="F119" s="1053">
        <v>0.13</v>
      </c>
    </row>
    <row r="120" spans="1:6" ht="14.25" thickBot="1">
      <c r="A120" s="826" t="s">
        <v>56</v>
      </c>
      <c r="B120" s="820" t="s">
        <v>295</v>
      </c>
      <c r="C120" s="1052">
        <v>0.125</v>
      </c>
      <c r="D120" s="1052">
        <v>0.125</v>
      </c>
      <c r="E120" s="1052">
        <v>0.122</v>
      </c>
      <c r="F120" s="1053">
        <v>0.13</v>
      </c>
    </row>
    <row r="121" spans="1:6" ht="14.25" thickBot="1">
      <c r="A121" s="826" t="s">
        <v>56</v>
      </c>
      <c r="B121" s="820" t="s">
        <v>305</v>
      </c>
      <c r="C121" s="1052">
        <v>0.13</v>
      </c>
      <c r="D121" s="1052">
        <v>0.13</v>
      </c>
      <c r="E121" s="1052">
        <v>0.13</v>
      </c>
      <c r="F121" s="1053">
        <v>0.13</v>
      </c>
    </row>
    <row r="122" spans="1:6" ht="14.25" thickBot="1">
      <c r="A122" s="826" t="s">
        <v>56</v>
      </c>
      <c r="B122" s="820" t="s">
        <v>315</v>
      </c>
      <c r="C122" s="1052">
        <v>0.13</v>
      </c>
      <c r="D122" s="1052">
        <v>0.13</v>
      </c>
      <c r="E122" s="1052">
        <v>0.125</v>
      </c>
      <c r="F122" s="1053">
        <v>0.13</v>
      </c>
    </row>
    <row r="123" spans="1:6" ht="14.25" thickBot="1">
      <c r="A123" s="826" t="s">
        <v>56</v>
      </c>
      <c r="B123" s="820" t="s">
        <v>326</v>
      </c>
      <c r="C123" s="1052">
        <v>0.129</v>
      </c>
      <c r="D123" s="1052">
        <v>0.129</v>
      </c>
      <c r="E123" s="1052">
        <v>0.123</v>
      </c>
      <c r="F123" s="1053">
        <v>0.13</v>
      </c>
    </row>
    <row r="124" spans="1:6" ht="14.25" thickBot="1">
      <c r="A124" s="826" t="s">
        <v>56</v>
      </c>
      <c r="B124" s="820" t="s">
        <v>337</v>
      </c>
      <c r="C124" s="1052">
        <v>0.10199999999999999</v>
      </c>
      <c r="D124" s="1052">
        <v>0.10100000000000001</v>
      </c>
      <c r="E124" s="1052">
        <v>0.08</v>
      </c>
      <c r="F124" s="1064"/>
    </row>
    <row r="125" spans="1:6" ht="14.25" thickBot="1">
      <c r="A125" s="826" t="s">
        <v>56</v>
      </c>
      <c r="B125" s="820" t="s">
        <v>347</v>
      </c>
      <c r="C125" s="1052">
        <v>0.13</v>
      </c>
      <c r="D125" s="1052">
        <v>0.13</v>
      </c>
      <c r="E125" s="1052">
        <v>0.129</v>
      </c>
      <c r="F125" s="1064"/>
    </row>
    <row r="126" spans="1:6" ht="14.25" thickBot="1">
      <c r="A126" s="826" t="s">
        <v>56</v>
      </c>
      <c r="B126" s="820" t="s">
        <v>357</v>
      </c>
      <c r="C126" s="1052">
        <v>0.13</v>
      </c>
      <c r="D126" s="1052">
        <v>0.13</v>
      </c>
      <c r="E126" s="1052">
        <v>0.126</v>
      </c>
      <c r="F126" s="1064"/>
    </row>
    <row r="127" spans="1:6" ht="14.25" thickBot="1">
      <c r="A127" s="826" t="s">
        <v>56</v>
      </c>
      <c r="B127" s="820" t="s">
        <v>367</v>
      </c>
      <c r="C127" s="1052">
        <v>0.125</v>
      </c>
      <c r="D127" s="1052">
        <v>0.125</v>
      </c>
      <c r="E127" s="1052">
        <v>0.121</v>
      </c>
      <c r="F127" s="1064"/>
    </row>
    <row r="128" spans="1:6" ht="14.25" thickBot="1">
      <c r="A128" s="826" t="s">
        <v>56</v>
      </c>
      <c r="B128" s="820" t="s">
        <v>377</v>
      </c>
      <c r="C128" s="1052">
        <v>0.12</v>
      </c>
      <c r="D128" s="1052">
        <v>0.12</v>
      </c>
      <c r="E128" s="1052">
        <v>0.105</v>
      </c>
      <c r="F128" s="1064"/>
    </row>
    <row r="129" spans="1:6" ht="14.25" thickBot="1">
      <c r="A129" s="826" t="s">
        <v>56</v>
      </c>
      <c r="B129" s="820" t="s">
        <v>386</v>
      </c>
      <c r="C129" s="1052">
        <v>0.13</v>
      </c>
      <c r="D129" s="1052">
        <v>0.13</v>
      </c>
      <c r="E129" s="1052">
        <v>0.126</v>
      </c>
      <c r="F129" s="1064"/>
    </row>
    <row r="130" spans="1:6" ht="14.25" thickBot="1">
      <c r="A130" s="826" t="s">
        <v>56</v>
      </c>
      <c r="B130" s="820" t="s">
        <v>395</v>
      </c>
      <c r="C130" s="1052">
        <v>0.125</v>
      </c>
      <c r="D130" s="1052">
        <v>0.125</v>
      </c>
      <c r="E130" s="1052">
        <v>0.122</v>
      </c>
      <c r="F130" s="1064"/>
    </row>
    <row r="131" spans="1:6" ht="14.25" thickBot="1">
      <c r="A131" s="826" t="s">
        <v>56</v>
      </c>
      <c r="B131" s="820" t="s">
        <v>403</v>
      </c>
      <c r="C131" s="1052">
        <v>0.127</v>
      </c>
      <c r="D131" s="1052">
        <v>0.126</v>
      </c>
      <c r="E131" s="1052">
        <v>0.123</v>
      </c>
      <c r="F131" s="1064"/>
    </row>
    <row r="132" spans="1:6" ht="14.25" thickBot="1">
      <c r="A132" s="826" t="s">
        <v>56</v>
      </c>
      <c r="B132" s="820" t="s">
        <v>410</v>
      </c>
      <c r="C132" s="1052">
        <v>9.0999999999999998E-2</v>
      </c>
      <c r="D132" s="1052">
        <v>0.121</v>
      </c>
      <c r="E132" s="1052">
        <v>9.9000000000000005E-2</v>
      </c>
      <c r="F132" s="1064"/>
    </row>
    <row r="133" spans="1:6" ht="14.25" thickBot="1">
      <c r="A133" s="826" t="s">
        <v>56</v>
      </c>
      <c r="B133" s="820" t="s">
        <v>417</v>
      </c>
      <c r="C133" s="1052">
        <v>0.13</v>
      </c>
      <c r="D133" s="1052">
        <v>0.13</v>
      </c>
      <c r="E133" s="1052">
        <v>0.129</v>
      </c>
      <c r="F133" s="1064"/>
    </row>
    <row r="134" spans="1:6" ht="14.25" thickBot="1">
      <c r="A134" s="826" t="s">
        <v>56</v>
      </c>
      <c r="B134" s="820" t="s">
        <v>899</v>
      </c>
      <c r="C134" s="1052">
        <v>6.8000000000000005E-2</v>
      </c>
      <c r="D134" s="1052">
        <v>6.5000000000000002E-2</v>
      </c>
      <c r="E134" s="1052">
        <v>6.5000000000000002E-2</v>
      </c>
      <c r="F134" s="1053">
        <v>0.13</v>
      </c>
    </row>
    <row r="135" spans="1:6" ht="14.25" thickBot="1">
      <c r="A135" s="826" t="s">
        <v>56</v>
      </c>
      <c r="B135" s="820" t="s">
        <v>431</v>
      </c>
      <c r="C135" s="1052">
        <v>0.123</v>
      </c>
      <c r="D135" s="1052">
        <v>0.123</v>
      </c>
      <c r="E135" s="1052">
        <v>0.11</v>
      </c>
      <c r="F135" s="1064"/>
    </row>
    <row r="136" spans="1:6" ht="14.25" thickBot="1">
      <c r="A136" s="826" t="s">
        <v>56</v>
      </c>
      <c r="B136" s="820" t="s">
        <v>438</v>
      </c>
      <c r="C136" s="1052">
        <v>0.13</v>
      </c>
      <c r="D136" s="1052">
        <v>0.13</v>
      </c>
      <c r="E136" s="1052">
        <v>0.125</v>
      </c>
      <c r="F136" s="1064"/>
    </row>
    <row r="137" spans="1:6" ht="14.25" thickBot="1">
      <c r="A137" s="826" t="s">
        <v>56</v>
      </c>
      <c r="B137" s="820" t="s">
        <v>445</v>
      </c>
      <c r="C137" s="1052">
        <v>0.121</v>
      </c>
      <c r="D137" s="1052">
        <v>0.122</v>
      </c>
      <c r="E137" s="1052">
        <v>0.115</v>
      </c>
      <c r="F137" s="1064"/>
    </row>
    <row r="138" spans="1:6" ht="14.25" thickBot="1">
      <c r="A138" s="826" t="s">
        <v>56</v>
      </c>
      <c r="B138" s="820" t="s">
        <v>900</v>
      </c>
      <c r="C138" s="1052">
        <v>0.105</v>
      </c>
      <c r="D138" s="1052">
        <v>0.125</v>
      </c>
      <c r="E138" s="1052">
        <v>0.112</v>
      </c>
      <c r="F138" s="1064"/>
    </row>
    <row r="139" spans="1:6" ht="14.25" thickBot="1">
      <c r="A139" s="826" t="s">
        <v>56</v>
      </c>
      <c r="B139" s="820" t="s">
        <v>901</v>
      </c>
      <c r="C139" s="1052">
        <v>0.127</v>
      </c>
      <c r="D139" s="1052">
        <v>0.127</v>
      </c>
      <c r="E139" s="1052">
        <v>0.122</v>
      </c>
      <c r="F139" s="1053">
        <v>0.13</v>
      </c>
    </row>
    <row r="140" spans="1:6" ht="14.25" thickBot="1">
      <c r="A140" s="826" t="s">
        <v>56</v>
      </c>
      <c r="B140" s="820" t="s">
        <v>902</v>
      </c>
      <c r="C140" s="1052">
        <v>0.125</v>
      </c>
      <c r="D140" s="1052">
        <v>0.125</v>
      </c>
      <c r="E140" s="1052">
        <v>0.11899999999999999</v>
      </c>
      <c r="F140" s="1053">
        <v>0.13</v>
      </c>
    </row>
    <row r="141" spans="1:6" ht="14.25" thickBot="1">
      <c r="A141" s="826" t="s">
        <v>56</v>
      </c>
      <c r="B141" s="820" t="s">
        <v>464</v>
      </c>
      <c r="C141" s="1052">
        <v>0.125</v>
      </c>
      <c r="D141" s="1052">
        <v>0.125</v>
      </c>
      <c r="E141" s="1052">
        <v>0.11700000000000001</v>
      </c>
      <c r="F141" s="1064"/>
    </row>
    <row r="142" spans="1:6" ht="14.25" thickBot="1">
      <c r="A142" s="826" t="s">
        <v>56</v>
      </c>
      <c r="B142" s="820" t="s">
        <v>469</v>
      </c>
      <c r="C142" s="1052">
        <v>0.125</v>
      </c>
      <c r="D142" s="1052">
        <v>0.125</v>
      </c>
      <c r="E142" s="1052">
        <v>0.115</v>
      </c>
      <c r="F142" s="1064"/>
    </row>
    <row r="143" spans="1:6" ht="14.25" thickBot="1">
      <c r="A143" s="826" t="s">
        <v>56</v>
      </c>
      <c r="B143" s="820" t="s">
        <v>474</v>
      </c>
      <c r="C143" s="1052">
        <v>0.121</v>
      </c>
      <c r="D143" s="1052">
        <v>0.121</v>
      </c>
      <c r="E143" s="1052">
        <v>0.108</v>
      </c>
      <c r="F143" s="1064"/>
    </row>
    <row r="144" spans="1:6" ht="14.25" thickBot="1">
      <c r="A144" s="826" t="s">
        <v>56</v>
      </c>
      <c r="B144" s="1056" t="s">
        <v>903</v>
      </c>
      <c r="C144" s="1057">
        <v>0.126</v>
      </c>
      <c r="D144" s="1057">
        <v>0.126</v>
      </c>
      <c r="E144" s="1057">
        <v>0.121</v>
      </c>
      <c r="F144" s="1064"/>
    </row>
    <row r="145" spans="1:6" ht="14.25" thickBot="1">
      <c r="A145" s="836" t="s">
        <v>56</v>
      </c>
      <c r="B145" s="1058" t="s">
        <v>904</v>
      </c>
      <c r="C145" s="1066"/>
      <c r="D145" s="1066"/>
      <c r="E145" s="1066"/>
      <c r="F145" s="1059">
        <v>0.05</v>
      </c>
    </row>
    <row r="146" spans="1:6" ht="24.75" thickBot="1">
      <c r="A146" s="1060" t="s">
        <v>56</v>
      </c>
      <c r="B146" s="830" t="s">
        <v>905</v>
      </c>
      <c r="C146" s="1065"/>
      <c r="D146" s="1065"/>
      <c r="E146" s="1065"/>
      <c r="F146" s="1061">
        <v>0.05</v>
      </c>
    </row>
    <row r="147" spans="1:6" ht="24.75" thickBot="1">
      <c r="A147" s="826" t="s">
        <v>56</v>
      </c>
      <c r="B147" s="820" t="s">
        <v>906</v>
      </c>
      <c r="C147" s="1065"/>
      <c r="D147" s="1065"/>
      <c r="E147" s="1065"/>
      <c r="F147" s="1053">
        <v>0.05</v>
      </c>
    </row>
    <row r="148" spans="1:6" ht="24.75" thickBot="1">
      <c r="A148" s="826" t="s">
        <v>56</v>
      </c>
      <c r="B148" s="820" t="s">
        <v>907</v>
      </c>
      <c r="C148" s="1065"/>
      <c r="D148" s="1065"/>
      <c r="E148" s="1065"/>
      <c r="F148" s="1053">
        <v>0.05</v>
      </c>
    </row>
    <row r="149" spans="1:6" ht="24.75" thickBot="1">
      <c r="A149" s="826" t="s">
        <v>56</v>
      </c>
      <c r="B149" s="820" t="s">
        <v>908</v>
      </c>
      <c r="C149" s="1065"/>
      <c r="D149" s="1065"/>
      <c r="E149" s="1065"/>
      <c r="F149" s="1053">
        <v>0.05</v>
      </c>
    </row>
    <row r="150" spans="1:6" ht="24.75" thickBot="1">
      <c r="A150" s="826" t="s">
        <v>56</v>
      </c>
      <c r="B150" s="820" t="s">
        <v>909</v>
      </c>
      <c r="C150" s="1065"/>
      <c r="D150" s="1065"/>
      <c r="E150" s="1065"/>
      <c r="F150" s="1053">
        <v>0.05</v>
      </c>
    </row>
    <row r="151" spans="1:6" ht="24.75" thickBot="1">
      <c r="A151" s="826" t="s">
        <v>56</v>
      </c>
      <c r="B151" s="820" t="s">
        <v>910</v>
      </c>
      <c r="C151" s="1065"/>
      <c r="D151" s="1065"/>
      <c r="E151" s="1065"/>
      <c r="F151" s="1053">
        <v>0.05</v>
      </c>
    </row>
    <row r="152" spans="1:6" ht="24.75" thickBot="1">
      <c r="A152" s="826" t="s">
        <v>56</v>
      </c>
      <c r="B152" s="820" t="s">
        <v>507</v>
      </c>
      <c r="C152" s="1065"/>
      <c r="D152" s="1065"/>
      <c r="E152" s="1065"/>
      <c r="F152" s="1053">
        <v>0.05</v>
      </c>
    </row>
    <row r="153" spans="1:6" ht="14.25" thickBot="1">
      <c r="A153" s="826" t="s">
        <v>56</v>
      </c>
      <c r="B153" s="820" t="s">
        <v>911</v>
      </c>
      <c r="C153" s="1065"/>
      <c r="D153" s="1065"/>
      <c r="E153" s="1065"/>
      <c r="F153" s="1053">
        <v>0.05</v>
      </c>
    </row>
    <row r="154" spans="1:6" ht="14.25" thickBot="1">
      <c r="A154" s="826" t="s">
        <v>56</v>
      </c>
      <c r="B154" s="820" t="s">
        <v>912</v>
      </c>
      <c r="C154" s="1065"/>
      <c r="D154" s="1065"/>
      <c r="E154" s="1065"/>
      <c r="F154" s="1053">
        <v>0.05</v>
      </c>
    </row>
    <row r="155" spans="1:6" ht="24.75" thickBot="1">
      <c r="A155" s="826" t="s">
        <v>56</v>
      </c>
      <c r="B155" s="820" t="s">
        <v>913</v>
      </c>
      <c r="C155" s="1065"/>
      <c r="D155" s="1065"/>
      <c r="E155" s="1065"/>
      <c r="F155" s="1053">
        <v>0.05</v>
      </c>
    </row>
    <row r="156" spans="1:6" ht="24.75" thickBot="1">
      <c r="A156" s="826" t="s">
        <v>56</v>
      </c>
      <c r="B156" s="820" t="s">
        <v>914</v>
      </c>
      <c r="C156" s="1065"/>
      <c r="D156" s="1065"/>
      <c r="E156" s="1065"/>
      <c r="F156" s="1053">
        <v>0.05</v>
      </c>
    </row>
    <row r="157" spans="1:6" ht="14.25" thickBot="1">
      <c r="A157" s="836" t="s">
        <v>56</v>
      </c>
      <c r="B157" s="832" t="s">
        <v>915</v>
      </c>
      <c r="C157" s="1062"/>
      <c r="D157" s="1062"/>
      <c r="E157" s="1062"/>
      <c r="F157" s="1055">
        <v>0.05</v>
      </c>
    </row>
    <row r="158" spans="1:6" ht="14.25" thickBot="1">
      <c r="A158" s="826" t="s">
        <v>526</v>
      </c>
      <c r="B158" s="827" t="s">
        <v>916</v>
      </c>
      <c r="C158" s="1050">
        <v>0.13</v>
      </c>
      <c r="D158" s="1050">
        <v>0.13</v>
      </c>
      <c r="E158" s="1050">
        <v>0.13</v>
      </c>
      <c r="F158" s="1051">
        <v>0.13</v>
      </c>
    </row>
    <row r="159" spans="1:6" ht="14.25" thickBot="1">
      <c r="A159" s="826" t="s">
        <v>526</v>
      </c>
      <c r="B159" s="820" t="s">
        <v>193</v>
      </c>
      <c r="C159" s="1052">
        <v>0.13</v>
      </c>
      <c r="D159" s="1052">
        <v>0.13</v>
      </c>
      <c r="E159" s="1052">
        <v>0.13</v>
      </c>
      <c r="F159" s="1053">
        <v>0.13</v>
      </c>
    </row>
    <row r="160" spans="1:6" ht="14.25" thickBot="1">
      <c r="A160" s="826" t="s">
        <v>526</v>
      </c>
      <c r="B160" s="820" t="s">
        <v>206</v>
      </c>
      <c r="C160" s="1052">
        <v>0.13</v>
      </c>
      <c r="D160" s="1052">
        <v>0.13</v>
      </c>
      <c r="E160" s="1052">
        <v>0.129</v>
      </c>
      <c r="F160" s="1053">
        <v>0.13</v>
      </c>
    </row>
    <row r="161" spans="1:6" ht="14.25" thickBot="1">
      <c r="A161" s="826" t="s">
        <v>526</v>
      </c>
      <c r="B161" s="820" t="s">
        <v>219</v>
      </c>
      <c r="C161" s="1052">
        <v>0.128</v>
      </c>
      <c r="D161" s="1052">
        <v>0.128</v>
      </c>
      <c r="E161" s="1052">
        <v>0.125</v>
      </c>
      <c r="F161" s="1053">
        <v>0.13</v>
      </c>
    </row>
    <row r="162" spans="1:6" ht="14.25" thickBot="1">
      <c r="A162" s="826" t="s">
        <v>526</v>
      </c>
      <c r="B162" s="820" t="s">
        <v>231</v>
      </c>
      <c r="C162" s="1052">
        <v>0.122</v>
      </c>
      <c r="D162" s="1052">
        <v>0.122</v>
      </c>
      <c r="E162" s="1052">
        <v>0.126</v>
      </c>
      <c r="F162" s="1053">
        <v>0.122</v>
      </c>
    </row>
    <row r="163" spans="1:6" ht="14.25" thickBot="1">
      <c r="A163" s="826" t="s">
        <v>526</v>
      </c>
      <c r="B163" s="820" t="s">
        <v>242</v>
      </c>
      <c r="C163" s="1052">
        <v>0.13</v>
      </c>
      <c r="D163" s="1052">
        <v>0.13</v>
      </c>
      <c r="E163" s="1052">
        <v>0.125</v>
      </c>
      <c r="F163" s="1053">
        <v>0.13</v>
      </c>
    </row>
    <row r="164" spans="1:6" ht="14.25" thickBot="1">
      <c r="A164" s="826" t="s">
        <v>526</v>
      </c>
      <c r="B164" s="820" t="s">
        <v>253</v>
      </c>
      <c r="C164" s="1052">
        <v>0.13</v>
      </c>
      <c r="D164" s="1052">
        <v>0.13</v>
      </c>
      <c r="E164" s="1052">
        <v>0.13</v>
      </c>
      <c r="F164" s="1053">
        <v>0.13</v>
      </c>
    </row>
    <row r="165" spans="1:6" ht="14.25" thickBot="1">
      <c r="A165" s="826" t="s">
        <v>526</v>
      </c>
      <c r="B165" s="820" t="s">
        <v>264</v>
      </c>
      <c r="C165" s="1052">
        <v>0.13</v>
      </c>
      <c r="D165" s="1052">
        <v>0.13</v>
      </c>
      <c r="E165" s="1052">
        <v>0.124</v>
      </c>
      <c r="F165" s="1053">
        <v>0.13</v>
      </c>
    </row>
    <row r="166" spans="1:6" ht="14.25" thickBot="1">
      <c r="A166" s="826" t="s">
        <v>526</v>
      </c>
      <c r="B166" s="820" t="s">
        <v>276</v>
      </c>
      <c r="C166" s="1052">
        <v>0.13</v>
      </c>
      <c r="D166" s="1052">
        <v>0.13</v>
      </c>
      <c r="E166" s="1052">
        <v>0.13</v>
      </c>
      <c r="F166" s="1053">
        <v>0.13</v>
      </c>
    </row>
    <row r="167" spans="1:6" ht="14.25" thickBot="1">
      <c r="A167" s="826" t="s">
        <v>526</v>
      </c>
      <c r="B167" s="820" t="s">
        <v>286</v>
      </c>
      <c r="C167" s="1052">
        <v>0.125</v>
      </c>
      <c r="D167" s="1052">
        <v>0.125</v>
      </c>
      <c r="E167" s="1052">
        <v>0.121</v>
      </c>
      <c r="F167" s="1064"/>
    </row>
    <row r="168" spans="1:6" ht="14.25" thickBot="1">
      <c r="A168" s="826" t="s">
        <v>526</v>
      </c>
      <c r="B168" s="820" t="s">
        <v>296</v>
      </c>
      <c r="C168" s="1052">
        <v>0.13</v>
      </c>
      <c r="D168" s="1052">
        <v>0.13</v>
      </c>
      <c r="E168" s="1052">
        <v>0.126</v>
      </c>
      <c r="F168" s="1064"/>
    </row>
    <row r="169" spans="1:6" ht="14.25" thickBot="1">
      <c r="A169" s="826" t="s">
        <v>526</v>
      </c>
      <c r="B169" s="820" t="s">
        <v>306</v>
      </c>
      <c r="C169" s="1052">
        <v>0.128</v>
      </c>
      <c r="D169" s="1052">
        <v>0.129</v>
      </c>
      <c r="E169" s="1052">
        <v>0.13</v>
      </c>
      <c r="F169" s="1064"/>
    </row>
    <row r="170" spans="1:6" ht="14.25" thickBot="1">
      <c r="A170" s="826" t="s">
        <v>526</v>
      </c>
      <c r="B170" s="820" t="s">
        <v>316</v>
      </c>
      <c r="C170" s="1052">
        <v>0.14099999999999999</v>
      </c>
      <c r="D170" s="1052">
        <v>0.13</v>
      </c>
      <c r="E170" s="1052">
        <v>0.125</v>
      </c>
      <c r="F170" s="1064"/>
    </row>
    <row r="171" spans="1:6" ht="14.25" thickBot="1">
      <c r="A171" s="826" t="s">
        <v>526</v>
      </c>
      <c r="B171" s="820" t="s">
        <v>917</v>
      </c>
      <c r="C171" s="1052">
        <v>0.127</v>
      </c>
      <c r="D171" s="1052">
        <v>0.126</v>
      </c>
      <c r="E171" s="1052">
        <v>0.126</v>
      </c>
      <c r="F171" s="1053">
        <v>0.11799999999999999</v>
      </c>
    </row>
    <row r="172" spans="1:6" ht="14.25" thickBot="1">
      <c r="A172" s="826" t="s">
        <v>526</v>
      </c>
      <c r="B172" s="820" t="s">
        <v>918</v>
      </c>
      <c r="C172" s="1052">
        <v>0.13</v>
      </c>
      <c r="D172" s="1052">
        <v>0.13</v>
      </c>
      <c r="E172" s="1052">
        <v>0.13</v>
      </c>
      <c r="F172" s="1064"/>
    </row>
    <row r="173" spans="1:6" ht="14.25" thickBot="1">
      <c r="A173" s="826" t="s">
        <v>526</v>
      </c>
      <c r="B173" s="820" t="s">
        <v>348</v>
      </c>
      <c r="C173" s="1052">
        <v>0.13</v>
      </c>
      <c r="D173" s="1052">
        <v>0.13</v>
      </c>
      <c r="E173" s="1052">
        <v>0.13</v>
      </c>
      <c r="F173" s="1064"/>
    </row>
    <row r="174" spans="1:6" ht="14.25" thickBot="1">
      <c r="A174" s="826" t="s">
        <v>526</v>
      </c>
      <c r="B174" s="820" t="s">
        <v>919</v>
      </c>
      <c r="C174" s="1052">
        <v>0.13</v>
      </c>
      <c r="D174" s="1052">
        <v>0.13</v>
      </c>
      <c r="E174" s="1052">
        <v>0.13</v>
      </c>
      <c r="F174" s="1053">
        <v>0.13</v>
      </c>
    </row>
    <row r="175" spans="1:6" ht="14.25" thickBot="1">
      <c r="A175" s="826" t="s">
        <v>526</v>
      </c>
      <c r="B175" s="820" t="s">
        <v>920</v>
      </c>
      <c r="C175" s="1052">
        <v>0.13</v>
      </c>
      <c r="D175" s="1052">
        <v>0.13</v>
      </c>
      <c r="E175" s="1052">
        <v>0.13</v>
      </c>
      <c r="F175" s="1053">
        <v>0.13</v>
      </c>
    </row>
    <row r="176" spans="1:6" ht="14.25" thickBot="1">
      <c r="A176" s="826" t="s">
        <v>526</v>
      </c>
      <c r="B176" s="820" t="s">
        <v>378</v>
      </c>
      <c r="C176" s="1052">
        <v>0.13</v>
      </c>
      <c r="D176" s="1052">
        <v>0.13</v>
      </c>
      <c r="E176" s="1052">
        <v>0.13</v>
      </c>
      <c r="F176" s="1053">
        <v>0.13</v>
      </c>
    </row>
    <row r="177" spans="1:6" ht="14.25" thickBot="1">
      <c r="A177" s="826" t="s">
        <v>526</v>
      </c>
      <c r="B177" s="820" t="s">
        <v>921</v>
      </c>
      <c r="C177" s="1052">
        <v>0.13</v>
      </c>
      <c r="D177" s="1052">
        <v>0.13</v>
      </c>
      <c r="E177" s="1052">
        <v>0.13</v>
      </c>
      <c r="F177" s="1053">
        <v>0.13</v>
      </c>
    </row>
    <row r="178" spans="1:6" ht="14.25" thickBot="1">
      <c r="A178" s="826" t="s">
        <v>526</v>
      </c>
      <c r="B178" s="820" t="s">
        <v>396</v>
      </c>
      <c r="C178" s="1052">
        <v>0.13</v>
      </c>
      <c r="D178" s="1052">
        <v>0.13</v>
      </c>
      <c r="E178" s="1052">
        <v>0.13</v>
      </c>
      <c r="F178" s="1053">
        <v>0.127</v>
      </c>
    </row>
    <row r="179" spans="1:6" ht="14.25" thickBot="1">
      <c r="A179" s="826" t="s">
        <v>526</v>
      </c>
      <c r="B179" s="820" t="s">
        <v>404</v>
      </c>
      <c r="C179" s="1052">
        <v>0.13</v>
      </c>
      <c r="D179" s="1052">
        <v>0.13</v>
      </c>
      <c r="E179" s="1052">
        <v>0.13</v>
      </c>
      <c r="F179" s="1064"/>
    </row>
    <row r="180" spans="1:6" ht="14.25" thickBot="1">
      <c r="A180" s="826" t="s">
        <v>526</v>
      </c>
      <c r="B180" s="820" t="s">
        <v>922</v>
      </c>
      <c r="C180" s="1052">
        <v>0.13</v>
      </c>
      <c r="D180" s="1052">
        <v>0.13</v>
      </c>
      <c r="E180" s="1052">
        <v>0.125</v>
      </c>
      <c r="F180" s="1053">
        <v>0.13</v>
      </c>
    </row>
    <row r="181" spans="1:6" ht="14.25" thickBot="1">
      <c r="A181" s="826" t="s">
        <v>526</v>
      </c>
      <c r="B181" s="820" t="s">
        <v>418</v>
      </c>
      <c r="C181" s="1052">
        <v>0.122</v>
      </c>
      <c r="D181" s="1052">
        <v>0.123</v>
      </c>
      <c r="E181" s="1052">
        <v>0.126</v>
      </c>
      <c r="F181" s="1053">
        <v>0.121</v>
      </c>
    </row>
    <row r="182" spans="1:6" ht="14.25" thickBot="1">
      <c r="A182" s="826" t="s">
        <v>526</v>
      </c>
      <c r="B182" s="820" t="s">
        <v>425</v>
      </c>
      <c r="C182" s="1052">
        <v>0.125</v>
      </c>
      <c r="D182" s="1052">
        <v>0.125</v>
      </c>
      <c r="E182" s="1052">
        <v>0.11700000000000001</v>
      </c>
      <c r="F182" s="1053">
        <v>0.13</v>
      </c>
    </row>
    <row r="183" spans="1:6" ht="14.25" thickBot="1">
      <c r="A183" s="826" t="s">
        <v>526</v>
      </c>
      <c r="B183" s="820" t="s">
        <v>432</v>
      </c>
      <c r="C183" s="1052">
        <v>0.127</v>
      </c>
      <c r="D183" s="1052">
        <v>0.127</v>
      </c>
      <c r="E183" s="1052">
        <v>0.128</v>
      </c>
      <c r="F183" s="1064"/>
    </row>
    <row r="184" spans="1:6" ht="14.25" thickBot="1">
      <c r="A184" s="826" t="s">
        <v>526</v>
      </c>
      <c r="B184" s="820" t="s">
        <v>439</v>
      </c>
      <c r="C184" s="1052">
        <v>0.125</v>
      </c>
      <c r="D184" s="1052">
        <v>0.125</v>
      </c>
      <c r="E184" s="1052">
        <v>0.127</v>
      </c>
      <c r="F184" s="1064"/>
    </row>
    <row r="185" spans="1:6" ht="14.25" thickBot="1">
      <c r="A185" s="826" t="s">
        <v>526</v>
      </c>
      <c r="B185" s="820" t="s">
        <v>923</v>
      </c>
      <c r="C185" s="1052">
        <v>0.127</v>
      </c>
      <c r="D185" s="1052">
        <v>0.127</v>
      </c>
      <c r="E185" s="1052">
        <v>0.128</v>
      </c>
      <c r="F185" s="1053">
        <v>0.13</v>
      </c>
    </row>
    <row r="186" spans="1:6" ht="24.75" thickBot="1">
      <c r="A186" s="826" t="s">
        <v>526</v>
      </c>
      <c r="B186" s="820" t="s">
        <v>924</v>
      </c>
      <c r="C186" s="1065"/>
      <c r="D186" s="1065"/>
      <c r="E186" s="1065"/>
      <c r="F186" s="1053">
        <v>0.05</v>
      </c>
    </row>
    <row r="187" spans="1:6" ht="14.25" thickBot="1">
      <c r="A187" s="826" t="s">
        <v>526</v>
      </c>
      <c r="B187" s="820" t="s">
        <v>925</v>
      </c>
      <c r="C187" s="1065"/>
      <c r="D187" s="1065"/>
      <c r="E187" s="1065"/>
      <c r="F187" s="1053">
        <v>0.05</v>
      </c>
    </row>
    <row r="188" spans="1:6" ht="14.25" thickBot="1">
      <c r="A188" s="826" t="s">
        <v>526</v>
      </c>
      <c r="B188" s="820" t="s">
        <v>926</v>
      </c>
      <c r="C188" s="1065"/>
      <c r="D188" s="1065"/>
      <c r="E188" s="1065"/>
      <c r="F188" s="1053">
        <v>0.05</v>
      </c>
    </row>
    <row r="189" spans="1:6" ht="24.75" thickBot="1">
      <c r="A189" s="826" t="s">
        <v>526</v>
      </c>
      <c r="B189" s="820" t="s">
        <v>927</v>
      </c>
      <c r="C189" s="1065"/>
      <c r="D189" s="1065"/>
      <c r="E189" s="1065"/>
      <c r="F189" s="1053">
        <v>0.05</v>
      </c>
    </row>
    <row r="190" spans="1:6" ht="24.75" thickBot="1">
      <c r="A190" s="826" t="s">
        <v>526</v>
      </c>
      <c r="B190" s="820" t="s">
        <v>928</v>
      </c>
      <c r="C190" s="1065"/>
      <c r="D190" s="1065"/>
      <c r="E190" s="1065"/>
      <c r="F190" s="1053">
        <v>0.05</v>
      </c>
    </row>
    <row r="191" spans="1:6" ht="24.75" thickBot="1">
      <c r="A191" s="826" t="s">
        <v>526</v>
      </c>
      <c r="B191" s="820" t="s">
        <v>929</v>
      </c>
      <c r="C191" s="1065"/>
      <c r="D191" s="1065"/>
      <c r="E191" s="1065"/>
      <c r="F191" s="1053">
        <v>0.05</v>
      </c>
    </row>
    <row r="192" spans="1:6" ht="24.75" thickBot="1">
      <c r="A192" s="826" t="s">
        <v>526</v>
      </c>
      <c r="B192" s="820" t="s">
        <v>930</v>
      </c>
      <c r="C192" s="1065"/>
      <c r="D192" s="1065"/>
      <c r="E192" s="1065"/>
      <c r="F192" s="1053">
        <v>0.05</v>
      </c>
    </row>
    <row r="193" spans="1:6" ht="24.75" thickBot="1">
      <c r="A193" s="826" t="s">
        <v>526</v>
      </c>
      <c r="B193" s="820" t="s">
        <v>931</v>
      </c>
      <c r="C193" s="1065"/>
      <c r="D193" s="1065"/>
      <c r="E193" s="1065"/>
      <c r="F193" s="1053">
        <v>0.05</v>
      </c>
    </row>
    <row r="194" spans="1:6" ht="24.75" thickBot="1">
      <c r="A194" s="826" t="s">
        <v>526</v>
      </c>
      <c r="B194" s="820" t="s">
        <v>932</v>
      </c>
      <c r="C194" s="1065"/>
      <c r="D194" s="1065"/>
      <c r="E194" s="1065"/>
      <c r="F194" s="1053">
        <v>0.05</v>
      </c>
    </row>
    <row r="195" spans="1:6" ht="14.25" thickBot="1">
      <c r="A195" s="826" t="s">
        <v>526</v>
      </c>
      <c r="B195" s="820" t="s">
        <v>933</v>
      </c>
      <c r="C195" s="1065"/>
      <c r="D195" s="1065"/>
      <c r="E195" s="1065"/>
      <c r="F195" s="1053">
        <v>0.05</v>
      </c>
    </row>
    <row r="196" spans="1:6" ht="24.75" thickBot="1">
      <c r="A196" s="826" t="s">
        <v>526</v>
      </c>
      <c r="B196" s="820" t="s">
        <v>934</v>
      </c>
      <c r="C196" s="1065"/>
      <c r="D196" s="1065"/>
      <c r="E196" s="1065"/>
      <c r="F196" s="1053">
        <v>0.05</v>
      </c>
    </row>
    <row r="197" spans="1:6" ht="24.75" thickBot="1">
      <c r="A197" s="826" t="s">
        <v>526</v>
      </c>
      <c r="B197" s="820" t="s">
        <v>935</v>
      </c>
      <c r="C197" s="1065"/>
      <c r="D197" s="1065"/>
      <c r="E197" s="1065"/>
      <c r="F197" s="1053">
        <v>0.05</v>
      </c>
    </row>
    <row r="198" spans="1:6" ht="24.75" thickBot="1">
      <c r="A198" s="826" t="s">
        <v>526</v>
      </c>
      <c r="B198" s="820" t="s">
        <v>936</v>
      </c>
      <c r="C198" s="1065"/>
      <c r="D198" s="1065"/>
      <c r="E198" s="1065"/>
      <c r="F198" s="1053">
        <v>0.05</v>
      </c>
    </row>
    <row r="199" spans="1:6" ht="24.75" thickBot="1">
      <c r="A199" s="826" t="s">
        <v>526</v>
      </c>
      <c r="B199" s="820" t="s">
        <v>937</v>
      </c>
      <c r="C199" s="1065"/>
      <c r="D199" s="1065"/>
      <c r="E199" s="1065"/>
      <c r="F199" s="1053">
        <v>0.05</v>
      </c>
    </row>
    <row r="200" spans="1:6" ht="24.75" thickBot="1">
      <c r="A200" s="826" t="s">
        <v>526</v>
      </c>
      <c r="B200" s="820" t="s">
        <v>938</v>
      </c>
      <c r="C200" s="1065"/>
      <c r="D200" s="1065"/>
      <c r="E200" s="1065"/>
      <c r="F200" s="1053">
        <v>0.05</v>
      </c>
    </row>
    <row r="201" spans="1:6" ht="24.75" thickBot="1">
      <c r="A201" s="826" t="s">
        <v>526</v>
      </c>
      <c r="B201" s="820" t="s">
        <v>939</v>
      </c>
      <c r="C201" s="1065"/>
      <c r="D201" s="1065"/>
      <c r="E201" s="1065"/>
      <c r="F201" s="1053">
        <v>0.05</v>
      </c>
    </row>
    <row r="202" spans="1:6" ht="24.75" thickBot="1">
      <c r="A202" s="826" t="s">
        <v>526</v>
      </c>
      <c r="B202" s="820" t="s">
        <v>940</v>
      </c>
      <c r="C202" s="1065"/>
      <c r="D202" s="1065"/>
      <c r="E202" s="1065"/>
      <c r="F202" s="1053">
        <v>0.05</v>
      </c>
    </row>
    <row r="203" spans="1:6" ht="24.75" thickBot="1">
      <c r="A203" s="826" t="s">
        <v>526</v>
      </c>
      <c r="B203" s="820" t="s">
        <v>941</v>
      </c>
      <c r="C203" s="1065"/>
      <c r="D203" s="1065"/>
      <c r="E203" s="1065"/>
      <c r="F203" s="1053">
        <v>0.05</v>
      </c>
    </row>
    <row r="204" spans="1:6" ht="14.25" thickBot="1">
      <c r="A204" s="826" t="s">
        <v>526</v>
      </c>
      <c r="B204" s="820" t="s">
        <v>942</v>
      </c>
      <c r="C204" s="1065"/>
      <c r="D204" s="1065"/>
      <c r="E204" s="1065"/>
      <c r="F204" s="1053">
        <v>0.05</v>
      </c>
    </row>
    <row r="205" spans="1:6" ht="14.25" thickBot="1">
      <c r="A205" s="836" t="s">
        <v>526</v>
      </c>
      <c r="B205" s="832" t="s">
        <v>943</v>
      </c>
      <c r="C205" s="1062"/>
      <c r="D205" s="1062"/>
      <c r="E205" s="1062"/>
      <c r="F205" s="1055">
        <v>0.05</v>
      </c>
    </row>
    <row r="206" spans="1:6" ht="14.25" thickBot="1">
      <c r="A206" s="826" t="s">
        <v>528</v>
      </c>
      <c r="B206" s="827" t="s">
        <v>944</v>
      </c>
      <c r="C206" s="1050">
        <v>0.15</v>
      </c>
      <c r="D206" s="1050">
        <v>0.15</v>
      </c>
      <c r="E206" s="1050">
        <v>0.15</v>
      </c>
      <c r="F206" s="1051">
        <v>0.15</v>
      </c>
    </row>
    <row r="207" spans="1:6" ht="14.25" thickBot="1">
      <c r="A207" s="826" t="s">
        <v>528</v>
      </c>
      <c r="B207" s="820" t="s">
        <v>194</v>
      </c>
      <c r="C207" s="1052">
        <v>0.15</v>
      </c>
      <c r="D207" s="1052">
        <v>0.15</v>
      </c>
      <c r="E207" s="1052">
        <v>0.15</v>
      </c>
      <c r="F207" s="1053">
        <v>0.14399999999999999</v>
      </c>
    </row>
    <row r="208" spans="1:6" ht="14.25" thickBot="1">
      <c r="A208" s="826" t="s">
        <v>528</v>
      </c>
      <c r="B208" s="820" t="s">
        <v>207</v>
      </c>
      <c r="C208" s="1052">
        <v>0.15</v>
      </c>
      <c r="D208" s="1052">
        <v>0.15</v>
      </c>
      <c r="E208" s="1052">
        <v>0.15</v>
      </c>
      <c r="F208" s="1053">
        <v>0.15</v>
      </c>
    </row>
    <row r="209" spans="1:6" ht="14.25" thickBot="1">
      <c r="A209" s="826" t="s">
        <v>528</v>
      </c>
      <c r="B209" s="820" t="s">
        <v>220</v>
      </c>
      <c r="C209" s="1052">
        <v>0.13700000000000001</v>
      </c>
      <c r="D209" s="1052">
        <v>0.13700000000000001</v>
      </c>
      <c r="E209" s="1052">
        <v>0.14000000000000001</v>
      </c>
      <c r="F209" s="1053">
        <v>0.11700000000000001</v>
      </c>
    </row>
    <row r="210" spans="1:6" ht="14.25" thickBot="1">
      <c r="A210" s="826" t="s">
        <v>528</v>
      </c>
      <c r="B210" s="820" t="s">
        <v>945</v>
      </c>
      <c r="C210" s="1052">
        <v>0.15</v>
      </c>
      <c r="D210" s="1052">
        <v>0.15</v>
      </c>
      <c r="E210" s="1052">
        <v>0.15</v>
      </c>
      <c r="F210" s="1053">
        <v>0.13800000000000001</v>
      </c>
    </row>
    <row r="211" spans="1:6" ht="14.25" thickBot="1">
      <c r="A211" s="826" t="s">
        <v>528</v>
      </c>
      <c r="B211" s="820" t="s">
        <v>946</v>
      </c>
      <c r="C211" s="1052">
        <v>0.13700000000000001</v>
      </c>
      <c r="D211" s="1052">
        <v>0.13500000000000001</v>
      </c>
      <c r="E211" s="1052">
        <v>0.13600000000000001</v>
      </c>
      <c r="F211" s="1053">
        <v>0.1</v>
      </c>
    </row>
    <row r="212" spans="1:6" ht="14.25" thickBot="1">
      <c r="A212" s="826" t="s">
        <v>528</v>
      </c>
      <c r="B212" s="820" t="s">
        <v>947</v>
      </c>
      <c r="C212" s="1052">
        <v>0.15</v>
      </c>
      <c r="D212" s="1052">
        <v>0.15</v>
      </c>
      <c r="E212" s="1052">
        <v>0.14799999999999999</v>
      </c>
      <c r="F212" s="1053">
        <v>0.13600000000000001</v>
      </c>
    </row>
    <row r="213" spans="1:6" ht="14.25" thickBot="1">
      <c r="A213" s="826" t="s">
        <v>528</v>
      </c>
      <c r="B213" s="820" t="s">
        <v>265</v>
      </c>
      <c r="C213" s="1052">
        <v>0.15</v>
      </c>
      <c r="D213" s="1052">
        <v>0.15</v>
      </c>
      <c r="E213" s="1052">
        <v>0.15</v>
      </c>
      <c r="F213" s="1053">
        <v>0.13800000000000001</v>
      </c>
    </row>
    <row r="214" spans="1:6" ht="14.25" thickBot="1">
      <c r="A214" s="826" t="s">
        <v>528</v>
      </c>
      <c r="B214" s="820" t="s">
        <v>277</v>
      </c>
      <c r="C214" s="1052">
        <v>9.0999999999999998E-2</v>
      </c>
      <c r="D214" s="1052">
        <v>0.09</v>
      </c>
      <c r="E214" s="1052">
        <v>9.1999999999999998E-2</v>
      </c>
      <c r="F214" s="1064"/>
    </row>
    <row r="215" spans="1:6" ht="14.25" thickBot="1">
      <c r="A215" s="826" t="s">
        <v>528</v>
      </c>
      <c r="B215" s="820" t="s">
        <v>948</v>
      </c>
      <c r="C215" s="1052">
        <v>0.15</v>
      </c>
      <c r="D215" s="1052">
        <v>0.15</v>
      </c>
      <c r="E215" s="1052">
        <v>0.15</v>
      </c>
      <c r="F215" s="1053">
        <v>0.15</v>
      </c>
    </row>
    <row r="216" spans="1:6" ht="14.25" thickBot="1">
      <c r="A216" s="826" t="s">
        <v>528</v>
      </c>
      <c r="B216" s="820" t="s">
        <v>297</v>
      </c>
      <c r="C216" s="1052">
        <v>0.14699999999999999</v>
      </c>
      <c r="D216" s="1052">
        <v>0.14699999999999999</v>
      </c>
      <c r="E216" s="1052">
        <v>0.15</v>
      </c>
      <c r="F216" s="1053">
        <v>0.14000000000000001</v>
      </c>
    </row>
    <row r="217" spans="1:6" ht="14.25" thickBot="1">
      <c r="A217" s="826" t="s">
        <v>528</v>
      </c>
      <c r="B217" s="820" t="s">
        <v>307</v>
      </c>
      <c r="C217" s="1052">
        <v>0.15</v>
      </c>
      <c r="D217" s="1052">
        <v>0.15</v>
      </c>
      <c r="E217" s="1052">
        <v>0.15</v>
      </c>
      <c r="F217" s="1053">
        <v>0.15</v>
      </c>
    </row>
    <row r="218" spans="1:6" ht="14.25" thickBot="1">
      <c r="A218" s="826" t="s">
        <v>528</v>
      </c>
      <c r="B218" s="820" t="s">
        <v>949</v>
      </c>
      <c r="C218" s="1052">
        <v>0.15</v>
      </c>
      <c r="D218" s="1052">
        <v>0.15</v>
      </c>
      <c r="E218" s="1052">
        <v>0.15</v>
      </c>
      <c r="F218" s="1053">
        <v>0.15</v>
      </c>
    </row>
    <row r="219" spans="1:6" ht="14.25" thickBot="1">
      <c r="A219" s="826" t="s">
        <v>528</v>
      </c>
      <c r="B219" s="820" t="s">
        <v>328</v>
      </c>
      <c r="C219" s="1052">
        <v>0.15</v>
      </c>
      <c r="D219" s="1052">
        <v>0.15</v>
      </c>
      <c r="E219" s="1052">
        <v>0.15</v>
      </c>
      <c r="F219" s="1053">
        <v>0.14799999999999999</v>
      </c>
    </row>
    <row r="220" spans="1:6" ht="14.25" thickBot="1">
      <c r="A220" s="826" t="s">
        <v>528</v>
      </c>
      <c r="B220" s="820" t="s">
        <v>950</v>
      </c>
      <c r="C220" s="1052">
        <v>0.15</v>
      </c>
      <c r="D220" s="1052">
        <v>0.15</v>
      </c>
      <c r="E220" s="1052">
        <v>0.15</v>
      </c>
      <c r="F220" s="1053">
        <v>0.15</v>
      </c>
    </row>
    <row r="221" spans="1:6" ht="14.25" thickBot="1">
      <c r="A221" s="826" t="s">
        <v>528</v>
      </c>
      <c r="B221" s="820" t="s">
        <v>349</v>
      </c>
      <c r="C221" s="1052"/>
      <c r="D221" s="1065"/>
      <c r="E221" s="1065"/>
      <c r="F221" s="1053">
        <v>0.14799999999999999</v>
      </c>
    </row>
    <row r="222" spans="1:6" ht="14.25" thickBot="1">
      <c r="A222" s="826" t="s">
        <v>528</v>
      </c>
      <c r="B222" s="820" t="s">
        <v>359</v>
      </c>
      <c r="C222" s="1052"/>
      <c r="D222" s="1065"/>
      <c r="E222" s="1065"/>
      <c r="F222" s="1053">
        <v>0.1</v>
      </c>
    </row>
    <row r="223" spans="1:6" ht="14.25" thickBot="1">
      <c r="A223" s="826" t="s">
        <v>528</v>
      </c>
      <c r="B223" s="820" t="s">
        <v>369</v>
      </c>
      <c r="C223" s="1052"/>
      <c r="D223" s="1065"/>
      <c r="E223" s="1065"/>
      <c r="F223" s="1053">
        <v>0.15</v>
      </c>
    </row>
    <row r="224" spans="1:6" ht="14.25" thickBot="1">
      <c r="A224" s="826" t="s">
        <v>528</v>
      </c>
      <c r="B224" s="820" t="s">
        <v>379</v>
      </c>
      <c r="C224" s="1052"/>
      <c r="D224" s="1065"/>
      <c r="E224" s="1065"/>
      <c r="F224" s="1053">
        <v>0.15</v>
      </c>
    </row>
    <row r="225" spans="1:6" ht="14.25" thickBot="1">
      <c r="A225" s="826" t="s">
        <v>528</v>
      </c>
      <c r="B225" s="820" t="s">
        <v>951</v>
      </c>
      <c r="C225" s="1052">
        <v>0.15</v>
      </c>
      <c r="D225" s="1052">
        <v>0.15</v>
      </c>
      <c r="E225" s="1052">
        <v>0.15</v>
      </c>
      <c r="F225" s="1053">
        <v>0.15</v>
      </c>
    </row>
    <row r="226" spans="1:6" ht="14.25" thickBot="1">
      <c r="A226" s="826" t="s">
        <v>528</v>
      </c>
      <c r="B226" s="820" t="s">
        <v>397</v>
      </c>
      <c r="C226" s="1052">
        <v>0.15</v>
      </c>
      <c r="D226" s="1052">
        <v>0.15</v>
      </c>
      <c r="E226" s="1052">
        <v>0.15</v>
      </c>
      <c r="F226" s="1053">
        <v>0.14799999999999999</v>
      </c>
    </row>
    <row r="227" spans="1:6" ht="14.25" thickBot="1">
      <c r="A227" s="826" t="s">
        <v>528</v>
      </c>
      <c r="B227" s="820" t="s">
        <v>952</v>
      </c>
      <c r="C227" s="1052">
        <v>0.15</v>
      </c>
      <c r="D227" s="1052">
        <v>0.15</v>
      </c>
      <c r="E227" s="1052">
        <v>0.15</v>
      </c>
      <c r="F227" s="1053">
        <v>0.15</v>
      </c>
    </row>
    <row r="228" spans="1:6" ht="14.25" thickBot="1">
      <c r="A228" s="826" t="s">
        <v>528</v>
      </c>
      <c r="B228" s="820" t="s">
        <v>412</v>
      </c>
      <c r="C228" s="1052">
        <v>0.15</v>
      </c>
      <c r="D228" s="1052">
        <v>0.15</v>
      </c>
      <c r="E228" s="1052">
        <v>0.15</v>
      </c>
      <c r="F228" s="1053">
        <v>0.15</v>
      </c>
    </row>
    <row r="229" spans="1:6" ht="14.25" thickBot="1">
      <c r="A229" s="826" t="s">
        <v>528</v>
      </c>
      <c r="B229" s="820" t="s">
        <v>419</v>
      </c>
      <c r="C229" s="1052">
        <v>0.15</v>
      </c>
      <c r="D229" s="1052">
        <v>0.15</v>
      </c>
      <c r="E229" s="1052">
        <v>0.15</v>
      </c>
      <c r="F229" s="1064"/>
    </row>
    <row r="230" spans="1:6" ht="14.25" thickBot="1">
      <c r="A230" s="826" t="s">
        <v>528</v>
      </c>
      <c r="B230" s="820" t="s">
        <v>426</v>
      </c>
      <c r="C230" s="1052">
        <v>0.14499999999999999</v>
      </c>
      <c r="D230" s="1052">
        <v>0.14499999999999999</v>
      </c>
      <c r="E230" s="1052">
        <v>0.14399999999999999</v>
      </c>
      <c r="F230" s="1064"/>
    </row>
    <row r="231" spans="1:6" ht="14.25" thickBot="1">
      <c r="A231" s="826" t="s">
        <v>528</v>
      </c>
      <c r="B231" s="820" t="s">
        <v>953</v>
      </c>
      <c r="C231" s="1052">
        <v>0.128</v>
      </c>
      <c r="D231" s="1052">
        <v>0.125</v>
      </c>
      <c r="E231" s="1052">
        <v>0.13200000000000001</v>
      </c>
      <c r="F231" s="1064"/>
    </row>
    <row r="232" spans="1:6" ht="14.25" thickBot="1">
      <c r="A232" s="826" t="s">
        <v>528</v>
      </c>
      <c r="B232" s="820" t="s">
        <v>954</v>
      </c>
      <c r="C232" s="1052">
        <v>0.14499999999999999</v>
      </c>
      <c r="D232" s="1052">
        <v>0.14399999999999999</v>
      </c>
      <c r="E232" s="1052">
        <v>0.14599999999999999</v>
      </c>
      <c r="F232" s="1053">
        <v>0.13800000000000001</v>
      </c>
    </row>
    <row r="233" spans="1:6" ht="14.25" thickBot="1">
      <c r="A233" s="826" t="s">
        <v>528</v>
      </c>
      <c r="B233" s="820" t="s">
        <v>955</v>
      </c>
      <c r="C233" s="1052">
        <v>0.14499999999999999</v>
      </c>
      <c r="D233" s="1052">
        <v>0.14299999999999999</v>
      </c>
      <c r="E233" s="1052">
        <v>0.14199999999999999</v>
      </c>
      <c r="F233" s="1064"/>
    </row>
    <row r="234" spans="1:6" ht="14.25" thickBot="1">
      <c r="A234" s="826" t="s">
        <v>528</v>
      </c>
      <c r="B234" s="820" t="s">
        <v>956</v>
      </c>
      <c r="C234" s="1052">
        <v>0.14000000000000001</v>
      </c>
      <c r="D234" s="1052">
        <v>0.14000000000000001</v>
      </c>
      <c r="E234" s="1052">
        <v>0.14399999999999999</v>
      </c>
      <c r="F234" s="1064"/>
    </row>
    <row r="235" spans="1:6" ht="14.25" thickBot="1">
      <c r="A235" s="826" t="s">
        <v>528</v>
      </c>
      <c r="B235" s="820" t="s">
        <v>957</v>
      </c>
      <c r="C235" s="1052">
        <v>0.14099999999999999</v>
      </c>
      <c r="D235" s="1052">
        <v>0.14199999999999999</v>
      </c>
      <c r="E235" s="1052">
        <v>0.14499999999999999</v>
      </c>
      <c r="F235" s="1053">
        <v>0.15</v>
      </c>
    </row>
    <row r="236" spans="1:6" ht="14.25" thickBot="1">
      <c r="A236" s="826" t="s">
        <v>528</v>
      </c>
      <c r="B236" s="820" t="s">
        <v>461</v>
      </c>
      <c r="C236" s="1065"/>
      <c r="D236" s="1065"/>
      <c r="E236" s="1065"/>
      <c r="F236" s="1053">
        <v>0.14299999999999999</v>
      </c>
    </row>
    <row r="237" spans="1:6" ht="24.75" thickBot="1">
      <c r="A237" s="826" t="s">
        <v>528</v>
      </c>
      <c r="B237" s="820" t="s">
        <v>958</v>
      </c>
      <c r="C237" s="1065"/>
      <c r="D237" s="1065"/>
      <c r="E237" s="1065"/>
      <c r="F237" s="1053">
        <v>0.05</v>
      </c>
    </row>
    <row r="238" spans="1:6" ht="24.75" thickBot="1">
      <c r="A238" s="826" t="s">
        <v>528</v>
      </c>
      <c r="B238" s="820" t="s">
        <v>959</v>
      </c>
      <c r="C238" s="1065"/>
      <c r="D238" s="1065"/>
      <c r="E238" s="1065"/>
      <c r="F238" s="1053">
        <v>0.05</v>
      </c>
    </row>
    <row r="239" spans="1:6" ht="24.75" thickBot="1">
      <c r="A239" s="826" t="s">
        <v>528</v>
      </c>
      <c r="B239" s="820" t="s">
        <v>960</v>
      </c>
      <c r="C239" s="1065"/>
      <c r="D239" s="1065"/>
      <c r="E239" s="1065"/>
      <c r="F239" s="1053">
        <v>0.05</v>
      </c>
    </row>
    <row r="240" spans="1:6" ht="24.75" thickBot="1">
      <c r="A240" s="826" t="s">
        <v>528</v>
      </c>
      <c r="B240" s="820" t="s">
        <v>961</v>
      </c>
      <c r="C240" s="1065"/>
      <c r="D240" s="1065"/>
      <c r="E240" s="1065"/>
      <c r="F240" s="1053">
        <v>0.05</v>
      </c>
    </row>
    <row r="241" spans="1:6" ht="24.75" thickBot="1">
      <c r="A241" s="826" t="s">
        <v>528</v>
      </c>
      <c r="B241" s="820" t="s">
        <v>962</v>
      </c>
      <c r="C241" s="1065"/>
      <c r="D241" s="1065"/>
      <c r="E241" s="1065"/>
      <c r="F241" s="1053">
        <v>0.05</v>
      </c>
    </row>
    <row r="242" spans="1:6" ht="24.75" thickBot="1">
      <c r="A242" s="826" t="s">
        <v>528</v>
      </c>
      <c r="B242" s="820" t="s">
        <v>963</v>
      </c>
      <c r="C242" s="1065"/>
      <c r="D242" s="1065"/>
      <c r="E242" s="1065"/>
      <c r="F242" s="1053">
        <v>0.05</v>
      </c>
    </row>
    <row r="243" spans="1:6" ht="24.75" thickBot="1">
      <c r="A243" s="826" t="s">
        <v>528</v>
      </c>
      <c r="B243" s="820" t="s">
        <v>964</v>
      </c>
      <c r="C243" s="1065"/>
      <c r="D243" s="1065"/>
      <c r="E243" s="1065"/>
      <c r="F243" s="1053">
        <v>0.05</v>
      </c>
    </row>
    <row r="244" spans="1:6" ht="24.75" thickBot="1">
      <c r="A244" s="836" t="s">
        <v>528</v>
      </c>
      <c r="B244" s="832" t="s">
        <v>965</v>
      </c>
      <c r="C244" s="1062"/>
      <c r="D244" s="1062"/>
      <c r="E244" s="1062"/>
      <c r="F244" s="1055">
        <v>0.05</v>
      </c>
    </row>
    <row r="245" spans="1:6" ht="14.25" thickBot="1">
      <c r="A245" s="826" t="s">
        <v>530</v>
      </c>
      <c r="B245" s="827" t="s">
        <v>966</v>
      </c>
      <c r="C245" s="1050">
        <v>0.15</v>
      </c>
      <c r="D245" s="1050">
        <v>0.15</v>
      </c>
      <c r="E245" s="1050">
        <v>0.15</v>
      </c>
      <c r="F245" s="1051">
        <v>0.14299999999999999</v>
      </c>
    </row>
    <row r="246" spans="1:6" ht="14.25" thickBot="1">
      <c r="A246" s="826" t="s">
        <v>530</v>
      </c>
      <c r="B246" s="820" t="s">
        <v>195</v>
      </c>
      <c r="C246" s="1052">
        <v>0.15</v>
      </c>
      <c r="D246" s="1052">
        <v>0.15</v>
      </c>
      <c r="E246" s="1052">
        <v>0.15</v>
      </c>
      <c r="F246" s="1053">
        <v>0.114</v>
      </c>
    </row>
    <row r="247" spans="1:6" ht="14.25" thickBot="1">
      <c r="A247" s="826" t="s">
        <v>530</v>
      </c>
      <c r="B247" s="820" t="s">
        <v>967</v>
      </c>
      <c r="C247" s="1052">
        <v>0.15</v>
      </c>
      <c r="D247" s="1052">
        <v>0.15</v>
      </c>
      <c r="E247" s="1052">
        <v>0.15</v>
      </c>
      <c r="F247" s="1053">
        <v>0.15</v>
      </c>
    </row>
    <row r="248" spans="1:6" ht="14.25" thickBot="1">
      <c r="A248" s="826" t="s">
        <v>530</v>
      </c>
      <c r="B248" s="820" t="s">
        <v>968</v>
      </c>
      <c r="C248" s="1052">
        <v>0.15</v>
      </c>
      <c r="D248" s="1052">
        <v>0.15</v>
      </c>
      <c r="E248" s="1052">
        <v>0.15</v>
      </c>
      <c r="F248" s="1053">
        <v>0.14000000000000001</v>
      </c>
    </row>
    <row r="249" spans="1:6" ht="14.25" thickBot="1">
      <c r="A249" s="826" t="s">
        <v>530</v>
      </c>
      <c r="B249" s="820" t="s">
        <v>969</v>
      </c>
      <c r="C249" s="1052">
        <v>0.15</v>
      </c>
      <c r="D249" s="1052">
        <v>0.14899999999999999</v>
      </c>
      <c r="E249" s="1052">
        <v>0.15</v>
      </c>
      <c r="F249" s="1053">
        <v>0.1</v>
      </c>
    </row>
    <row r="250" spans="1:6" ht="14.25" thickBot="1">
      <c r="A250" s="826" t="s">
        <v>530</v>
      </c>
      <c r="B250" s="820" t="s">
        <v>970</v>
      </c>
      <c r="C250" s="1052">
        <v>0.15</v>
      </c>
      <c r="D250" s="1052">
        <v>0.15</v>
      </c>
      <c r="E250" s="1052">
        <v>0.15</v>
      </c>
      <c r="F250" s="1053">
        <v>0.14399999999999999</v>
      </c>
    </row>
    <row r="251" spans="1:6" ht="14.25" thickBot="1">
      <c r="A251" s="826" t="s">
        <v>530</v>
      </c>
      <c r="B251" s="820" t="s">
        <v>255</v>
      </c>
      <c r="C251" s="1052">
        <v>0.15</v>
      </c>
      <c r="D251" s="1052">
        <v>0.15</v>
      </c>
      <c r="E251" s="1052">
        <v>0.15</v>
      </c>
      <c r="F251" s="1053">
        <v>0.14299999999999999</v>
      </c>
    </row>
    <row r="252" spans="1:6" ht="14.25" thickBot="1">
      <c r="A252" s="826" t="s">
        <v>530</v>
      </c>
      <c r="B252" s="820" t="s">
        <v>266</v>
      </c>
      <c r="C252" s="1052">
        <v>0.15</v>
      </c>
      <c r="D252" s="1052">
        <v>0.15</v>
      </c>
      <c r="E252" s="1052">
        <v>0.15</v>
      </c>
      <c r="F252" s="1053">
        <v>0.1</v>
      </c>
    </row>
    <row r="253" spans="1:6" ht="14.25" thickBot="1">
      <c r="A253" s="826" t="s">
        <v>530</v>
      </c>
      <c r="B253" s="820" t="s">
        <v>278</v>
      </c>
      <c r="C253" s="1052">
        <v>0.15</v>
      </c>
      <c r="D253" s="1052">
        <v>0.15</v>
      </c>
      <c r="E253" s="1052">
        <v>0.15</v>
      </c>
      <c r="F253" s="1053">
        <v>0.1</v>
      </c>
    </row>
    <row r="254" spans="1:6" ht="14.25" thickBot="1">
      <c r="A254" s="826" t="s">
        <v>530</v>
      </c>
      <c r="B254" s="820" t="s">
        <v>288</v>
      </c>
      <c r="C254" s="1065"/>
      <c r="D254" s="1065"/>
      <c r="E254" s="1065"/>
      <c r="F254" s="1053">
        <v>0.15</v>
      </c>
    </row>
    <row r="255" spans="1:6" ht="14.25" thickBot="1">
      <c r="A255" s="826" t="s">
        <v>530</v>
      </c>
      <c r="B255" s="820" t="s">
        <v>298</v>
      </c>
      <c r="C255" s="1065"/>
      <c r="D255" s="1065"/>
      <c r="E255" s="1065"/>
      <c r="F255" s="1053">
        <v>0.14299999999999999</v>
      </c>
    </row>
    <row r="256" spans="1:6" ht="14.25" thickBot="1">
      <c r="A256" s="826" t="s">
        <v>530</v>
      </c>
      <c r="B256" s="820" t="s">
        <v>971</v>
      </c>
      <c r="C256" s="1052">
        <v>0.14599999999999999</v>
      </c>
      <c r="D256" s="1052">
        <v>0.14699999999999999</v>
      </c>
      <c r="E256" s="1052">
        <v>0.15</v>
      </c>
      <c r="F256" s="1053">
        <v>0.13200000000000001</v>
      </c>
    </row>
    <row r="257" spans="1:6" ht="14.25" thickBot="1">
      <c r="A257" s="826" t="s">
        <v>530</v>
      </c>
      <c r="B257" s="820" t="s">
        <v>318</v>
      </c>
      <c r="C257" s="1052">
        <v>0.15</v>
      </c>
      <c r="D257" s="1052">
        <v>0.15</v>
      </c>
      <c r="E257" s="1052">
        <v>0.15</v>
      </c>
      <c r="F257" s="1053">
        <v>0.13900000000000001</v>
      </c>
    </row>
    <row r="258" spans="1:6" ht="14.25" thickBot="1">
      <c r="A258" s="826" t="s">
        <v>530</v>
      </c>
      <c r="B258" s="820" t="s">
        <v>329</v>
      </c>
      <c r="C258" s="1052">
        <v>0.15</v>
      </c>
      <c r="D258" s="1052">
        <v>0.15</v>
      </c>
      <c r="E258" s="1052">
        <v>0.15</v>
      </c>
      <c r="F258" s="1053">
        <v>0.13</v>
      </c>
    </row>
    <row r="259" spans="1:6" ht="14.25" thickBot="1">
      <c r="A259" s="826" t="s">
        <v>530</v>
      </c>
      <c r="B259" s="820" t="s">
        <v>972</v>
      </c>
      <c r="C259" s="1052">
        <v>0.14799999999999999</v>
      </c>
      <c r="D259" s="1052">
        <v>0.14899999999999999</v>
      </c>
      <c r="E259" s="1052">
        <v>0.15</v>
      </c>
      <c r="F259" s="1053">
        <v>0.13700000000000001</v>
      </c>
    </row>
    <row r="260" spans="1:6" ht="14.25" thickBot="1">
      <c r="A260" s="826" t="s">
        <v>530</v>
      </c>
      <c r="B260" s="820" t="s">
        <v>350</v>
      </c>
      <c r="C260" s="1052">
        <v>0.15</v>
      </c>
      <c r="D260" s="1052">
        <v>0.15</v>
      </c>
      <c r="E260" s="1052">
        <v>0.15</v>
      </c>
      <c r="F260" s="1053">
        <v>0.14199999999999999</v>
      </c>
    </row>
    <row r="261" spans="1:6" ht="14.25" thickBot="1">
      <c r="A261" s="826" t="s">
        <v>530</v>
      </c>
      <c r="B261" s="820" t="s">
        <v>360</v>
      </c>
      <c r="C261" s="1052">
        <v>0.15</v>
      </c>
      <c r="D261" s="1052">
        <v>0.15</v>
      </c>
      <c r="E261" s="1052">
        <v>0.14899999999999999</v>
      </c>
      <c r="F261" s="1053">
        <v>0.14799999999999999</v>
      </c>
    </row>
    <row r="262" spans="1:6" ht="14.25" thickBot="1">
      <c r="A262" s="826" t="s">
        <v>530</v>
      </c>
      <c r="B262" s="820" t="s">
        <v>370</v>
      </c>
      <c r="C262" s="1052">
        <v>0.15</v>
      </c>
      <c r="D262" s="1052">
        <v>0.15</v>
      </c>
      <c r="E262" s="1052">
        <v>0.15</v>
      </c>
      <c r="F262" s="1064"/>
    </row>
    <row r="263" spans="1:6" ht="14.25" thickBot="1">
      <c r="A263" s="826" t="s">
        <v>530</v>
      </c>
      <c r="B263" s="820" t="s">
        <v>973</v>
      </c>
      <c r="C263" s="1052">
        <v>0.14899999999999999</v>
      </c>
      <c r="D263" s="1052">
        <v>0.14899999999999999</v>
      </c>
      <c r="E263" s="1052">
        <v>0.15</v>
      </c>
      <c r="F263" s="1053">
        <v>0.13</v>
      </c>
    </row>
    <row r="264" spans="1:6" ht="14.25" thickBot="1">
      <c r="A264" s="826" t="s">
        <v>530</v>
      </c>
      <c r="B264" s="820" t="s">
        <v>389</v>
      </c>
      <c r="C264" s="1052">
        <v>0.14799999999999999</v>
      </c>
      <c r="D264" s="1052">
        <v>0.14699999999999999</v>
      </c>
      <c r="E264" s="1052">
        <v>0.15</v>
      </c>
      <c r="F264" s="1053">
        <v>7.8E-2</v>
      </c>
    </row>
    <row r="265" spans="1:6" ht="14.25" thickBot="1">
      <c r="A265" s="826" t="s">
        <v>530</v>
      </c>
      <c r="B265" s="820" t="s">
        <v>398</v>
      </c>
      <c r="C265" s="1052">
        <v>0.15</v>
      </c>
      <c r="D265" s="1052">
        <v>0.15</v>
      </c>
      <c r="E265" s="1052">
        <v>0.15</v>
      </c>
      <c r="F265" s="1053">
        <v>7.3999999999999996E-2</v>
      </c>
    </row>
    <row r="266" spans="1:6" ht="14.25" thickBot="1">
      <c r="A266" s="826" t="s">
        <v>530</v>
      </c>
      <c r="B266" s="820" t="s">
        <v>406</v>
      </c>
      <c r="C266" s="1052">
        <v>0.14699999999999999</v>
      </c>
      <c r="D266" s="1052">
        <v>0.14699999999999999</v>
      </c>
      <c r="E266" s="1052">
        <v>0.15</v>
      </c>
      <c r="F266" s="1053">
        <v>0.14299999999999999</v>
      </c>
    </row>
    <row r="267" spans="1:6" ht="14.25" thickBot="1">
      <c r="A267" s="826" t="s">
        <v>530</v>
      </c>
      <c r="B267" s="820" t="s">
        <v>413</v>
      </c>
      <c r="C267" s="1052">
        <v>0.14199999999999999</v>
      </c>
      <c r="D267" s="1052">
        <v>0.14299999999999999</v>
      </c>
      <c r="E267" s="1052">
        <v>0.15</v>
      </c>
      <c r="F267" s="1064"/>
    </row>
    <row r="268" spans="1:6" ht="14.25" thickBot="1">
      <c r="A268" s="826" t="s">
        <v>530</v>
      </c>
      <c r="B268" s="820" t="s">
        <v>974</v>
      </c>
      <c r="C268" s="1052">
        <v>0.15</v>
      </c>
      <c r="D268" s="1052">
        <v>0.15</v>
      </c>
      <c r="E268" s="1052">
        <v>0.15</v>
      </c>
      <c r="F268" s="1053">
        <v>0.13</v>
      </c>
    </row>
    <row r="269" spans="1:6" ht="14.25" thickBot="1">
      <c r="A269" s="826" t="s">
        <v>530</v>
      </c>
      <c r="B269" s="820" t="s">
        <v>427</v>
      </c>
      <c r="C269" s="1052">
        <v>0.15</v>
      </c>
      <c r="D269" s="1052">
        <v>0.15</v>
      </c>
      <c r="E269" s="1052">
        <v>0.15</v>
      </c>
      <c r="F269" s="1053">
        <v>0.14299999999999999</v>
      </c>
    </row>
    <row r="270" spans="1:6" ht="14.25" thickBot="1">
      <c r="A270" s="826" t="s">
        <v>530</v>
      </c>
      <c r="B270" s="820" t="s">
        <v>434</v>
      </c>
      <c r="C270" s="1052">
        <v>0.14499999999999999</v>
      </c>
      <c r="D270" s="1052">
        <v>0.14499999999999999</v>
      </c>
      <c r="E270" s="1052">
        <v>0.15</v>
      </c>
      <c r="F270" s="1053">
        <v>0.14699999999999999</v>
      </c>
    </row>
    <row r="271" spans="1:6" ht="14.25" thickBot="1">
      <c r="A271" s="826" t="s">
        <v>530</v>
      </c>
      <c r="B271" s="820" t="s">
        <v>441</v>
      </c>
      <c r="C271" s="1052">
        <v>0.15</v>
      </c>
      <c r="D271" s="1052">
        <v>0.15</v>
      </c>
      <c r="E271" s="1052">
        <v>0.15</v>
      </c>
      <c r="F271" s="1053">
        <v>0.13800000000000001</v>
      </c>
    </row>
    <row r="272" spans="1:6" ht="14.25" thickBot="1">
      <c r="A272" s="826" t="s">
        <v>530</v>
      </c>
      <c r="B272" s="820" t="s">
        <v>448</v>
      </c>
      <c r="C272" s="1065"/>
      <c r="D272" s="1065"/>
      <c r="E272" s="1065"/>
      <c r="F272" s="1053">
        <v>0.14000000000000001</v>
      </c>
    </row>
    <row r="273" spans="1:6" ht="14.25" thickBot="1">
      <c r="A273" s="826" t="s">
        <v>530</v>
      </c>
      <c r="B273" s="820" t="s">
        <v>975</v>
      </c>
      <c r="C273" s="1052">
        <v>0.14199999999999999</v>
      </c>
      <c r="D273" s="1052">
        <v>0.14299999999999999</v>
      </c>
      <c r="E273" s="1052">
        <v>0.15</v>
      </c>
      <c r="F273" s="1053">
        <v>0.1</v>
      </c>
    </row>
    <row r="274" spans="1:6" ht="14.25" thickBot="1">
      <c r="A274" s="826" t="s">
        <v>530</v>
      </c>
      <c r="B274" s="820" t="s">
        <v>976</v>
      </c>
      <c r="C274" s="1052">
        <v>0.14799999999999999</v>
      </c>
      <c r="D274" s="1052">
        <v>0.14799999999999999</v>
      </c>
      <c r="E274" s="1052">
        <v>0.15</v>
      </c>
      <c r="F274" s="1053">
        <v>6.7000000000000004E-2</v>
      </c>
    </row>
    <row r="275" spans="1:6" ht="14.25" thickBot="1">
      <c r="A275" s="826" t="s">
        <v>530</v>
      </c>
      <c r="B275" s="820" t="s">
        <v>977</v>
      </c>
      <c r="C275" s="1052">
        <v>0.15</v>
      </c>
      <c r="D275" s="1052">
        <v>0.15</v>
      </c>
      <c r="E275" s="1052">
        <v>0.15</v>
      </c>
      <c r="F275" s="1053">
        <v>0.15</v>
      </c>
    </row>
    <row r="276" spans="1:6" ht="14.25" thickBot="1">
      <c r="A276" s="826" t="s">
        <v>530</v>
      </c>
      <c r="B276" s="820" t="s">
        <v>978</v>
      </c>
      <c r="C276" s="1052">
        <v>0.14499999999999999</v>
      </c>
      <c r="D276" s="1052">
        <v>0.14299999999999999</v>
      </c>
      <c r="E276" s="1052">
        <v>0.15</v>
      </c>
      <c r="F276" s="1053">
        <v>5.8999999999999997E-2</v>
      </c>
    </row>
    <row r="277" spans="1:6" ht="14.25" thickBot="1">
      <c r="A277" s="826" t="s">
        <v>530</v>
      </c>
      <c r="B277" s="820" t="s">
        <v>979</v>
      </c>
      <c r="C277" s="1052">
        <v>0.15</v>
      </c>
      <c r="D277" s="1052">
        <v>0.15</v>
      </c>
      <c r="E277" s="1052">
        <v>0.15</v>
      </c>
      <c r="F277" s="1053">
        <v>0.121</v>
      </c>
    </row>
    <row r="278" spans="1:6" ht="14.25" thickBot="1">
      <c r="A278" s="826" t="s">
        <v>530</v>
      </c>
      <c r="B278" s="820" t="s">
        <v>980</v>
      </c>
      <c r="C278" s="1052">
        <v>0.15</v>
      </c>
      <c r="D278" s="1052">
        <v>0.15</v>
      </c>
      <c r="E278" s="1052">
        <v>0.15</v>
      </c>
      <c r="F278" s="1053">
        <v>0.13800000000000001</v>
      </c>
    </row>
    <row r="279" spans="1:6" ht="24.75" thickBot="1">
      <c r="A279" s="826" t="s">
        <v>530</v>
      </c>
      <c r="B279" s="820" t="s">
        <v>981</v>
      </c>
      <c r="C279" s="1065"/>
      <c r="D279" s="1065"/>
      <c r="E279" s="1065"/>
      <c r="F279" s="1053">
        <v>0.05</v>
      </c>
    </row>
    <row r="280" spans="1:6" ht="24.75" thickBot="1">
      <c r="A280" s="826" t="s">
        <v>530</v>
      </c>
      <c r="B280" s="820" t="s">
        <v>982</v>
      </c>
      <c r="C280" s="1065"/>
      <c r="D280" s="1065"/>
      <c r="E280" s="1065"/>
      <c r="F280" s="1053">
        <v>0.05</v>
      </c>
    </row>
    <row r="281" spans="1:6" ht="24.75" thickBot="1">
      <c r="A281" s="826" t="s">
        <v>530</v>
      </c>
      <c r="B281" s="820" t="s">
        <v>983</v>
      </c>
      <c r="C281" s="1065"/>
      <c r="D281" s="1065"/>
      <c r="E281" s="1065"/>
      <c r="F281" s="1053">
        <v>0.05</v>
      </c>
    </row>
    <row r="282" spans="1:6" ht="24.75" thickBot="1">
      <c r="A282" s="826" t="s">
        <v>530</v>
      </c>
      <c r="B282" s="820" t="s">
        <v>984</v>
      </c>
      <c r="C282" s="1065"/>
      <c r="D282" s="1065"/>
      <c r="E282" s="1065"/>
      <c r="F282" s="1053">
        <v>0.05</v>
      </c>
    </row>
    <row r="283" spans="1:6" ht="24.75" thickBot="1">
      <c r="A283" s="826" t="s">
        <v>530</v>
      </c>
      <c r="B283" s="820" t="s">
        <v>985</v>
      </c>
      <c r="C283" s="1065"/>
      <c r="D283" s="1065"/>
      <c r="E283" s="1065"/>
      <c r="F283" s="1053">
        <v>0.05</v>
      </c>
    </row>
    <row r="284" spans="1:6" ht="24.75" thickBot="1">
      <c r="A284" s="826" t="s">
        <v>530</v>
      </c>
      <c r="B284" s="820" t="s">
        <v>986</v>
      </c>
      <c r="C284" s="1065"/>
      <c r="D284" s="1065"/>
      <c r="E284" s="1065"/>
      <c r="F284" s="1053">
        <v>0.05</v>
      </c>
    </row>
    <row r="285" spans="1:6" ht="24.75" thickBot="1">
      <c r="A285" s="826" t="s">
        <v>530</v>
      </c>
      <c r="B285" s="820" t="s">
        <v>987</v>
      </c>
      <c r="C285" s="1065"/>
      <c r="D285" s="1065"/>
      <c r="E285" s="1065"/>
      <c r="F285" s="1053">
        <v>0.05</v>
      </c>
    </row>
    <row r="286" spans="1:6" ht="24.75" thickBot="1">
      <c r="A286" s="826" t="s">
        <v>530</v>
      </c>
      <c r="B286" s="820" t="s">
        <v>988</v>
      </c>
      <c r="C286" s="1065"/>
      <c r="D286" s="1065"/>
      <c r="E286" s="1065"/>
      <c r="F286" s="1053">
        <v>0.05</v>
      </c>
    </row>
    <row r="287" spans="1:6" ht="24.75" thickBot="1">
      <c r="A287" s="826" t="s">
        <v>530</v>
      </c>
      <c r="B287" s="820" t="s">
        <v>989</v>
      </c>
      <c r="C287" s="1065"/>
      <c r="D287" s="1065"/>
      <c r="E287" s="1065"/>
      <c r="F287" s="1053">
        <v>0.05</v>
      </c>
    </row>
    <row r="288" spans="1:6" ht="24.75" thickBot="1">
      <c r="A288" s="826" t="s">
        <v>530</v>
      </c>
      <c r="B288" s="820" t="s">
        <v>990</v>
      </c>
      <c r="C288" s="1065"/>
      <c r="D288" s="1065"/>
      <c r="E288" s="1065"/>
      <c r="F288" s="1053">
        <v>0.05</v>
      </c>
    </row>
    <row r="289" spans="1:6" ht="24.75" thickBot="1">
      <c r="A289" s="836" t="s">
        <v>530</v>
      </c>
      <c r="B289" s="832" t="s">
        <v>991</v>
      </c>
      <c r="C289" s="1062"/>
      <c r="D289" s="1062"/>
      <c r="E289" s="1062"/>
      <c r="F289" s="1055">
        <v>0.05</v>
      </c>
    </row>
    <row r="290" spans="1:6" ht="14.25" thickBot="1">
      <c r="A290" s="826" t="s">
        <v>534</v>
      </c>
      <c r="B290" s="827" t="s">
        <v>992</v>
      </c>
      <c r="C290" s="1050">
        <v>0.15</v>
      </c>
      <c r="D290" s="1050">
        <v>0.15</v>
      </c>
      <c r="E290" s="1050">
        <v>0.15</v>
      </c>
      <c r="F290" s="1067"/>
    </row>
    <row r="291" spans="1:6" ht="14.25" thickBot="1">
      <c r="A291" s="826" t="s">
        <v>534</v>
      </c>
      <c r="B291" s="820" t="s">
        <v>196</v>
      </c>
      <c r="C291" s="1052">
        <v>0.15</v>
      </c>
      <c r="D291" s="1052">
        <v>0.15</v>
      </c>
      <c r="E291" s="1052">
        <v>0.15</v>
      </c>
      <c r="F291" s="1064"/>
    </row>
    <row r="292" spans="1:6" ht="14.25" thickBot="1">
      <c r="A292" s="826" t="s">
        <v>534</v>
      </c>
      <c r="B292" s="820" t="s">
        <v>993</v>
      </c>
      <c r="C292" s="1052">
        <v>0.15</v>
      </c>
      <c r="D292" s="1052">
        <v>0.15</v>
      </c>
      <c r="E292" s="1052">
        <v>0.15</v>
      </c>
      <c r="F292" s="1053">
        <v>0.14699999999999999</v>
      </c>
    </row>
    <row r="293" spans="1:6" ht="14.25" thickBot="1">
      <c r="A293" s="826" t="s">
        <v>534</v>
      </c>
      <c r="B293" s="820" t="s">
        <v>994</v>
      </c>
      <c r="C293" s="1065"/>
      <c r="D293" s="1065"/>
      <c r="E293" s="1065"/>
      <c r="F293" s="1053">
        <v>0.1</v>
      </c>
    </row>
    <row r="294" spans="1:6" ht="14.25" thickBot="1">
      <c r="A294" s="826" t="s">
        <v>534</v>
      </c>
      <c r="B294" s="820" t="s">
        <v>995</v>
      </c>
      <c r="C294" s="1052">
        <v>0.15</v>
      </c>
      <c r="D294" s="1052">
        <v>0.15</v>
      </c>
      <c r="E294" s="1052">
        <v>0.15</v>
      </c>
      <c r="F294" s="1053">
        <v>0.15</v>
      </c>
    </row>
    <row r="295" spans="1:6" ht="14.25" thickBot="1">
      <c r="A295" s="826" t="s">
        <v>534</v>
      </c>
      <c r="B295" s="820" t="s">
        <v>234</v>
      </c>
      <c r="C295" s="1052">
        <v>0.15</v>
      </c>
      <c r="D295" s="1052">
        <v>0.15</v>
      </c>
      <c r="E295" s="1052">
        <v>0.15</v>
      </c>
      <c r="F295" s="1053">
        <v>0.15</v>
      </c>
    </row>
    <row r="296" spans="1:6" ht="14.25" thickBot="1">
      <c r="A296" s="826" t="s">
        <v>534</v>
      </c>
      <c r="B296" s="820" t="s">
        <v>996</v>
      </c>
      <c r="C296" s="1052">
        <v>0.15</v>
      </c>
      <c r="D296" s="1052">
        <v>0.15</v>
      </c>
      <c r="E296" s="1052">
        <v>0.15</v>
      </c>
      <c r="F296" s="1053">
        <v>0.15</v>
      </c>
    </row>
    <row r="297" spans="1:6" ht="14.25" thickBot="1">
      <c r="A297" s="826" t="s">
        <v>534</v>
      </c>
      <c r="B297" s="820" t="s">
        <v>997</v>
      </c>
      <c r="C297" s="1052">
        <v>0.14799999999999999</v>
      </c>
      <c r="D297" s="1052">
        <v>0.14899999999999999</v>
      </c>
      <c r="E297" s="1052">
        <v>0.15</v>
      </c>
      <c r="F297" s="1053">
        <v>0.13700000000000001</v>
      </c>
    </row>
    <row r="298" spans="1:6" ht="14.25" thickBot="1">
      <c r="A298" s="826" t="s">
        <v>534</v>
      </c>
      <c r="B298" s="820" t="s">
        <v>267</v>
      </c>
      <c r="C298" s="1052">
        <v>0.13400000000000001</v>
      </c>
      <c r="D298" s="1052">
        <v>0.13400000000000001</v>
      </c>
      <c r="E298" s="1052">
        <v>0.14499999999999999</v>
      </c>
      <c r="F298" s="1053">
        <v>0.14799999999999999</v>
      </c>
    </row>
    <row r="299" spans="1:6" ht="14.25" thickBot="1">
      <c r="A299" s="826" t="s">
        <v>534</v>
      </c>
      <c r="B299" s="820" t="s">
        <v>279</v>
      </c>
      <c r="C299" s="1052">
        <v>0.15</v>
      </c>
      <c r="D299" s="1052">
        <v>0.15</v>
      </c>
      <c r="E299" s="1052">
        <v>0.15</v>
      </c>
      <c r="F299" s="1064"/>
    </row>
    <row r="300" spans="1:6" ht="14.25" thickBot="1">
      <c r="A300" s="826" t="s">
        <v>534</v>
      </c>
      <c r="B300" s="820" t="s">
        <v>998</v>
      </c>
      <c r="C300" s="1052">
        <v>0.15</v>
      </c>
      <c r="D300" s="1052">
        <v>0.15</v>
      </c>
      <c r="E300" s="1052">
        <v>0.15</v>
      </c>
      <c r="F300" s="1053">
        <v>0.15</v>
      </c>
    </row>
    <row r="301" spans="1:6" ht="14.25" thickBot="1">
      <c r="A301" s="826" t="s">
        <v>534</v>
      </c>
      <c r="B301" s="820" t="s">
        <v>299</v>
      </c>
      <c r="C301" s="1052">
        <v>0.15</v>
      </c>
      <c r="D301" s="1052">
        <v>0.15</v>
      </c>
      <c r="E301" s="1052">
        <v>0.15</v>
      </c>
      <c r="F301" s="1064"/>
    </row>
    <row r="302" spans="1:6" ht="14.25" thickBot="1">
      <c r="A302" s="826" t="s">
        <v>534</v>
      </c>
      <c r="B302" s="820" t="s">
        <v>999</v>
      </c>
      <c r="C302" s="1052">
        <v>0.15</v>
      </c>
      <c r="D302" s="1052">
        <v>0.15</v>
      </c>
      <c r="E302" s="1052">
        <v>0.15</v>
      </c>
      <c r="F302" s="1053">
        <v>0.15</v>
      </c>
    </row>
    <row r="303" spans="1:6" ht="14.25" thickBot="1">
      <c r="A303" s="826" t="s">
        <v>534</v>
      </c>
      <c r="B303" s="820" t="s">
        <v>319</v>
      </c>
      <c r="C303" s="1052">
        <v>0.15</v>
      </c>
      <c r="D303" s="1052">
        <v>0.15</v>
      </c>
      <c r="E303" s="1052">
        <v>0.15</v>
      </c>
      <c r="F303" s="1053">
        <v>0.15</v>
      </c>
    </row>
    <row r="304" spans="1:6" ht="14.25" thickBot="1">
      <c r="A304" s="826" t="s">
        <v>534</v>
      </c>
      <c r="B304" s="820" t="s">
        <v>330</v>
      </c>
      <c r="C304" s="1052">
        <v>0.15</v>
      </c>
      <c r="D304" s="1052">
        <v>0.15</v>
      </c>
      <c r="E304" s="1052">
        <v>0.15</v>
      </c>
      <c r="F304" s="1064"/>
    </row>
    <row r="305" spans="1:6" ht="14.25" thickBot="1">
      <c r="A305" s="826" t="s">
        <v>534</v>
      </c>
      <c r="B305" s="820" t="s">
        <v>1000</v>
      </c>
      <c r="C305" s="1052">
        <v>0.15</v>
      </c>
      <c r="D305" s="1052">
        <v>0.15</v>
      </c>
      <c r="E305" s="1052">
        <v>0.15</v>
      </c>
      <c r="F305" s="1053">
        <v>0.14000000000000001</v>
      </c>
    </row>
    <row r="306" spans="1:6" ht="14.25" thickBot="1">
      <c r="A306" s="826" t="s">
        <v>534</v>
      </c>
      <c r="B306" s="820" t="s">
        <v>351</v>
      </c>
      <c r="C306" s="1052">
        <v>0.15</v>
      </c>
      <c r="D306" s="1052">
        <v>0.15</v>
      </c>
      <c r="E306" s="1052">
        <v>0.15</v>
      </c>
      <c r="F306" s="1064"/>
    </row>
    <row r="307" spans="1:6" ht="14.25" thickBot="1">
      <c r="A307" s="826" t="s">
        <v>534</v>
      </c>
      <c r="B307" s="820" t="s">
        <v>1001</v>
      </c>
      <c r="C307" s="1052">
        <v>0.15</v>
      </c>
      <c r="D307" s="1052">
        <v>0.15</v>
      </c>
      <c r="E307" s="1052">
        <v>0.15</v>
      </c>
      <c r="F307" s="1053">
        <v>0.14299999999999999</v>
      </c>
    </row>
    <row r="308" spans="1:6" ht="14.25" thickBot="1">
      <c r="A308" s="826" t="s">
        <v>534</v>
      </c>
      <c r="B308" s="820" t="s">
        <v>371</v>
      </c>
      <c r="C308" s="1052">
        <v>0.15</v>
      </c>
      <c r="D308" s="1052">
        <v>0.15</v>
      </c>
      <c r="E308" s="1052">
        <v>0.15</v>
      </c>
      <c r="F308" s="1053">
        <v>0.15</v>
      </c>
    </row>
    <row r="309" spans="1:6" ht="14.25" thickBot="1">
      <c r="A309" s="826" t="s">
        <v>534</v>
      </c>
      <c r="B309" s="820" t="s">
        <v>381</v>
      </c>
      <c r="C309" s="1052">
        <v>0.15</v>
      </c>
      <c r="D309" s="1052">
        <v>0.15</v>
      </c>
      <c r="E309" s="1052">
        <v>0.15</v>
      </c>
      <c r="F309" s="1064"/>
    </row>
    <row r="310" spans="1:6" ht="14.25" thickBot="1">
      <c r="A310" s="826" t="s">
        <v>534</v>
      </c>
      <c r="B310" s="820" t="s">
        <v>1002</v>
      </c>
      <c r="C310" s="1052">
        <v>0.15</v>
      </c>
      <c r="D310" s="1052">
        <v>0.15</v>
      </c>
      <c r="E310" s="1052">
        <v>0.15</v>
      </c>
      <c r="F310" s="1053">
        <v>0.13700000000000001</v>
      </c>
    </row>
    <row r="311" spans="1:6" ht="14.25" thickBot="1">
      <c r="A311" s="826" t="s">
        <v>534</v>
      </c>
      <c r="B311" s="820" t="s">
        <v>1003</v>
      </c>
      <c r="C311" s="1052">
        <v>0.15</v>
      </c>
      <c r="D311" s="1052">
        <v>0.15</v>
      </c>
      <c r="E311" s="1052">
        <v>0.15</v>
      </c>
      <c r="F311" s="1053">
        <v>0.15</v>
      </c>
    </row>
    <row r="312" spans="1:6" ht="14.25" thickBot="1">
      <c r="A312" s="826" t="s">
        <v>534</v>
      </c>
      <c r="B312" s="820" t="s">
        <v>407</v>
      </c>
      <c r="C312" s="1052">
        <v>0.15</v>
      </c>
      <c r="D312" s="1052">
        <v>0.15</v>
      </c>
      <c r="E312" s="1052">
        <v>0.15</v>
      </c>
      <c r="F312" s="1053">
        <v>0.1</v>
      </c>
    </row>
    <row r="313" spans="1:6" ht="14.25" thickBot="1">
      <c r="A313" s="826" t="s">
        <v>534</v>
      </c>
      <c r="B313" s="820" t="s">
        <v>1004</v>
      </c>
      <c r="C313" s="1052">
        <v>0.15</v>
      </c>
      <c r="D313" s="1052">
        <v>0.15</v>
      </c>
      <c r="E313" s="1052">
        <v>0.15</v>
      </c>
      <c r="F313" s="1053">
        <v>0.15</v>
      </c>
    </row>
    <row r="314" spans="1:6" ht="24.75" thickBot="1">
      <c r="A314" s="826" t="s">
        <v>534</v>
      </c>
      <c r="B314" s="820" t="s">
        <v>1005</v>
      </c>
      <c r="C314" s="1065"/>
      <c r="D314" s="1065"/>
      <c r="E314" s="1065"/>
      <c r="F314" s="1053">
        <v>0.05</v>
      </c>
    </row>
    <row r="315" spans="1:6" ht="24.75" thickBot="1">
      <c r="A315" s="826" t="s">
        <v>534</v>
      </c>
      <c r="B315" s="820" t="s">
        <v>1006</v>
      </c>
      <c r="C315" s="1065"/>
      <c r="D315" s="1065"/>
      <c r="E315" s="1065"/>
      <c r="F315" s="1053">
        <v>0.05</v>
      </c>
    </row>
    <row r="316" spans="1:6" ht="24.75" thickBot="1">
      <c r="A316" s="836" t="s">
        <v>534</v>
      </c>
      <c r="B316" s="832" t="s">
        <v>1007</v>
      </c>
      <c r="C316" s="1062"/>
      <c r="D316" s="1062"/>
      <c r="E316" s="1062"/>
      <c r="F316" s="1055">
        <v>0.05</v>
      </c>
    </row>
    <row r="317" spans="1:6" ht="14.25" thickBot="1">
      <c r="A317" s="826" t="s">
        <v>1008</v>
      </c>
      <c r="B317" s="827" t="s">
        <v>1009</v>
      </c>
      <c r="C317" s="1050">
        <v>0.15</v>
      </c>
      <c r="D317" s="1050">
        <v>0.15</v>
      </c>
      <c r="E317" s="1050">
        <v>0.15</v>
      </c>
      <c r="F317" s="1051">
        <v>0.15</v>
      </c>
    </row>
    <row r="318" spans="1:6" ht="14.25" thickBot="1">
      <c r="A318" s="826" t="s">
        <v>1008</v>
      </c>
      <c r="B318" s="820" t="s">
        <v>1010</v>
      </c>
      <c r="C318" s="1052">
        <v>0.107</v>
      </c>
      <c r="D318" s="1052">
        <v>0.11</v>
      </c>
      <c r="E318" s="1052">
        <v>0.112</v>
      </c>
      <c r="F318" s="1064"/>
    </row>
    <row r="319" spans="1:6" ht="14.25" thickBot="1">
      <c r="A319" s="826" t="s">
        <v>1008</v>
      </c>
      <c r="B319" s="820" t="s">
        <v>1011</v>
      </c>
      <c r="C319" s="1052">
        <v>0.15</v>
      </c>
      <c r="D319" s="1052">
        <v>0.15</v>
      </c>
      <c r="E319" s="1052">
        <v>0.15</v>
      </c>
      <c r="F319" s="1053">
        <v>0.15</v>
      </c>
    </row>
    <row r="320" spans="1:6" ht="14.25" thickBot="1">
      <c r="A320" s="826" t="s">
        <v>1008</v>
      </c>
      <c r="B320" s="820" t="s">
        <v>223</v>
      </c>
      <c r="C320" s="1052">
        <v>0.15</v>
      </c>
      <c r="D320" s="1052">
        <v>0.15</v>
      </c>
      <c r="E320" s="1052">
        <v>0.15</v>
      </c>
      <c r="F320" s="1064"/>
    </row>
    <row r="321" spans="1:6" ht="14.25" thickBot="1">
      <c r="A321" s="826" t="s">
        <v>1008</v>
      </c>
      <c r="B321" s="820" t="s">
        <v>1012</v>
      </c>
      <c r="C321" s="1052">
        <v>0.15</v>
      </c>
      <c r="D321" s="1052">
        <v>0.15</v>
      </c>
      <c r="E321" s="1052">
        <v>0.15</v>
      </c>
      <c r="F321" s="1064"/>
    </row>
    <row r="322" spans="1:6" ht="14.25" thickBot="1">
      <c r="A322" s="826" t="s">
        <v>1008</v>
      </c>
      <c r="B322" s="820" t="s">
        <v>1013</v>
      </c>
      <c r="C322" s="1052">
        <v>0.15</v>
      </c>
      <c r="D322" s="1052">
        <v>0.15</v>
      </c>
      <c r="E322" s="1052">
        <v>0.15</v>
      </c>
      <c r="F322" s="1053">
        <v>0.15</v>
      </c>
    </row>
    <row r="323" spans="1:6" ht="14.25" thickBot="1">
      <c r="A323" s="826" t="s">
        <v>1008</v>
      </c>
      <c r="B323" s="820" t="s">
        <v>1014</v>
      </c>
      <c r="C323" s="1052">
        <v>0.15</v>
      </c>
      <c r="D323" s="1052">
        <v>0.15</v>
      </c>
      <c r="E323" s="1052">
        <v>0.15</v>
      </c>
      <c r="F323" s="1064"/>
    </row>
    <row r="324" spans="1:6" ht="14.25" thickBot="1">
      <c r="A324" s="826" t="s">
        <v>1008</v>
      </c>
      <c r="B324" s="820" t="s">
        <v>1015</v>
      </c>
      <c r="C324" s="1052">
        <v>0.15</v>
      </c>
      <c r="D324" s="1052">
        <v>0.15</v>
      </c>
      <c r="E324" s="1052">
        <v>0.15</v>
      </c>
      <c r="F324" s="1064"/>
    </row>
    <row r="325" spans="1:6" ht="14.25" thickBot="1">
      <c r="A325" s="826" t="s">
        <v>1008</v>
      </c>
      <c r="B325" s="820" t="s">
        <v>1016</v>
      </c>
      <c r="C325" s="1052">
        <v>0.15</v>
      </c>
      <c r="D325" s="1052">
        <v>0.15</v>
      </c>
      <c r="E325" s="1052">
        <v>0.15</v>
      </c>
      <c r="F325" s="1053">
        <v>0.14699999999999999</v>
      </c>
    </row>
    <row r="326" spans="1:6" ht="14.25" thickBot="1">
      <c r="A326" s="826" t="s">
        <v>1008</v>
      </c>
      <c r="B326" s="820" t="s">
        <v>290</v>
      </c>
      <c r="C326" s="1052">
        <v>0.15</v>
      </c>
      <c r="D326" s="1052">
        <v>0.15</v>
      </c>
      <c r="E326" s="1052">
        <v>0.15</v>
      </c>
      <c r="F326" s="1064"/>
    </row>
    <row r="327" spans="1:6" ht="14.25" thickBot="1">
      <c r="A327" s="826" t="s">
        <v>1008</v>
      </c>
      <c r="B327" s="820" t="s">
        <v>1017</v>
      </c>
      <c r="C327" s="1052">
        <v>0.15</v>
      </c>
      <c r="D327" s="1052">
        <v>0.15</v>
      </c>
      <c r="E327" s="1052">
        <v>0.15</v>
      </c>
      <c r="F327" s="1053">
        <v>0.15</v>
      </c>
    </row>
    <row r="328" spans="1:6" ht="14.25" thickBot="1">
      <c r="A328" s="826" t="s">
        <v>1008</v>
      </c>
      <c r="B328" s="820" t="s">
        <v>310</v>
      </c>
      <c r="C328" s="1052">
        <v>0.15</v>
      </c>
      <c r="D328" s="1052">
        <v>0.15</v>
      </c>
      <c r="E328" s="1052">
        <v>0.15</v>
      </c>
      <c r="F328" s="1053">
        <v>0.14099999999999999</v>
      </c>
    </row>
    <row r="329" spans="1:6" ht="14.25" thickBot="1">
      <c r="A329" s="826" t="s">
        <v>1008</v>
      </c>
      <c r="B329" s="820" t="s">
        <v>320</v>
      </c>
      <c r="C329" s="1052">
        <v>0.15</v>
      </c>
      <c r="D329" s="1052">
        <v>0.15</v>
      </c>
      <c r="E329" s="1052">
        <v>0.15</v>
      </c>
      <c r="F329" s="1053">
        <v>0.15</v>
      </c>
    </row>
    <row r="330" spans="1:6" ht="14.25" thickBot="1">
      <c r="A330" s="826" t="s">
        <v>1008</v>
      </c>
      <c r="B330" s="820" t="s">
        <v>331</v>
      </c>
      <c r="C330" s="1052">
        <v>0.15</v>
      </c>
      <c r="D330" s="1052">
        <v>0.15</v>
      </c>
      <c r="E330" s="1052">
        <v>0.15</v>
      </c>
      <c r="F330" s="1064"/>
    </row>
    <row r="331" spans="1:6" ht="14.25" thickBot="1">
      <c r="A331" s="826" t="s">
        <v>1008</v>
      </c>
      <c r="B331" s="820" t="s">
        <v>1018</v>
      </c>
      <c r="C331" s="1052">
        <v>0.15</v>
      </c>
      <c r="D331" s="1052">
        <v>0.15</v>
      </c>
      <c r="E331" s="1052">
        <v>0.15</v>
      </c>
      <c r="F331" s="1053">
        <v>0.15</v>
      </c>
    </row>
    <row r="332" spans="1:6" ht="14.25" thickBot="1">
      <c r="A332" s="826" t="s">
        <v>1008</v>
      </c>
      <c r="B332" s="820" t="s">
        <v>352</v>
      </c>
      <c r="C332" s="1052">
        <v>0.15</v>
      </c>
      <c r="D332" s="1052">
        <v>0.15</v>
      </c>
      <c r="E332" s="1052">
        <v>0.15</v>
      </c>
      <c r="F332" s="1053">
        <v>0.15</v>
      </c>
    </row>
    <row r="333" spans="1:6" ht="14.25" thickBot="1">
      <c r="A333" s="826" t="s">
        <v>1008</v>
      </c>
      <c r="B333" s="820" t="s">
        <v>1019</v>
      </c>
      <c r="C333" s="1052">
        <v>0.15</v>
      </c>
      <c r="D333" s="1052">
        <v>0.15</v>
      </c>
      <c r="E333" s="1052">
        <v>0.15</v>
      </c>
      <c r="F333" s="1053">
        <v>0.14099999999999999</v>
      </c>
    </row>
    <row r="334" spans="1:6" ht="14.25" thickBot="1">
      <c r="A334" s="826" t="s">
        <v>1008</v>
      </c>
      <c r="B334" s="820" t="s">
        <v>372</v>
      </c>
      <c r="C334" s="1052">
        <v>0.15</v>
      </c>
      <c r="D334" s="1052">
        <v>0.15</v>
      </c>
      <c r="E334" s="1052">
        <v>0.15</v>
      </c>
      <c r="F334" s="1053">
        <v>0.15</v>
      </c>
    </row>
    <row r="335" spans="1:6" ht="14.25" thickBot="1">
      <c r="A335" s="826" t="s">
        <v>1008</v>
      </c>
      <c r="B335" s="820" t="s">
        <v>382</v>
      </c>
      <c r="C335" s="1052">
        <v>0.15</v>
      </c>
      <c r="D335" s="1052">
        <v>0.15</v>
      </c>
      <c r="E335" s="1052">
        <v>0.15</v>
      </c>
      <c r="F335" s="1064"/>
    </row>
    <row r="336" spans="1:6" ht="14.25" thickBot="1">
      <c r="A336" s="826" t="s">
        <v>1008</v>
      </c>
      <c r="B336" s="820" t="s">
        <v>1020</v>
      </c>
      <c r="C336" s="1052">
        <v>0.15</v>
      </c>
      <c r="D336" s="1052">
        <v>0.15</v>
      </c>
      <c r="E336" s="1052">
        <v>0.15</v>
      </c>
      <c r="F336" s="1053">
        <v>0.11799999999999999</v>
      </c>
    </row>
    <row r="337" spans="1:6" ht="14.25" thickBot="1">
      <c r="A337" s="836" t="s">
        <v>1008</v>
      </c>
      <c r="B337" s="832" t="s">
        <v>400</v>
      </c>
      <c r="C337" s="1062"/>
      <c r="D337" s="1062"/>
      <c r="E337" s="1062"/>
      <c r="F337" s="1055">
        <v>0.14299999999999999</v>
      </c>
    </row>
    <row r="338" spans="1:6" ht="14.25" thickBot="1">
      <c r="A338" s="826" t="s">
        <v>1021</v>
      </c>
      <c r="B338" s="827" t="s">
        <v>1022</v>
      </c>
      <c r="C338" s="1050">
        <v>0.15</v>
      </c>
      <c r="D338" s="1050">
        <v>0.15</v>
      </c>
      <c r="E338" s="1050">
        <v>0.15</v>
      </c>
      <c r="F338" s="1067"/>
    </row>
    <row r="339" spans="1:6" ht="14.25" thickBot="1">
      <c r="A339" s="826" t="s">
        <v>1021</v>
      </c>
      <c r="B339" s="820" t="s">
        <v>1023</v>
      </c>
      <c r="C339" s="1052">
        <v>0.15</v>
      </c>
      <c r="D339" s="1052">
        <v>0.15</v>
      </c>
      <c r="E339" s="1052">
        <v>0.15</v>
      </c>
      <c r="F339" s="1064"/>
    </row>
    <row r="340" spans="1:6" ht="14.25" thickBot="1">
      <c r="A340" s="826" t="s">
        <v>1021</v>
      </c>
      <c r="B340" s="820" t="s">
        <v>1024</v>
      </c>
      <c r="C340" s="1052">
        <v>0.15</v>
      </c>
      <c r="D340" s="1052">
        <v>0.15</v>
      </c>
      <c r="E340" s="1052">
        <v>0.15</v>
      </c>
      <c r="F340" s="1064"/>
    </row>
    <row r="341" spans="1:6" ht="14.25" thickBot="1">
      <c r="A341" s="826" t="s">
        <v>1021</v>
      </c>
      <c r="B341" s="820" t="s">
        <v>1025</v>
      </c>
      <c r="C341" s="1052">
        <v>0.15</v>
      </c>
      <c r="D341" s="1052">
        <v>0.15</v>
      </c>
      <c r="E341" s="1052">
        <v>0.15</v>
      </c>
      <c r="F341" s="1053">
        <v>0.15</v>
      </c>
    </row>
    <row r="342" spans="1:6" ht="14.25" thickBot="1">
      <c r="A342" s="826" t="s">
        <v>1021</v>
      </c>
      <c r="B342" s="820" t="s">
        <v>1026</v>
      </c>
      <c r="C342" s="1052">
        <v>0.15</v>
      </c>
      <c r="D342" s="1052">
        <v>0.15</v>
      </c>
      <c r="E342" s="1052">
        <v>0.15</v>
      </c>
      <c r="F342" s="1053">
        <v>0.15</v>
      </c>
    </row>
    <row r="343" spans="1:6" ht="14.25" thickBot="1">
      <c r="A343" s="826" t="s">
        <v>1021</v>
      </c>
      <c r="B343" s="820" t="s">
        <v>1027</v>
      </c>
      <c r="C343" s="1052">
        <v>0.15</v>
      </c>
      <c r="D343" s="1052">
        <v>0.15</v>
      </c>
      <c r="E343" s="1052">
        <v>0.15</v>
      </c>
      <c r="F343" s="1053">
        <v>0.15</v>
      </c>
    </row>
    <row r="344" spans="1:6" ht="14.25" thickBot="1">
      <c r="A344" s="836" t="s">
        <v>1021</v>
      </c>
      <c r="B344" s="832" t="s">
        <v>1028</v>
      </c>
      <c r="C344" s="1054">
        <v>0.15</v>
      </c>
      <c r="D344" s="1054">
        <v>0.15</v>
      </c>
      <c r="E344" s="1054">
        <v>0.15</v>
      </c>
      <c r="F344" s="1055">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25" customWidth="1"/>
    <col min="2" max="2" width="13.25" style="1631" customWidth="1"/>
    <col min="3" max="3" width="15.625" style="1631" customWidth="1"/>
    <col min="4" max="4" width="9.375" style="1631" bestFit="1" customWidth="1"/>
    <col min="5" max="5" width="13.5" style="1631" customWidth="1"/>
    <col min="6" max="6" width="9" style="1631"/>
    <col min="7" max="7" width="9.375" style="1631" bestFit="1" customWidth="1"/>
    <col min="8" max="8" width="12.25" style="1631" customWidth="1"/>
    <col min="9" max="9" width="9" style="1631"/>
    <col min="10" max="10" width="9.375" style="1631" bestFit="1" customWidth="1"/>
    <col min="11" max="11" width="4" style="1625" customWidth="1"/>
    <col min="12" max="12" width="5.125" style="1631" customWidth="1"/>
    <col min="13" max="13" width="13.75" style="1631" customWidth="1"/>
    <col min="14" max="256" width="9" style="1631"/>
    <col min="257" max="257" width="4.875" style="1622" customWidth="1"/>
    <col min="258" max="258" width="13.25" style="1622" customWidth="1"/>
    <col min="259" max="259" width="15.625" style="1622" customWidth="1"/>
    <col min="260" max="260" width="9.375" style="1622" bestFit="1" customWidth="1"/>
    <col min="261" max="261" width="13.5" style="1622" customWidth="1"/>
    <col min="262" max="262" width="9" style="1622"/>
    <col min="263" max="263" width="9.375" style="1622" bestFit="1" customWidth="1"/>
    <col min="264" max="265" width="9" style="1622"/>
    <col min="266" max="266" width="9.375" style="1622" bestFit="1" customWidth="1"/>
    <col min="267" max="267" width="4" style="1622" customWidth="1"/>
    <col min="268" max="268" width="5.125" style="1622" customWidth="1"/>
    <col min="269" max="269" width="13.75" style="1622" customWidth="1"/>
    <col min="270" max="512" width="9" style="1622"/>
    <col min="513" max="513" width="4.875" style="1622" customWidth="1"/>
    <col min="514" max="514" width="13.25" style="1622" customWidth="1"/>
    <col min="515" max="515" width="15.625" style="1622" customWidth="1"/>
    <col min="516" max="516" width="9.375" style="1622" bestFit="1" customWidth="1"/>
    <col min="517" max="517" width="13.5" style="1622" customWidth="1"/>
    <col min="518" max="518" width="9" style="1622"/>
    <col min="519" max="519" width="9.375" style="1622" bestFit="1" customWidth="1"/>
    <col min="520" max="521" width="9" style="1622"/>
    <col min="522" max="522" width="9.375" style="1622" bestFit="1" customWidth="1"/>
    <col min="523" max="523" width="4" style="1622" customWidth="1"/>
    <col min="524" max="524" width="5.125" style="1622" customWidth="1"/>
    <col min="525" max="525" width="13.75" style="1622" customWidth="1"/>
    <col min="526" max="768" width="9" style="1622"/>
    <col min="769" max="769" width="4.875" style="1622" customWidth="1"/>
    <col min="770" max="770" width="13.25" style="1622" customWidth="1"/>
    <col min="771" max="771" width="15.625" style="1622" customWidth="1"/>
    <col min="772" max="772" width="9.375" style="1622" bestFit="1" customWidth="1"/>
    <col min="773" max="773" width="13.5" style="1622" customWidth="1"/>
    <col min="774" max="774" width="9" style="1622"/>
    <col min="775" max="775" width="9.375" style="1622" bestFit="1" customWidth="1"/>
    <col min="776" max="777" width="9" style="1622"/>
    <col min="778" max="778" width="9.375" style="1622" bestFit="1" customWidth="1"/>
    <col min="779" max="779" width="4" style="1622" customWidth="1"/>
    <col min="780" max="780" width="5.125" style="1622" customWidth="1"/>
    <col min="781" max="781" width="13.75" style="1622" customWidth="1"/>
    <col min="782" max="1024" width="9" style="1622"/>
    <col min="1025" max="1025" width="4.875" style="1622" customWidth="1"/>
    <col min="1026" max="1026" width="13.25" style="1622" customWidth="1"/>
    <col min="1027" max="1027" width="15.625" style="1622" customWidth="1"/>
    <col min="1028" max="1028" width="9.375" style="1622" bestFit="1" customWidth="1"/>
    <col min="1029" max="1029" width="13.5" style="1622" customWidth="1"/>
    <col min="1030" max="1030" width="9" style="1622"/>
    <col min="1031" max="1031" width="9.375" style="1622" bestFit="1" customWidth="1"/>
    <col min="1032" max="1033" width="9" style="1622"/>
    <col min="1034" max="1034" width="9.375" style="1622" bestFit="1" customWidth="1"/>
    <col min="1035" max="1035" width="4" style="1622" customWidth="1"/>
    <col min="1036" max="1036" width="5.125" style="1622" customWidth="1"/>
    <col min="1037" max="1037" width="13.75" style="1622" customWidth="1"/>
    <col min="1038" max="1280" width="9" style="1622"/>
    <col min="1281" max="1281" width="4.875" style="1622" customWidth="1"/>
    <col min="1282" max="1282" width="13.25" style="1622" customWidth="1"/>
    <col min="1283" max="1283" width="15.625" style="1622" customWidth="1"/>
    <col min="1284" max="1284" width="9.375" style="1622" bestFit="1" customWidth="1"/>
    <col min="1285" max="1285" width="13.5" style="1622" customWidth="1"/>
    <col min="1286" max="1286" width="9" style="1622"/>
    <col min="1287" max="1287" width="9.375" style="1622" bestFit="1" customWidth="1"/>
    <col min="1288" max="1289" width="9" style="1622"/>
    <col min="1290" max="1290" width="9.375" style="1622" bestFit="1" customWidth="1"/>
    <col min="1291" max="1291" width="4" style="1622" customWidth="1"/>
    <col min="1292" max="1292" width="5.125" style="1622" customWidth="1"/>
    <col min="1293" max="1293" width="13.75" style="1622" customWidth="1"/>
    <col min="1294" max="1536" width="9" style="1622"/>
    <col min="1537" max="1537" width="4.875" style="1622" customWidth="1"/>
    <col min="1538" max="1538" width="13.25" style="1622" customWidth="1"/>
    <col min="1539" max="1539" width="15.625" style="1622" customWidth="1"/>
    <col min="1540" max="1540" width="9.375" style="1622" bestFit="1" customWidth="1"/>
    <col min="1541" max="1541" width="13.5" style="1622" customWidth="1"/>
    <col min="1542" max="1542" width="9" style="1622"/>
    <col min="1543" max="1543" width="9.375" style="1622" bestFit="1" customWidth="1"/>
    <col min="1544" max="1545" width="9" style="1622"/>
    <col min="1546" max="1546" width="9.375" style="1622" bestFit="1" customWidth="1"/>
    <col min="1547" max="1547" width="4" style="1622" customWidth="1"/>
    <col min="1548" max="1548" width="5.125" style="1622" customWidth="1"/>
    <col min="1549" max="1549" width="13.75" style="1622" customWidth="1"/>
    <col min="1550" max="1792" width="9" style="1622"/>
    <col min="1793" max="1793" width="4.875" style="1622" customWidth="1"/>
    <col min="1794" max="1794" width="13.25" style="1622" customWidth="1"/>
    <col min="1795" max="1795" width="15.625" style="1622" customWidth="1"/>
    <col min="1796" max="1796" width="9.375" style="1622" bestFit="1" customWidth="1"/>
    <col min="1797" max="1797" width="13.5" style="1622" customWidth="1"/>
    <col min="1798" max="1798" width="9" style="1622"/>
    <col min="1799" max="1799" width="9.375" style="1622" bestFit="1" customWidth="1"/>
    <col min="1800" max="1801" width="9" style="1622"/>
    <col min="1802" max="1802" width="9.375" style="1622" bestFit="1" customWidth="1"/>
    <col min="1803" max="1803" width="4" style="1622" customWidth="1"/>
    <col min="1804" max="1804" width="5.125" style="1622" customWidth="1"/>
    <col min="1805" max="1805" width="13.75" style="1622" customWidth="1"/>
    <col min="1806" max="2048" width="9" style="1622"/>
    <col min="2049" max="2049" width="4.875" style="1622" customWidth="1"/>
    <col min="2050" max="2050" width="13.25" style="1622" customWidth="1"/>
    <col min="2051" max="2051" width="15.625" style="1622" customWidth="1"/>
    <col min="2052" max="2052" width="9.375" style="1622" bestFit="1" customWidth="1"/>
    <col min="2053" max="2053" width="13.5" style="1622" customWidth="1"/>
    <col min="2054" max="2054" width="9" style="1622"/>
    <col min="2055" max="2055" width="9.375" style="1622" bestFit="1" customWidth="1"/>
    <col min="2056" max="2057" width="9" style="1622"/>
    <col min="2058" max="2058" width="9.375" style="1622" bestFit="1" customWidth="1"/>
    <col min="2059" max="2059" width="4" style="1622" customWidth="1"/>
    <col min="2060" max="2060" width="5.125" style="1622" customWidth="1"/>
    <col min="2061" max="2061" width="13.75" style="1622" customWidth="1"/>
    <col min="2062" max="2304" width="9" style="1622"/>
    <col min="2305" max="2305" width="4.875" style="1622" customWidth="1"/>
    <col min="2306" max="2306" width="13.25" style="1622" customWidth="1"/>
    <col min="2307" max="2307" width="15.625" style="1622" customWidth="1"/>
    <col min="2308" max="2308" width="9.375" style="1622" bestFit="1" customWidth="1"/>
    <col min="2309" max="2309" width="13.5" style="1622" customWidth="1"/>
    <col min="2310" max="2310" width="9" style="1622"/>
    <col min="2311" max="2311" width="9.375" style="1622" bestFit="1" customWidth="1"/>
    <col min="2312" max="2313" width="9" style="1622"/>
    <col min="2314" max="2314" width="9.375" style="1622" bestFit="1" customWidth="1"/>
    <col min="2315" max="2315" width="4" style="1622" customWidth="1"/>
    <col min="2316" max="2316" width="5.125" style="1622" customWidth="1"/>
    <col min="2317" max="2317" width="13.75" style="1622" customWidth="1"/>
    <col min="2318" max="2560" width="9" style="1622"/>
    <col min="2561" max="2561" width="4.875" style="1622" customWidth="1"/>
    <col min="2562" max="2562" width="13.25" style="1622" customWidth="1"/>
    <col min="2563" max="2563" width="15.625" style="1622" customWidth="1"/>
    <col min="2564" max="2564" width="9.375" style="1622" bestFit="1" customWidth="1"/>
    <col min="2565" max="2565" width="13.5" style="1622" customWidth="1"/>
    <col min="2566" max="2566" width="9" style="1622"/>
    <col min="2567" max="2567" width="9.375" style="1622" bestFit="1" customWidth="1"/>
    <col min="2568" max="2569" width="9" style="1622"/>
    <col min="2570" max="2570" width="9.375" style="1622" bestFit="1" customWidth="1"/>
    <col min="2571" max="2571" width="4" style="1622" customWidth="1"/>
    <col min="2572" max="2572" width="5.125" style="1622" customWidth="1"/>
    <col min="2573" max="2573" width="13.75" style="1622" customWidth="1"/>
    <col min="2574" max="2816" width="9" style="1622"/>
    <col min="2817" max="2817" width="4.875" style="1622" customWidth="1"/>
    <col min="2818" max="2818" width="13.25" style="1622" customWidth="1"/>
    <col min="2819" max="2819" width="15.625" style="1622" customWidth="1"/>
    <col min="2820" max="2820" width="9.375" style="1622" bestFit="1" customWidth="1"/>
    <col min="2821" max="2821" width="13.5" style="1622" customWidth="1"/>
    <col min="2822" max="2822" width="9" style="1622"/>
    <col min="2823" max="2823" width="9.375" style="1622" bestFit="1" customWidth="1"/>
    <col min="2824" max="2825" width="9" style="1622"/>
    <col min="2826" max="2826" width="9.375" style="1622" bestFit="1" customWidth="1"/>
    <col min="2827" max="2827" width="4" style="1622" customWidth="1"/>
    <col min="2828" max="2828" width="5.125" style="1622" customWidth="1"/>
    <col min="2829" max="2829" width="13.75" style="1622" customWidth="1"/>
    <col min="2830" max="3072" width="9" style="1622"/>
    <col min="3073" max="3073" width="4.875" style="1622" customWidth="1"/>
    <col min="3074" max="3074" width="13.25" style="1622" customWidth="1"/>
    <col min="3075" max="3075" width="15.625" style="1622" customWidth="1"/>
    <col min="3076" max="3076" width="9.375" style="1622" bestFit="1" customWidth="1"/>
    <col min="3077" max="3077" width="13.5" style="1622" customWidth="1"/>
    <col min="3078" max="3078" width="9" style="1622"/>
    <col min="3079" max="3079" width="9.375" style="1622" bestFit="1" customWidth="1"/>
    <col min="3080" max="3081" width="9" style="1622"/>
    <col min="3082" max="3082" width="9.375" style="1622" bestFit="1" customWidth="1"/>
    <col min="3083" max="3083" width="4" style="1622" customWidth="1"/>
    <col min="3084" max="3084" width="5.125" style="1622" customWidth="1"/>
    <col min="3085" max="3085" width="13.75" style="1622" customWidth="1"/>
    <col min="3086" max="3328" width="9" style="1622"/>
    <col min="3329" max="3329" width="4.875" style="1622" customWidth="1"/>
    <col min="3330" max="3330" width="13.25" style="1622" customWidth="1"/>
    <col min="3331" max="3331" width="15.625" style="1622" customWidth="1"/>
    <col min="3332" max="3332" width="9.375" style="1622" bestFit="1" customWidth="1"/>
    <col min="3333" max="3333" width="13.5" style="1622" customWidth="1"/>
    <col min="3334" max="3334" width="9" style="1622"/>
    <col min="3335" max="3335" width="9.375" style="1622" bestFit="1" customWidth="1"/>
    <col min="3336" max="3337" width="9" style="1622"/>
    <col min="3338" max="3338" width="9.375" style="1622" bestFit="1" customWidth="1"/>
    <col min="3339" max="3339" width="4" style="1622" customWidth="1"/>
    <col min="3340" max="3340" width="5.125" style="1622" customWidth="1"/>
    <col min="3341" max="3341" width="13.75" style="1622" customWidth="1"/>
    <col min="3342" max="3584" width="9" style="1622"/>
    <col min="3585" max="3585" width="4.875" style="1622" customWidth="1"/>
    <col min="3586" max="3586" width="13.25" style="1622" customWidth="1"/>
    <col min="3587" max="3587" width="15.625" style="1622" customWidth="1"/>
    <col min="3588" max="3588" width="9.375" style="1622" bestFit="1" customWidth="1"/>
    <col min="3589" max="3589" width="13.5" style="1622" customWidth="1"/>
    <col min="3590" max="3590" width="9" style="1622"/>
    <col min="3591" max="3591" width="9.375" style="1622" bestFit="1" customWidth="1"/>
    <col min="3592" max="3593" width="9" style="1622"/>
    <col min="3594" max="3594" width="9.375" style="1622" bestFit="1" customWidth="1"/>
    <col min="3595" max="3595" width="4" style="1622" customWidth="1"/>
    <col min="3596" max="3596" width="5.125" style="1622" customWidth="1"/>
    <col min="3597" max="3597" width="13.75" style="1622" customWidth="1"/>
    <col min="3598" max="3840" width="9" style="1622"/>
    <col min="3841" max="3841" width="4.875" style="1622" customWidth="1"/>
    <col min="3842" max="3842" width="13.25" style="1622" customWidth="1"/>
    <col min="3843" max="3843" width="15.625" style="1622" customWidth="1"/>
    <col min="3844" max="3844" width="9.375" style="1622" bestFit="1" customWidth="1"/>
    <col min="3845" max="3845" width="13.5" style="1622" customWidth="1"/>
    <col min="3846" max="3846" width="9" style="1622"/>
    <col min="3847" max="3847" width="9.375" style="1622" bestFit="1" customWidth="1"/>
    <col min="3848" max="3849" width="9" style="1622"/>
    <col min="3850" max="3850" width="9.375" style="1622" bestFit="1" customWidth="1"/>
    <col min="3851" max="3851" width="4" style="1622" customWidth="1"/>
    <col min="3852" max="3852" width="5.125" style="1622" customWidth="1"/>
    <col min="3853" max="3853" width="13.75" style="1622" customWidth="1"/>
    <col min="3854" max="4096" width="9" style="1622"/>
    <col min="4097" max="4097" width="4.875" style="1622" customWidth="1"/>
    <col min="4098" max="4098" width="13.25" style="1622" customWidth="1"/>
    <col min="4099" max="4099" width="15.625" style="1622" customWidth="1"/>
    <col min="4100" max="4100" width="9.375" style="1622" bestFit="1" customWidth="1"/>
    <col min="4101" max="4101" width="13.5" style="1622" customWidth="1"/>
    <col min="4102" max="4102" width="9" style="1622"/>
    <col min="4103" max="4103" width="9.375" style="1622" bestFit="1" customWidth="1"/>
    <col min="4104" max="4105" width="9" style="1622"/>
    <col min="4106" max="4106" width="9.375" style="1622" bestFit="1" customWidth="1"/>
    <col min="4107" max="4107" width="4" style="1622" customWidth="1"/>
    <col min="4108" max="4108" width="5.125" style="1622" customWidth="1"/>
    <col min="4109" max="4109" width="13.75" style="1622" customWidth="1"/>
    <col min="4110" max="4352" width="9" style="1622"/>
    <col min="4353" max="4353" width="4.875" style="1622" customWidth="1"/>
    <col min="4354" max="4354" width="13.25" style="1622" customWidth="1"/>
    <col min="4355" max="4355" width="15.625" style="1622" customWidth="1"/>
    <col min="4356" max="4356" width="9.375" style="1622" bestFit="1" customWidth="1"/>
    <col min="4357" max="4357" width="13.5" style="1622" customWidth="1"/>
    <col min="4358" max="4358" width="9" style="1622"/>
    <col min="4359" max="4359" width="9.375" style="1622" bestFit="1" customWidth="1"/>
    <col min="4360" max="4361" width="9" style="1622"/>
    <col min="4362" max="4362" width="9.375" style="1622" bestFit="1" customWidth="1"/>
    <col min="4363" max="4363" width="4" style="1622" customWidth="1"/>
    <col min="4364" max="4364" width="5.125" style="1622" customWidth="1"/>
    <col min="4365" max="4365" width="13.75" style="1622" customWidth="1"/>
    <col min="4366" max="4608" width="9" style="1622"/>
    <col min="4609" max="4609" width="4.875" style="1622" customWidth="1"/>
    <col min="4610" max="4610" width="13.25" style="1622" customWidth="1"/>
    <col min="4611" max="4611" width="15.625" style="1622" customWidth="1"/>
    <col min="4612" max="4612" width="9.375" style="1622" bestFit="1" customWidth="1"/>
    <col min="4613" max="4613" width="13.5" style="1622" customWidth="1"/>
    <col min="4614" max="4614" width="9" style="1622"/>
    <col min="4615" max="4615" width="9.375" style="1622" bestFit="1" customWidth="1"/>
    <col min="4616" max="4617" width="9" style="1622"/>
    <col min="4618" max="4618" width="9.375" style="1622" bestFit="1" customWidth="1"/>
    <col min="4619" max="4619" width="4" style="1622" customWidth="1"/>
    <col min="4620" max="4620" width="5.125" style="1622" customWidth="1"/>
    <col min="4621" max="4621" width="13.75" style="1622" customWidth="1"/>
    <col min="4622" max="4864" width="9" style="1622"/>
    <col min="4865" max="4865" width="4.875" style="1622" customWidth="1"/>
    <col min="4866" max="4866" width="13.25" style="1622" customWidth="1"/>
    <col min="4867" max="4867" width="15.625" style="1622" customWidth="1"/>
    <col min="4868" max="4868" width="9.375" style="1622" bestFit="1" customWidth="1"/>
    <col min="4869" max="4869" width="13.5" style="1622" customWidth="1"/>
    <col min="4870" max="4870" width="9" style="1622"/>
    <col min="4871" max="4871" width="9.375" style="1622" bestFit="1" customWidth="1"/>
    <col min="4872" max="4873" width="9" style="1622"/>
    <col min="4874" max="4874" width="9.375" style="1622" bestFit="1" customWidth="1"/>
    <col min="4875" max="4875" width="4" style="1622" customWidth="1"/>
    <col min="4876" max="4876" width="5.125" style="1622" customWidth="1"/>
    <col min="4877" max="4877" width="13.75" style="1622" customWidth="1"/>
    <col min="4878" max="5120" width="9" style="1622"/>
    <col min="5121" max="5121" width="4.875" style="1622" customWidth="1"/>
    <col min="5122" max="5122" width="13.25" style="1622" customWidth="1"/>
    <col min="5123" max="5123" width="15.625" style="1622" customWidth="1"/>
    <col min="5124" max="5124" width="9.375" style="1622" bestFit="1" customWidth="1"/>
    <col min="5125" max="5125" width="13.5" style="1622" customWidth="1"/>
    <col min="5126" max="5126" width="9" style="1622"/>
    <col min="5127" max="5127" width="9.375" style="1622" bestFit="1" customWidth="1"/>
    <col min="5128" max="5129" width="9" style="1622"/>
    <col min="5130" max="5130" width="9.375" style="1622" bestFit="1" customWidth="1"/>
    <col min="5131" max="5131" width="4" style="1622" customWidth="1"/>
    <col min="5132" max="5132" width="5.125" style="1622" customWidth="1"/>
    <col min="5133" max="5133" width="13.75" style="1622" customWidth="1"/>
    <col min="5134" max="5376" width="9" style="1622"/>
    <col min="5377" max="5377" width="4.875" style="1622" customWidth="1"/>
    <col min="5378" max="5378" width="13.25" style="1622" customWidth="1"/>
    <col min="5379" max="5379" width="15.625" style="1622" customWidth="1"/>
    <col min="5380" max="5380" width="9.375" style="1622" bestFit="1" customWidth="1"/>
    <col min="5381" max="5381" width="13.5" style="1622" customWidth="1"/>
    <col min="5382" max="5382" width="9" style="1622"/>
    <col min="5383" max="5383" width="9.375" style="1622" bestFit="1" customWidth="1"/>
    <col min="5384" max="5385" width="9" style="1622"/>
    <col min="5386" max="5386" width="9.375" style="1622" bestFit="1" customWidth="1"/>
    <col min="5387" max="5387" width="4" style="1622" customWidth="1"/>
    <col min="5388" max="5388" width="5.125" style="1622" customWidth="1"/>
    <col min="5389" max="5389" width="13.75" style="1622" customWidth="1"/>
    <col min="5390" max="5632" width="9" style="1622"/>
    <col min="5633" max="5633" width="4.875" style="1622" customWidth="1"/>
    <col min="5634" max="5634" width="13.25" style="1622" customWidth="1"/>
    <col min="5635" max="5635" width="15.625" style="1622" customWidth="1"/>
    <col min="5636" max="5636" width="9.375" style="1622" bestFit="1" customWidth="1"/>
    <col min="5637" max="5637" width="13.5" style="1622" customWidth="1"/>
    <col min="5638" max="5638" width="9" style="1622"/>
    <col min="5639" max="5639" width="9.375" style="1622" bestFit="1" customWidth="1"/>
    <col min="5640" max="5641" width="9" style="1622"/>
    <col min="5642" max="5642" width="9.375" style="1622" bestFit="1" customWidth="1"/>
    <col min="5643" max="5643" width="4" style="1622" customWidth="1"/>
    <col min="5644" max="5644" width="5.125" style="1622" customWidth="1"/>
    <col min="5645" max="5645" width="13.75" style="1622" customWidth="1"/>
    <col min="5646" max="5888" width="9" style="1622"/>
    <col min="5889" max="5889" width="4.875" style="1622" customWidth="1"/>
    <col min="5890" max="5890" width="13.25" style="1622" customWidth="1"/>
    <col min="5891" max="5891" width="15.625" style="1622" customWidth="1"/>
    <col min="5892" max="5892" width="9.375" style="1622" bestFit="1" customWidth="1"/>
    <col min="5893" max="5893" width="13.5" style="1622" customWidth="1"/>
    <col min="5894" max="5894" width="9" style="1622"/>
    <col min="5895" max="5895" width="9.375" style="1622" bestFit="1" customWidth="1"/>
    <col min="5896" max="5897" width="9" style="1622"/>
    <col min="5898" max="5898" width="9.375" style="1622" bestFit="1" customWidth="1"/>
    <col min="5899" max="5899" width="4" style="1622" customWidth="1"/>
    <col min="5900" max="5900" width="5.125" style="1622" customWidth="1"/>
    <col min="5901" max="5901" width="13.75" style="1622" customWidth="1"/>
    <col min="5902" max="6144" width="9" style="1622"/>
    <col min="6145" max="6145" width="4.875" style="1622" customWidth="1"/>
    <col min="6146" max="6146" width="13.25" style="1622" customWidth="1"/>
    <col min="6147" max="6147" width="15.625" style="1622" customWidth="1"/>
    <col min="6148" max="6148" width="9.375" style="1622" bestFit="1" customWidth="1"/>
    <col min="6149" max="6149" width="13.5" style="1622" customWidth="1"/>
    <col min="6150" max="6150" width="9" style="1622"/>
    <col min="6151" max="6151" width="9.375" style="1622" bestFit="1" customWidth="1"/>
    <col min="6152" max="6153" width="9" style="1622"/>
    <col min="6154" max="6154" width="9.375" style="1622" bestFit="1" customWidth="1"/>
    <col min="6155" max="6155" width="4" style="1622" customWidth="1"/>
    <col min="6156" max="6156" width="5.125" style="1622" customWidth="1"/>
    <col min="6157" max="6157" width="13.75" style="1622" customWidth="1"/>
    <col min="6158" max="6400" width="9" style="1622"/>
    <col min="6401" max="6401" width="4.875" style="1622" customWidth="1"/>
    <col min="6402" max="6402" width="13.25" style="1622" customWidth="1"/>
    <col min="6403" max="6403" width="15.625" style="1622" customWidth="1"/>
    <col min="6404" max="6404" width="9.375" style="1622" bestFit="1" customWidth="1"/>
    <col min="6405" max="6405" width="13.5" style="1622" customWidth="1"/>
    <col min="6406" max="6406" width="9" style="1622"/>
    <col min="6407" max="6407" width="9.375" style="1622" bestFit="1" customWidth="1"/>
    <col min="6408" max="6409" width="9" style="1622"/>
    <col min="6410" max="6410" width="9.375" style="1622" bestFit="1" customWidth="1"/>
    <col min="6411" max="6411" width="4" style="1622" customWidth="1"/>
    <col min="6412" max="6412" width="5.125" style="1622" customWidth="1"/>
    <col min="6413" max="6413" width="13.75" style="1622" customWidth="1"/>
    <col min="6414" max="6656" width="9" style="1622"/>
    <col min="6657" max="6657" width="4.875" style="1622" customWidth="1"/>
    <col min="6658" max="6658" width="13.25" style="1622" customWidth="1"/>
    <col min="6659" max="6659" width="15.625" style="1622" customWidth="1"/>
    <col min="6660" max="6660" width="9.375" style="1622" bestFit="1" customWidth="1"/>
    <col min="6661" max="6661" width="13.5" style="1622" customWidth="1"/>
    <col min="6662" max="6662" width="9" style="1622"/>
    <col min="6663" max="6663" width="9.375" style="1622" bestFit="1" customWidth="1"/>
    <col min="6664" max="6665" width="9" style="1622"/>
    <col min="6666" max="6666" width="9.375" style="1622" bestFit="1" customWidth="1"/>
    <col min="6667" max="6667" width="4" style="1622" customWidth="1"/>
    <col min="6668" max="6668" width="5.125" style="1622" customWidth="1"/>
    <col min="6669" max="6669" width="13.75" style="1622" customWidth="1"/>
    <col min="6670" max="6912" width="9" style="1622"/>
    <col min="6913" max="6913" width="4.875" style="1622" customWidth="1"/>
    <col min="6914" max="6914" width="13.25" style="1622" customWidth="1"/>
    <col min="6915" max="6915" width="15.625" style="1622" customWidth="1"/>
    <col min="6916" max="6916" width="9.375" style="1622" bestFit="1" customWidth="1"/>
    <col min="6917" max="6917" width="13.5" style="1622" customWidth="1"/>
    <col min="6918" max="6918" width="9" style="1622"/>
    <col min="6919" max="6919" width="9.375" style="1622" bestFit="1" customWidth="1"/>
    <col min="6920" max="6921" width="9" style="1622"/>
    <col min="6922" max="6922" width="9.375" style="1622" bestFit="1" customWidth="1"/>
    <col min="6923" max="6923" width="4" style="1622" customWidth="1"/>
    <col min="6924" max="6924" width="5.125" style="1622" customWidth="1"/>
    <col min="6925" max="6925" width="13.75" style="1622" customWidth="1"/>
    <col min="6926" max="7168" width="9" style="1622"/>
    <col min="7169" max="7169" width="4.875" style="1622" customWidth="1"/>
    <col min="7170" max="7170" width="13.25" style="1622" customWidth="1"/>
    <col min="7171" max="7171" width="15.625" style="1622" customWidth="1"/>
    <col min="7172" max="7172" width="9.375" style="1622" bestFit="1" customWidth="1"/>
    <col min="7173" max="7173" width="13.5" style="1622" customWidth="1"/>
    <col min="7174" max="7174" width="9" style="1622"/>
    <col min="7175" max="7175" width="9.375" style="1622" bestFit="1" customWidth="1"/>
    <col min="7176" max="7177" width="9" style="1622"/>
    <col min="7178" max="7178" width="9.375" style="1622" bestFit="1" customWidth="1"/>
    <col min="7179" max="7179" width="4" style="1622" customWidth="1"/>
    <col min="7180" max="7180" width="5.125" style="1622" customWidth="1"/>
    <col min="7181" max="7181" width="13.75" style="1622" customWidth="1"/>
    <col min="7182" max="7424" width="9" style="1622"/>
    <col min="7425" max="7425" width="4.875" style="1622" customWidth="1"/>
    <col min="7426" max="7426" width="13.25" style="1622" customWidth="1"/>
    <col min="7427" max="7427" width="15.625" style="1622" customWidth="1"/>
    <col min="7428" max="7428" width="9.375" style="1622" bestFit="1" customWidth="1"/>
    <col min="7429" max="7429" width="13.5" style="1622" customWidth="1"/>
    <col min="7430" max="7430" width="9" style="1622"/>
    <col min="7431" max="7431" width="9.375" style="1622" bestFit="1" customWidth="1"/>
    <col min="7432" max="7433" width="9" style="1622"/>
    <col min="7434" max="7434" width="9.375" style="1622" bestFit="1" customWidth="1"/>
    <col min="7435" max="7435" width="4" style="1622" customWidth="1"/>
    <col min="7436" max="7436" width="5.125" style="1622" customWidth="1"/>
    <col min="7437" max="7437" width="13.75" style="1622" customWidth="1"/>
    <col min="7438" max="7680" width="9" style="1622"/>
    <col min="7681" max="7681" width="4.875" style="1622" customWidth="1"/>
    <col min="7682" max="7682" width="13.25" style="1622" customWidth="1"/>
    <col min="7683" max="7683" width="15.625" style="1622" customWidth="1"/>
    <col min="7684" max="7684" width="9.375" style="1622" bestFit="1" customWidth="1"/>
    <col min="7685" max="7685" width="13.5" style="1622" customWidth="1"/>
    <col min="7686" max="7686" width="9" style="1622"/>
    <col min="7687" max="7687" width="9.375" style="1622" bestFit="1" customWidth="1"/>
    <col min="7688" max="7689" width="9" style="1622"/>
    <col min="7690" max="7690" width="9.375" style="1622" bestFit="1" customWidth="1"/>
    <col min="7691" max="7691" width="4" style="1622" customWidth="1"/>
    <col min="7692" max="7692" width="5.125" style="1622" customWidth="1"/>
    <col min="7693" max="7693" width="13.75" style="1622" customWidth="1"/>
    <col min="7694" max="7936" width="9" style="1622"/>
    <col min="7937" max="7937" width="4.875" style="1622" customWidth="1"/>
    <col min="7938" max="7938" width="13.25" style="1622" customWidth="1"/>
    <col min="7939" max="7939" width="15.625" style="1622" customWidth="1"/>
    <col min="7940" max="7940" width="9.375" style="1622" bestFit="1" customWidth="1"/>
    <col min="7941" max="7941" width="13.5" style="1622" customWidth="1"/>
    <col min="7942" max="7942" width="9" style="1622"/>
    <col min="7943" max="7943" width="9.375" style="1622" bestFit="1" customWidth="1"/>
    <col min="7944" max="7945" width="9" style="1622"/>
    <col min="7946" max="7946" width="9.375" style="1622" bestFit="1" customWidth="1"/>
    <col min="7947" max="7947" width="4" style="1622" customWidth="1"/>
    <col min="7948" max="7948" width="5.125" style="1622" customWidth="1"/>
    <col min="7949" max="7949" width="13.75" style="1622" customWidth="1"/>
    <col min="7950" max="8192" width="9" style="1622"/>
    <col min="8193" max="8193" width="4.875" style="1622" customWidth="1"/>
    <col min="8194" max="8194" width="13.25" style="1622" customWidth="1"/>
    <col min="8195" max="8195" width="15.625" style="1622" customWidth="1"/>
    <col min="8196" max="8196" width="9.375" style="1622" bestFit="1" customWidth="1"/>
    <col min="8197" max="8197" width="13.5" style="1622" customWidth="1"/>
    <col min="8198" max="8198" width="9" style="1622"/>
    <col min="8199" max="8199" width="9.375" style="1622" bestFit="1" customWidth="1"/>
    <col min="8200" max="8201" width="9" style="1622"/>
    <col min="8202" max="8202" width="9.375" style="1622" bestFit="1" customWidth="1"/>
    <col min="8203" max="8203" width="4" style="1622" customWidth="1"/>
    <col min="8204" max="8204" width="5.125" style="1622" customWidth="1"/>
    <col min="8205" max="8205" width="13.75" style="1622" customWidth="1"/>
    <col min="8206" max="8448" width="9" style="1622"/>
    <col min="8449" max="8449" width="4.875" style="1622" customWidth="1"/>
    <col min="8450" max="8450" width="13.25" style="1622" customWidth="1"/>
    <col min="8451" max="8451" width="15.625" style="1622" customWidth="1"/>
    <col min="8452" max="8452" width="9.375" style="1622" bestFit="1" customWidth="1"/>
    <col min="8453" max="8453" width="13.5" style="1622" customWidth="1"/>
    <col min="8454" max="8454" width="9" style="1622"/>
    <col min="8455" max="8455" width="9.375" style="1622" bestFit="1" customWidth="1"/>
    <col min="8456" max="8457" width="9" style="1622"/>
    <col min="8458" max="8458" width="9.375" style="1622" bestFit="1" customWidth="1"/>
    <col min="8459" max="8459" width="4" style="1622" customWidth="1"/>
    <col min="8460" max="8460" width="5.125" style="1622" customWidth="1"/>
    <col min="8461" max="8461" width="13.75" style="1622" customWidth="1"/>
    <col min="8462" max="8704" width="9" style="1622"/>
    <col min="8705" max="8705" width="4.875" style="1622" customWidth="1"/>
    <col min="8706" max="8706" width="13.25" style="1622" customWidth="1"/>
    <col min="8707" max="8707" width="15.625" style="1622" customWidth="1"/>
    <col min="8708" max="8708" width="9.375" style="1622" bestFit="1" customWidth="1"/>
    <col min="8709" max="8709" width="13.5" style="1622" customWidth="1"/>
    <col min="8710" max="8710" width="9" style="1622"/>
    <col min="8711" max="8711" width="9.375" style="1622" bestFit="1" customWidth="1"/>
    <col min="8712" max="8713" width="9" style="1622"/>
    <col min="8714" max="8714" width="9.375" style="1622" bestFit="1" customWidth="1"/>
    <col min="8715" max="8715" width="4" style="1622" customWidth="1"/>
    <col min="8716" max="8716" width="5.125" style="1622" customWidth="1"/>
    <col min="8717" max="8717" width="13.75" style="1622" customWidth="1"/>
    <col min="8718" max="8960" width="9" style="1622"/>
    <col min="8961" max="8961" width="4.875" style="1622" customWidth="1"/>
    <col min="8962" max="8962" width="13.25" style="1622" customWidth="1"/>
    <col min="8963" max="8963" width="15.625" style="1622" customWidth="1"/>
    <col min="8964" max="8964" width="9.375" style="1622" bestFit="1" customWidth="1"/>
    <col min="8965" max="8965" width="13.5" style="1622" customWidth="1"/>
    <col min="8966" max="8966" width="9" style="1622"/>
    <col min="8967" max="8967" width="9.375" style="1622" bestFit="1" customWidth="1"/>
    <col min="8968" max="8969" width="9" style="1622"/>
    <col min="8970" max="8970" width="9.375" style="1622" bestFit="1" customWidth="1"/>
    <col min="8971" max="8971" width="4" style="1622" customWidth="1"/>
    <col min="8972" max="8972" width="5.125" style="1622" customWidth="1"/>
    <col min="8973" max="8973" width="13.75" style="1622" customWidth="1"/>
    <col min="8974" max="9216" width="9" style="1622"/>
    <col min="9217" max="9217" width="4.875" style="1622" customWidth="1"/>
    <col min="9218" max="9218" width="13.25" style="1622" customWidth="1"/>
    <col min="9219" max="9219" width="15.625" style="1622" customWidth="1"/>
    <col min="9220" max="9220" width="9.375" style="1622" bestFit="1" customWidth="1"/>
    <col min="9221" max="9221" width="13.5" style="1622" customWidth="1"/>
    <col min="9222" max="9222" width="9" style="1622"/>
    <col min="9223" max="9223" width="9.375" style="1622" bestFit="1" customWidth="1"/>
    <col min="9224" max="9225" width="9" style="1622"/>
    <col min="9226" max="9226" width="9.375" style="1622" bestFit="1" customWidth="1"/>
    <col min="9227" max="9227" width="4" style="1622" customWidth="1"/>
    <col min="9228" max="9228" width="5.125" style="1622" customWidth="1"/>
    <col min="9229" max="9229" width="13.75" style="1622" customWidth="1"/>
    <col min="9230" max="9472" width="9" style="1622"/>
    <col min="9473" max="9473" width="4.875" style="1622" customWidth="1"/>
    <col min="9474" max="9474" width="13.25" style="1622" customWidth="1"/>
    <col min="9475" max="9475" width="15.625" style="1622" customWidth="1"/>
    <col min="9476" max="9476" width="9.375" style="1622" bestFit="1" customWidth="1"/>
    <col min="9477" max="9477" width="13.5" style="1622" customWidth="1"/>
    <col min="9478" max="9478" width="9" style="1622"/>
    <col min="9479" max="9479" width="9.375" style="1622" bestFit="1" customWidth="1"/>
    <col min="9480" max="9481" width="9" style="1622"/>
    <col min="9482" max="9482" width="9.375" style="1622" bestFit="1" customWidth="1"/>
    <col min="9483" max="9483" width="4" style="1622" customWidth="1"/>
    <col min="9484" max="9484" width="5.125" style="1622" customWidth="1"/>
    <col min="9485" max="9485" width="13.75" style="1622" customWidth="1"/>
    <col min="9486" max="9728" width="9" style="1622"/>
    <col min="9729" max="9729" width="4.875" style="1622" customWidth="1"/>
    <col min="9730" max="9730" width="13.25" style="1622" customWidth="1"/>
    <col min="9731" max="9731" width="15.625" style="1622" customWidth="1"/>
    <col min="9732" max="9732" width="9.375" style="1622" bestFit="1" customWidth="1"/>
    <col min="9733" max="9733" width="13.5" style="1622" customWidth="1"/>
    <col min="9734" max="9734" width="9" style="1622"/>
    <col min="9735" max="9735" width="9.375" style="1622" bestFit="1" customWidth="1"/>
    <col min="9736" max="9737" width="9" style="1622"/>
    <col min="9738" max="9738" width="9.375" style="1622" bestFit="1" customWidth="1"/>
    <col min="9739" max="9739" width="4" style="1622" customWidth="1"/>
    <col min="9740" max="9740" width="5.125" style="1622" customWidth="1"/>
    <col min="9741" max="9741" width="13.75" style="1622" customWidth="1"/>
    <col min="9742" max="9984" width="9" style="1622"/>
    <col min="9985" max="9985" width="4.875" style="1622" customWidth="1"/>
    <col min="9986" max="9986" width="13.25" style="1622" customWidth="1"/>
    <col min="9987" max="9987" width="15.625" style="1622" customWidth="1"/>
    <col min="9988" max="9988" width="9.375" style="1622" bestFit="1" customWidth="1"/>
    <col min="9989" max="9989" width="13.5" style="1622" customWidth="1"/>
    <col min="9990" max="9990" width="9" style="1622"/>
    <col min="9991" max="9991" width="9.375" style="1622" bestFit="1" customWidth="1"/>
    <col min="9992" max="9993" width="9" style="1622"/>
    <col min="9994" max="9994" width="9.375" style="1622" bestFit="1" customWidth="1"/>
    <col min="9995" max="9995" width="4" style="1622" customWidth="1"/>
    <col min="9996" max="9996" width="5.125" style="1622" customWidth="1"/>
    <col min="9997" max="9997" width="13.75" style="1622" customWidth="1"/>
    <col min="9998" max="10240" width="9" style="1622"/>
    <col min="10241" max="10241" width="4.875" style="1622" customWidth="1"/>
    <col min="10242" max="10242" width="13.25" style="1622" customWidth="1"/>
    <col min="10243" max="10243" width="15.625" style="1622" customWidth="1"/>
    <col min="10244" max="10244" width="9.375" style="1622" bestFit="1" customWidth="1"/>
    <col min="10245" max="10245" width="13.5" style="1622" customWidth="1"/>
    <col min="10246" max="10246" width="9" style="1622"/>
    <col min="10247" max="10247" width="9.375" style="1622" bestFit="1" customWidth="1"/>
    <col min="10248" max="10249" width="9" style="1622"/>
    <col min="10250" max="10250" width="9.375" style="1622" bestFit="1" customWidth="1"/>
    <col min="10251" max="10251" width="4" style="1622" customWidth="1"/>
    <col min="10252" max="10252" width="5.125" style="1622" customWidth="1"/>
    <col min="10253" max="10253" width="13.75" style="1622" customWidth="1"/>
    <col min="10254" max="10496" width="9" style="1622"/>
    <col min="10497" max="10497" width="4.875" style="1622" customWidth="1"/>
    <col min="10498" max="10498" width="13.25" style="1622" customWidth="1"/>
    <col min="10499" max="10499" width="15.625" style="1622" customWidth="1"/>
    <col min="10500" max="10500" width="9.375" style="1622" bestFit="1" customWidth="1"/>
    <col min="10501" max="10501" width="13.5" style="1622" customWidth="1"/>
    <col min="10502" max="10502" width="9" style="1622"/>
    <col min="10503" max="10503" width="9.375" style="1622" bestFit="1" customWidth="1"/>
    <col min="10504" max="10505" width="9" style="1622"/>
    <col min="10506" max="10506" width="9.375" style="1622" bestFit="1" customWidth="1"/>
    <col min="10507" max="10507" width="4" style="1622" customWidth="1"/>
    <col min="10508" max="10508" width="5.125" style="1622" customWidth="1"/>
    <col min="10509" max="10509" width="13.75" style="1622" customWidth="1"/>
    <col min="10510" max="10752" width="9" style="1622"/>
    <col min="10753" max="10753" width="4.875" style="1622" customWidth="1"/>
    <col min="10754" max="10754" width="13.25" style="1622" customWidth="1"/>
    <col min="10755" max="10755" width="15.625" style="1622" customWidth="1"/>
    <col min="10756" max="10756" width="9.375" style="1622" bestFit="1" customWidth="1"/>
    <col min="10757" max="10757" width="13.5" style="1622" customWidth="1"/>
    <col min="10758" max="10758" width="9" style="1622"/>
    <col min="10759" max="10759" width="9.375" style="1622" bestFit="1" customWidth="1"/>
    <col min="10760" max="10761" width="9" style="1622"/>
    <col min="10762" max="10762" width="9.375" style="1622" bestFit="1" customWidth="1"/>
    <col min="10763" max="10763" width="4" style="1622" customWidth="1"/>
    <col min="10764" max="10764" width="5.125" style="1622" customWidth="1"/>
    <col min="10765" max="10765" width="13.75" style="1622" customWidth="1"/>
    <col min="10766" max="11008" width="9" style="1622"/>
    <col min="11009" max="11009" width="4.875" style="1622" customWidth="1"/>
    <col min="11010" max="11010" width="13.25" style="1622" customWidth="1"/>
    <col min="11011" max="11011" width="15.625" style="1622" customWidth="1"/>
    <col min="11012" max="11012" width="9.375" style="1622" bestFit="1" customWidth="1"/>
    <col min="11013" max="11013" width="13.5" style="1622" customWidth="1"/>
    <col min="11014" max="11014" width="9" style="1622"/>
    <col min="11015" max="11015" width="9.375" style="1622" bestFit="1" customWidth="1"/>
    <col min="11016" max="11017" width="9" style="1622"/>
    <col min="11018" max="11018" width="9.375" style="1622" bestFit="1" customWidth="1"/>
    <col min="11019" max="11019" width="4" style="1622" customWidth="1"/>
    <col min="11020" max="11020" width="5.125" style="1622" customWidth="1"/>
    <col min="11021" max="11021" width="13.75" style="1622" customWidth="1"/>
    <col min="11022" max="11264" width="9" style="1622"/>
    <col min="11265" max="11265" width="4.875" style="1622" customWidth="1"/>
    <col min="11266" max="11266" width="13.25" style="1622" customWidth="1"/>
    <col min="11267" max="11267" width="15.625" style="1622" customWidth="1"/>
    <col min="11268" max="11268" width="9.375" style="1622" bestFit="1" customWidth="1"/>
    <col min="11269" max="11269" width="13.5" style="1622" customWidth="1"/>
    <col min="11270" max="11270" width="9" style="1622"/>
    <col min="11271" max="11271" width="9.375" style="1622" bestFit="1" customWidth="1"/>
    <col min="11272" max="11273" width="9" style="1622"/>
    <col min="11274" max="11274" width="9.375" style="1622" bestFit="1" customWidth="1"/>
    <col min="11275" max="11275" width="4" style="1622" customWidth="1"/>
    <col min="11276" max="11276" width="5.125" style="1622" customWidth="1"/>
    <col min="11277" max="11277" width="13.75" style="1622" customWidth="1"/>
    <col min="11278" max="11520" width="9" style="1622"/>
    <col min="11521" max="11521" width="4.875" style="1622" customWidth="1"/>
    <col min="11522" max="11522" width="13.25" style="1622" customWidth="1"/>
    <col min="11523" max="11523" width="15.625" style="1622" customWidth="1"/>
    <col min="11524" max="11524" width="9.375" style="1622" bestFit="1" customWidth="1"/>
    <col min="11525" max="11525" width="13.5" style="1622" customWidth="1"/>
    <col min="11526" max="11526" width="9" style="1622"/>
    <col min="11527" max="11527" width="9.375" style="1622" bestFit="1" customWidth="1"/>
    <col min="11528" max="11529" width="9" style="1622"/>
    <col min="11530" max="11530" width="9.375" style="1622" bestFit="1" customWidth="1"/>
    <col min="11531" max="11531" width="4" style="1622" customWidth="1"/>
    <col min="11532" max="11532" width="5.125" style="1622" customWidth="1"/>
    <col min="11533" max="11533" width="13.75" style="1622" customWidth="1"/>
    <col min="11534" max="11776" width="9" style="1622"/>
    <col min="11777" max="11777" width="4.875" style="1622" customWidth="1"/>
    <col min="11778" max="11778" width="13.25" style="1622" customWidth="1"/>
    <col min="11779" max="11779" width="15.625" style="1622" customWidth="1"/>
    <col min="11780" max="11780" width="9.375" style="1622" bestFit="1" customWidth="1"/>
    <col min="11781" max="11781" width="13.5" style="1622" customWidth="1"/>
    <col min="11782" max="11782" width="9" style="1622"/>
    <col min="11783" max="11783" width="9.375" style="1622" bestFit="1" customWidth="1"/>
    <col min="11784" max="11785" width="9" style="1622"/>
    <col min="11786" max="11786" width="9.375" style="1622" bestFit="1" customWidth="1"/>
    <col min="11787" max="11787" width="4" style="1622" customWidth="1"/>
    <col min="11788" max="11788" width="5.125" style="1622" customWidth="1"/>
    <col min="11789" max="11789" width="13.75" style="1622" customWidth="1"/>
    <col min="11790" max="12032" width="9" style="1622"/>
    <col min="12033" max="12033" width="4.875" style="1622" customWidth="1"/>
    <col min="12034" max="12034" width="13.25" style="1622" customWidth="1"/>
    <col min="12035" max="12035" width="15.625" style="1622" customWidth="1"/>
    <col min="12036" max="12036" width="9.375" style="1622" bestFit="1" customWidth="1"/>
    <col min="12037" max="12037" width="13.5" style="1622" customWidth="1"/>
    <col min="12038" max="12038" width="9" style="1622"/>
    <col min="12039" max="12039" width="9.375" style="1622" bestFit="1" customWidth="1"/>
    <col min="12040" max="12041" width="9" style="1622"/>
    <col min="12042" max="12042" width="9.375" style="1622" bestFit="1" customWidth="1"/>
    <col min="12043" max="12043" width="4" style="1622" customWidth="1"/>
    <col min="12044" max="12044" width="5.125" style="1622" customWidth="1"/>
    <col min="12045" max="12045" width="13.75" style="1622" customWidth="1"/>
    <col min="12046" max="12288" width="9" style="1622"/>
    <col min="12289" max="12289" width="4.875" style="1622" customWidth="1"/>
    <col min="12290" max="12290" width="13.25" style="1622" customWidth="1"/>
    <col min="12291" max="12291" width="15.625" style="1622" customWidth="1"/>
    <col min="12292" max="12292" width="9.375" style="1622" bestFit="1" customWidth="1"/>
    <col min="12293" max="12293" width="13.5" style="1622" customWidth="1"/>
    <col min="12294" max="12294" width="9" style="1622"/>
    <col min="12295" max="12295" width="9.375" style="1622" bestFit="1" customWidth="1"/>
    <col min="12296" max="12297" width="9" style="1622"/>
    <col min="12298" max="12298" width="9.375" style="1622" bestFit="1" customWidth="1"/>
    <col min="12299" max="12299" width="4" style="1622" customWidth="1"/>
    <col min="12300" max="12300" width="5.125" style="1622" customWidth="1"/>
    <col min="12301" max="12301" width="13.75" style="1622" customWidth="1"/>
    <col min="12302" max="12544" width="9" style="1622"/>
    <col min="12545" max="12545" width="4.875" style="1622" customWidth="1"/>
    <col min="12546" max="12546" width="13.25" style="1622" customWidth="1"/>
    <col min="12547" max="12547" width="15.625" style="1622" customWidth="1"/>
    <col min="12548" max="12548" width="9.375" style="1622" bestFit="1" customWidth="1"/>
    <col min="12549" max="12549" width="13.5" style="1622" customWidth="1"/>
    <col min="12550" max="12550" width="9" style="1622"/>
    <col min="12551" max="12551" width="9.375" style="1622" bestFit="1" customWidth="1"/>
    <col min="12552" max="12553" width="9" style="1622"/>
    <col min="12554" max="12554" width="9.375" style="1622" bestFit="1" customWidth="1"/>
    <col min="12555" max="12555" width="4" style="1622" customWidth="1"/>
    <col min="12556" max="12556" width="5.125" style="1622" customWidth="1"/>
    <col min="12557" max="12557" width="13.75" style="1622" customWidth="1"/>
    <col min="12558" max="12800" width="9" style="1622"/>
    <col min="12801" max="12801" width="4.875" style="1622" customWidth="1"/>
    <col min="12802" max="12802" width="13.25" style="1622" customWidth="1"/>
    <col min="12803" max="12803" width="15.625" style="1622" customWidth="1"/>
    <col min="12804" max="12804" width="9.375" style="1622" bestFit="1" customWidth="1"/>
    <col min="12805" max="12805" width="13.5" style="1622" customWidth="1"/>
    <col min="12806" max="12806" width="9" style="1622"/>
    <col min="12807" max="12807" width="9.375" style="1622" bestFit="1" customWidth="1"/>
    <col min="12808" max="12809" width="9" style="1622"/>
    <col min="12810" max="12810" width="9.375" style="1622" bestFit="1" customWidth="1"/>
    <col min="12811" max="12811" width="4" style="1622" customWidth="1"/>
    <col min="12812" max="12812" width="5.125" style="1622" customWidth="1"/>
    <col min="12813" max="12813" width="13.75" style="1622" customWidth="1"/>
    <col min="12814" max="13056" width="9" style="1622"/>
    <col min="13057" max="13057" width="4.875" style="1622" customWidth="1"/>
    <col min="13058" max="13058" width="13.25" style="1622" customWidth="1"/>
    <col min="13059" max="13059" width="15.625" style="1622" customWidth="1"/>
    <col min="13060" max="13060" width="9.375" style="1622" bestFit="1" customWidth="1"/>
    <col min="13061" max="13061" width="13.5" style="1622" customWidth="1"/>
    <col min="13062" max="13062" width="9" style="1622"/>
    <col min="13063" max="13063" width="9.375" style="1622" bestFit="1" customWidth="1"/>
    <col min="13064" max="13065" width="9" style="1622"/>
    <col min="13066" max="13066" width="9.375" style="1622" bestFit="1" customWidth="1"/>
    <col min="13067" max="13067" width="4" style="1622" customWidth="1"/>
    <col min="13068" max="13068" width="5.125" style="1622" customWidth="1"/>
    <col min="13069" max="13069" width="13.75" style="1622" customWidth="1"/>
    <col min="13070" max="13312" width="9" style="1622"/>
    <col min="13313" max="13313" width="4.875" style="1622" customWidth="1"/>
    <col min="13314" max="13314" width="13.25" style="1622" customWidth="1"/>
    <col min="13315" max="13315" width="15.625" style="1622" customWidth="1"/>
    <col min="13316" max="13316" width="9.375" style="1622" bestFit="1" customWidth="1"/>
    <col min="13317" max="13317" width="13.5" style="1622" customWidth="1"/>
    <col min="13318" max="13318" width="9" style="1622"/>
    <col min="13319" max="13319" width="9.375" style="1622" bestFit="1" customWidth="1"/>
    <col min="13320" max="13321" width="9" style="1622"/>
    <col min="13322" max="13322" width="9.375" style="1622" bestFit="1" customWidth="1"/>
    <col min="13323" max="13323" width="4" style="1622" customWidth="1"/>
    <col min="13324" max="13324" width="5.125" style="1622" customWidth="1"/>
    <col min="13325" max="13325" width="13.75" style="1622" customWidth="1"/>
    <col min="13326" max="13568" width="9" style="1622"/>
    <col min="13569" max="13569" width="4.875" style="1622" customWidth="1"/>
    <col min="13570" max="13570" width="13.25" style="1622" customWidth="1"/>
    <col min="13571" max="13571" width="15.625" style="1622" customWidth="1"/>
    <col min="13572" max="13572" width="9.375" style="1622" bestFit="1" customWidth="1"/>
    <col min="13573" max="13573" width="13.5" style="1622" customWidth="1"/>
    <col min="13574" max="13574" width="9" style="1622"/>
    <col min="13575" max="13575" width="9.375" style="1622" bestFit="1" customWidth="1"/>
    <col min="13576" max="13577" width="9" style="1622"/>
    <col min="13578" max="13578" width="9.375" style="1622" bestFit="1" customWidth="1"/>
    <col min="13579" max="13579" width="4" style="1622" customWidth="1"/>
    <col min="13580" max="13580" width="5.125" style="1622" customWidth="1"/>
    <col min="13581" max="13581" width="13.75" style="1622" customWidth="1"/>
    <col min="13582" max="13824" width="9" style="1622"/>
    <col min="13825" max="13825" width="4.875" style="1622" customWidth="1"/>
    <col min="13826" max="13826" width="13.25" style="1622" customWidth="1"/>
    <col min="13827" max="13827" width="15.625" style="1622" customWidth="1"/>
    <col min="13828" max="13828" width="9.375" style="1622" bestFit="1" customWidth="1"/>
    <col min="13829" max="13829" width="13.5" style="1622" customWidth="1"/>
    <col min="13830" max="13830" width="9" style="1622"/>
    <col min="13831" max="13831" width="9.375" style="1622" bestFit="1" customWidth="1"/>
    <col min="13832" max="13833" width="9" style="1622"/>
    <col min="13834" max="13834" width="9.375" style="1622" bestFit="1" customWidth="1"/>
    <col min="13835" max="13835" width="4" style="1622" customWidth="1"/>
    <col min="13836" max="13836" width="5.125" style="1622" customWidth="1"/>
    <col min="13837" max="13837" width="13.75" style="1622" customWidth="1"/>
    <col min="13838" max="14080" width="9" style="1622"/>
    <col min="14081" max="14081" width="4.875" style="1622" customWidth="1"/>
    <col min="14082" max="14082" width="13.25" style="1622" customWidth="1"/>
    <col min="14083" max="14083" width="15.625" style="1622" customWidth="1"/>
    <col min="14084" max="14084" width="9.375" style="1622" bestFit="1" customWidth="1"/>
    <col min="14085" max="14085" width="13.5" style="1622" customWidth="1"/>
    <col min="14086" max="14086" width="9" style="1622"/>
    <col min="14087" max="14087" width="9.375" style="1622" bestFit="1" customWidth="1"/>
    <col min="14088" max="14089" width="9" style="1622"/>
    <col min="14090" max="14090" width="9.375" style="1622" bestFit="1" customWidth="1"/>
    <col min="14091" max="14091" width="4" style="1622" customWidth="1"/>
    <col min="14092" max="14092" width="5.125" style="1622" customWidth="1"/>
    <col min="14093" max="14093" width="13.75" style="1622" customWidth="1"/>
    <col min="14094" max="14336" width="9" style="1622"/>
    <col min="14337" max="14337" width="4.875" style="1622" customWidth="1"/>
    <col min="14338" max="14338" width="13.25" style="1622" customWidth="1"/>
    <col min="14339" max="14339" width="15.625" style="1622" customWidth="1"/>
    <col min="14340" max="14340" width="9.375" style="1622" bestFit="1" customWidth="1"/>
    <col min="14341" max="14341" width="13.5" style="1622" customWidth="1"/>
    <col min="14342" max="14342" width="9" style="1622"/>
    <col min="14343" max="14343" width="9.375" style="1622" bestFit="1" customWidth="1"/>
    <col min="14344" max="14345" width="9" style="1622"/>
    <col min="14346" max="14346" width="9.375" style="1622" bestFit="1" customWidth="1"/>
    <col min="14347" max="14347" width="4" style="1622" customWidth="1"/>
    <col min="14348" max="14348" width="5.125" style="1622" customWidth="1"/>
    <col min="14349" max="14349" width="13.75" style="1622" customWidth="1"/>
    <col min="14350" max="14592" width="9" style="1622"/>
    <col min="14593" max="14593" width="4.875" style="1622" customWidth="1"/>
    <col min="14594" max="14594" width="13.25" style="1622" customWidth="1"/>
    <col min="14595" max="14595" width="15.625" style="1622" customWidth="1"/>
    <col min="14596" max="14596" width="9.375" style="1622" bestFit="1" customWidth="1"/>
    <col min="14597" max="14597" width="13.5" style="1622" customWidth="1"/>
    <col min="14598" max="14598" width="9" style="1622"/>
    <col min="14599" max="14599" width="9.375" style="1622" bestFit="1" customWidth="1"/>
    <col min="14600" max="14601" width="9" style="1622"/>
    <col min="14602" max="14602" width="9.375" style="1622" bestFit="1" customWidth="1"/>
    <col min="14603" max="14603" width="4" style="1622" customWidth="1"/>
    <col min="14604" max="14604" width="5.125" style="1622" customWidth="1"/>
    <col min="14605" max="14605" width="13.75" style="1622" customWidth="1"/>
    <col min="14606" max="14848" width="9" style="1622"/>
    <col min="14849" max="14849" width="4.875" style="1622" customWidth="1"/>
    <col min="14850" max="14850" width="13.25" style="1622" customWidth="1"/>
    <col min="14851" max="14851" width="15.625" style="1622" customWidth="1"/>
    <col min="14852" max="14852" width="9.375" style="1622" bestFit="1" customWidth="1"/>
    <col min="14853" max="14853" width="13.5" style="1622" customWidth="1"/>
    <col min="14854" max="14854" width="9" style="1622"/>
    <col min="14855" max="14855" width="9.375" style="1622" bestFit="1" customWidth="1"/>
    <col min="14856" max="14857" width="9" style="1622"/>
    <col min="14858" max="14858" width="9.375" style="1622" bestFit="1" customWidth="1"/>
    <col min="14859" max="14859" width="4" style="1622" customWidth="1"/>
    <col min="14860" max="14860" width="5.125" style="1622" customWidth="1"/>
    <col min="14861" max="14861" width="13.75" style="1622" customWidth="1"/>
    <col min="14862" max="15104" width="9" style="1622"/>
    <col min="15105" max="15105" width="4.875" style="1622" customWidth="1"/>
    <col min="15106" max="15106" width="13.25" style="1622" customWidth="1"/>
    <col min="15107" max="15107" width="15.625" style="1622" customWidth="1"/>
    <col min="15108" max="15108" width="9.375" style="1622" bestFit="1" customWidth="1"/>
    <col min="15109" max="15109" width="13.5" style="1622" customWidth="1"/>
    <col min="15110" max="15110" width="9" style="1622"/>
    <col min="15111" max="15111" width="9.375" style="1622" bestFit="1" customWidth="1"/>
    <col min="15112" max="15113" width="9" style="1622"/>
    <col min="15114" max="15114" width="9.375" style="1622" bestFit="1" customWidth="1"/>
    <col min="15115" max="15115" width="4" style="1622" customWidth="1"/>
    <col min="15116" max="15116" width="5.125" style="1622" customWidth="1"/>
    <col min="15117" max="15117" width="13.75" style="1622" customWidth="1"/>
    <col min="15118" max="15360" width="9" style="1622"/>
    <col min="15361" max="15361" width="4.875" style="1622" customWidth="1"/>
    <col min="15362" max="15362" width="13.25" style="1622" customWidth="1"/>
    <col min="15363" max="15363" width="15.625" style="1622" customWidth="1"/>
    <col min="15364" max="15364" width="9.375" style="1622" bestFit="1" customWidth="1"/>
    <col min="15365" max="15365" width="13.5" style="1622" customWidth="1"/>
    <col min="15366" max="15366" width="9" style="1622"/>
    <col min="15367" max="15367" width="9.375" style="1622" bestFit="1" customWidth="1"/>
    <col min="15368" max="15369" width="9" style="1622"/>
    <col min="15370" max="15370" width="9.375" style="1622" bestFit="1" customWidth="1"/>
    <col min="15371" max="15371" width="4" style="1622" customWidth="1"/>
    <col min="15372" max="15372" width="5.125" style="1622" customWidth="1"/>
    <col min="15373" max="15373" width="13.75" style="1622" customWidth="1"/>
    <col min="15374" max="15616" width="9" style="1622"/>
    <col min="15617" max="15617" width="4.875" style="1622" customWidth="1"/>
    <col min="15618" max="15618" width="13.25" style="1622" customWidth="1"/>
    <col min="15619" max="15619" width="15.625" style="1622" customWidth="1"/>
    <col min="15620" max="15620" width="9.375" style="1622" bestFit="1" customWidth="1"/>
    <col min="15621" max="15621" width="13.5" style="1622" customWidth="1"/>
    <col min="15622" max="15622" width="9" style="1622"/>
    <col min="15623" max="15623" width="9.375" style="1622" bestFit="1" customWidth="1"/>
    <col min="15624" max="15625" width="9" style="1622"/>
    <col min="15626" max="15626" width="9.375" style="1622" bestFit="1" customWidth="1"/>
    <col min="15627" max="15627" width="4" style="1622" customWidth="1"/>
    <col min="15628" max="15628" width="5.125" style="1622" customWidth="1"/>
    <col min="15629" max="15629" width="13.75" style="1622" customWidth="1"/>
    <col min="15630" max="15872" width="9" style="1622"/>
    <col min="15873" max="15873" width="4.875" style="1622" customWidth="1"/>
    <col min="15874" max="15874" width="13.25" style="1622" customWidth="1"/>
    <col min="15875" max="15875" width="15.625" style="1622" customWidth="1"/>
    <col min="15876" max="15876" width="9.375" style="1622" bestFit="1" customWidth="1"/>
    <col min="15877" max="15877" width="13.5" style="1622" customWidth="1"/>
    <col min="15878" max="15878" width="9" style="1622"/>
    <col min="15879" max="15879" width="9.375" style="1622" bestFit="1" customWidth="1"/>
    <col min="15880" max="15881" width="9" style="1622"/>
    <col min="15882" max="15882" width="9.375" style="1622" bestFit="1" customWidth="1"/>
    <col min="15883" max="15883" width="4" style="1622" customWidth="1"/>
    <col min="15884" max="15884" width="5.125" style="1622" customWidth="1"/>
    <col min="15885" max="15885" width="13.75" style="1622" customWidth="1"/>
    <col min="15886" max="16128" width="9" style="1622"/>
    <col min="16129" max="16129" width="4.875" style="1622" customWidth="1"/>
    <col min="16130" max="16130" width="13.25" style="1622" customWidth="1"/>
    <col min="16131" max="16131" width="15.625" style="1622" customWidth="1"/>
    <col min="16132" max="16132" width="9.375" style="1622" bestFit="1" customWidth="1"/>
    <col min="16133" max="16133" width="13.5" style="1622" customWidth="1"/>
    <col min="16134" max="16134" width="9" style="1622"/>
    <col min="16135" max="16135" width="9.375" style="1622" bestFit="1" customWidth="1"/>
    <col min="16136" max="16137" width="9" style="1622"/>
    <col min="16138" max="16138" width="9.375" style="1622" bestFit="1" customWidth="1"/>
    <col min="16139" max="16139" width="4" style="1622" customWidth="1"/>
    <col min="16140" max="16140" width="5.125" style="1622" customWidth="1"/>
    <col min="16141" max="16141" width="13.75" style="1622" customWidth="1"/>
    <col min="16142" max="16384" width="9" style="1622"/>
  </cols>
  <sheetData>
    <row r="1" spans="1:257" s="1686" customFormat="1" ht="14.25" thickBot="1">
      <c r="A1" s="1680"/>
      <c r="B1" s="1687" t="s">
        <v>1300</v>
      </c>
      <c r="C1" s="1681">
        <f>项目基本情况!D3</f>
        <v>43515</v>
      </c>
      <c r="D1" s="1687" t="s">
        <v>1301</v>
      </c>
      <c r="E1" s="1682">
        <f>'数据-取费表'!B22</f>
        <v>2</v>
      </c>
      <c r="F1" s="1687" t="s">
        <v>1302</v>
      </c>
      <c r="G1" s="1683">
        <f ca="1">INDIRECT("d"&amp;$K$1)/100</f>
        <v>4.7500000000000001E-2</v>
      </c>
      <c r="H1" s="1687" t="s">
        <v>1332</v>
      </c>
      <c r="I1" s="1683">
        <f ca="1">F4/100</f>
        <v>1.4999999999999999E-2</v>
      </c>
      <c r="J1" s="1688">
        <f>IF(C1&gt;C13,0,MATCH(C1,C$13:C$100,-1))+IF(SUMIF(C13:C100,C1,D13:D100)=0,13,12)</f>
        <v>13</v>
      </c>
      <c r="K1" s="1688">
        <f>MATCH(E1,C3:C7,1)+IF(SUMIF(C3:C7,E1,D3:D7)=0,2,1)</f>
        <v>5</v>
      </c>
      <c r="L1" s="1688">
        <f>IF(C1&gt;M13,0,MATCH(C1,M$13:M$100,-1))+IF(SUMIF(M13:M100,C1,N13:N100)=0,13,12)</f>
        <v>13</v>
      </c>
      <c r="M1" s="1680"/>
      <c r="N1" s="1680"/>
      <c r="O1" s="1680"/>
      <c r="P1" s="1680"/>
      <c r="Q1" s="1680"/>
      <c r="R1" s="1680"/>
      <c r="S1" s="1680"/>
      <c r="T1" s="1680"/>
      <c r="U1" s="1680"/>
      <c r="V1" s="1680"/>
      <c r="W1" s="1680"/>
      <c r="X1" s="1680"/>
      <c r="Y1" s="1680"/>
      <c r="Z1" s="1680"/>
      <c r="AA1" s="1684"/>
      <c r="AB1" s="1684"/>
      <c r="AC1" s="1684"/>
      <c r="AD1" s="1684"/>
      <c r="AE1" s="1684"/>
      <c r="AF1" s="1684"/>
      <c r="AG1" s="1684"/>
      <c r="AH1" s="1684"/>
      <c r="AI1" s="1684"/>
      <c r="AJ1" s="1684"/>
      <c r="AK1" s="1684"/>
      <c r="AL1" s="1684"/>
      <c r="AM1" s="1684"/>
      <c r="AN1" s="1684"/>
      <c r="AO1" s="1684"/>
      <c r="AP1" s="1684"/>
      <c r="AQ1" s="1684"/>
      <c r="AR1" s="1684"/>
      <c r="AS1" s="1684"/>
      <c r="AT1" s="1684"/>
      <c r="AU1" s="1684"/>
      <c r="AV1" s="1684"/>
      <c r="AW1" s="1684"/>
      <c r="AX1" s="1684"/>
      <c r="AY1" s="1684"/>
      <c r="AZ1" s="1684"/>
      <c r="BA1" s="1684"/>
      <c r="BB1" s="1684"/>
      <c r="BC1" s="1684"/>
      <c r="BD1" s="1684"/>
      <c r="BE1" s="1684"/>
      <c r="BF1" s="1684"/>
      <c r="BG1" s="1684"/>
      <c r="BH1" s="1684"/>
      <c r="BI1" s="1684"/>
      <c r="BJ1" s="1684"/>
      <c r="BK1" s="1684"/>
      <c r="BL1" s="1684"/>
      <c r="BM1" s="1684"/>
      <c r="BN1" s="1684"/>
      <c r="BO1" s="1684"/>
      <c r="BP1" s="1684"/>
      <c r="BQ1" s="1684"/>
      <c r="BR1" s="1684"/>
      <c r="BS1" s="1684"/>
      <c r="BT1" s="1684"/>
      <c r="BU1" s="1684"/>
      <c r="BV1" s="1684"/>
      <c r="BW1" s="1684"/>
      <c r="BX1" s="1684"/>
      <c r="BY1" s="1684"/>
      <c r="BZ1" s="1684"/>
      <c r="CA1" s="1684"/>
      <c r="CB1" s="1684"/>
      <c r="CC1" s="1684"/>
      <c r="CD1" s="1684"/>
      <c r="CE1" s="1684"/>
      <c r="CF1" s="1684"/>
      <c r="CG1" s="1684"/>
      <c r="CH1" s="1684"/>
      <c r="CI1" s="1684"/>
      <c r="CJ1" s="1684"/>
      <c r="CK1" s="1684"/>
      <c r="CL1" s="1684"/>
      <c r="CM1" s="1684"/>
      <c r="CN1" s="1684"/>
      <c r="CO1" s="1684"/>
      <c r="CP1" s="1684"/>
      <c r="CQ1" s="1684"/>
      <c r="CR1" s="1684"/>
      <c r="CS1" s="1684"/>
      <c r="CT1" s="1684"/>
      <c r="CU1" s="1684"/>
      <c r="CV1" s="1684"/>
      <c r="CW1" s="1684"/>
      <c r="CX1" s="1684"/>
      <c r="CY1" s="1684"/>
      <c r="CZ1" s="1684"/>
      <c r="DA1" s="1684"/>
      <c r="DB1" s="1684"/>
      <c r="DC1" s="1684"/>
      <c r="DD1" s="1684"/>
      <c r="DE1" s="1684"/>
      <c r="DF1" s="1684"/>
      <c r="DG1" s="1684"/>
      <c r="DH1" s="1684"/>
      <c r="DI1" s="1684"/>
      <c r="DJ1" s="1684"/>
      <c r="DK1" s="1684"/>
      <c r="DL1" s="1684"/>
      <c r="DM1" s="1684"/>
      <c r="DN1" s="1684"/>
      <c r="DO1" s="1684"/>
      <c r="DP1" s="1684"/>
      <c r="DQ1" s="1684"/>
      <c r="DR1" s="1684"/>
      <c r="DS1" s="1684"/>
      <c r="DT1" s="1684"/>
      <c r="DU1" s="1684"/>
      <c r="DV1" s="1684"/>
      <c r="DW1" s="1684"/>
      <c r="DX1" s="1684"/>
      <c r="DY1" s="1684"/>
      <c r="DZ1" s="1684"/>
      <c r="EA1" s="1684"/>
      <c r="EB1" s="1684"/>
      <c r="EC1" s="1684"/>
      <c r="ED1" s="1684"/>
      <c r="EE1" s="1684"/>
      <c r="EF1" s="1684"/>
      <c r="EG1" s="1684"/>
      <c r="EH1" s="1684"/>
      <c r="EI1" s="1684"/>
      <c r="EJ1" s="1684"/>
      <c r="EK1" s="1684"/>
      <c r="EL1" s="1684"/>
      <c r="EM1" s="1684"/>
      <c r="EN1" s="1684"/>
      <c r="EO1" s="1684"/>
      <c r="EP1" s="1684"/>
      <c r="EQ1" s="1684"/>
      <c r="ER1" s="1684"/>
      <c r="ES1" s="1684"/>
      <c r="ET1" s="1684"/>
      <c r="EU1" s="1684"/>
      <c r="EV1" s="1684"/>
      <c r="EW1" s="1684"/>
      <c r="EX1" s="1684"/>
      <c r="EY1" s="1684"/>
      <c r="EZ1" s="1684"/>
      <c r="FA1" s="1684"/>
      <c r="FB1" s="1684"/>
      <c r="FC1" s="1684"/>
      <c r="FD1" s="1684"/>
      <c r="FE1" s="1684"/>
      <c r="FF1" s="1684"/>
      <c r="FG1" s="1684"/>
      <c r="FH1" s="1684"/>
      <c r="FI1" s="1684"/>
      <c r="FJ1" s="1684"/>
      <c r="FK1" s="1684"/>
      <c r="FL1" s="1684"/>
      <c r="FM1" s="1684"/>
      <c r="FN1" s="1684"/>
      <c r="FO1" s="1684"/>
      <c r="FP1" s="1684"/>
      <c r="FQ1" s="1684"/>
      <c r="FR1" s="1684"/>
      <c r="FS1" s="1684"/>
      <c r="FT1" s="1684"/>
      <c r="FU1" s="1684"/>
      <c r="FV1" s="1684"/>
      <c r="FW1" s="1684"/>
      <c r="FX1" s="1684"/>
      <c r="FY1" s="1684"/>
      <c r="FZ1" s="1684"/>
      <c r="GA1" s="1684"/>
      <c r="GB1" s="1684"/>
      <c r="GC1" s="1684"/>
      <c r="GD1" s="1684"/>
      <c r="GE1" s="1684"/>
      <c r="GF1" s="1684"/>
      <c r="GG1" s="1684"/>
      <c r="GH1" s="1684"/>
      <c r="GI1" s="1684"/>
      <c r="GJ1" s="1684"/>
      <c r="GK1" s="1684"/>
      <c r="GL1" s="1684"/>
      <c r="GM1" s="1684"/>
      <c r="GN1" s="1684"/>
      <c r="GO1" s="1684"/>
      <c r="GP1" s="1684"/>
      <c r="GQ1" s="1684"/>
      <c r="GR1" s="1684"/>
      <c r="GS1" s="1684"/>
      <c r="GT1" s="1684"/>
      <c r="GU1" s="1684"/>
      <c r="GV1" s="1684"/>
      <c r="GW1" s="1684"/>
      <c r="GX1" s="1684"/>
      <c r="GY1" s="1684"/>
      <c r="GZ1" s="1684"/>
      <c r="HA1" s="1684"/>
      <c r="HB1" s="1684"/>
      <c r="HC1" s="1684"/>
      <c r="HD1" s="1684"/>
      <c r="HE1" s="1684"/>
      <c r="HF1" s="1684"/>
      <c r="HG1" s="1684"/>
      <c r="HH1" s="1684"/>
      <c r="HI1" s="1684"/>
      <c r="HJ1" s="1684"/>
      <c r="HK1" s="1684"/>
      <c r="HL1" s="1684"/>
      <c r="HM1" s="1684"/>
      <c r="HN1" s="1684"/>
      <c r="HO1" s="1684"/>
      <c r="HP1" s="1684"/>
      <c r="HQ1" s="1684"/>
      <c r="HR1" s="1684"/>
      <c r="HS1" s="1684"/>
      <c r="HT1" s="1684"/>
      <c r="HU1" s="1684"/>
      <c r="HV1" s="1684"/>
      <c r="HW1" s="1684"/>
      <c r="HX1" s="1684"/>
      <c r="HY1" s="1684"/>
      <c r="HZ1" s="1684"/>
      <c r="IA1" s="1684"/>
      <c r="IB1" s="1684"/>
      <c r="IC1" s="1684"/>
      <c r="ID1" s="1684"/>
      <c r="IE1" s="1684"/>
      <c r="IF1" s="1684"/>
      <c r="IG1" s="1684"/>
      <c r="IH1" s="1684"/>
      <c r="II1" s="1684"/>
      <c r="IJ1" s="1684"/>
      <c r="IK1" s="1684"/>
      <c r="IL1" s="1684"/>
      <c r="IM1" s="1684"/>
      <c r="IN1" s="1684"/>
      <c r="IO1" s="1684"/>
      <c r="IP1" s="1684"/>
      <c r="IQ1" s="1684"/>
      <c r="IR1" s="1684"/>
      <c r="IS1" s="1684"/>
      <c r="IT1" s="1684"/>
      <c r="IU1" s="1684"/>
      <c r="IV1" s="1684"/>
      <c r="IW1" s="1685"/>
    </row>
    <row r="2" spans="1:257" ht="15" thickTop="1" thickBot="1">
      <c r="A2" s="1623"/>
      <c r="B2" s="1623"/>
      <c r="C2" s="1623"/>
      <c r="D2" s="1623" t="s">
        <v>1303</v>
      </c>
      <c r="E2" s="1623"/>
      <c r="F2" s="1623" t="s">
        <v>1304</v>
      </c>
      <c r="G2" s="1624"/>
      <c r="H2" s="1623"/>
      <c r="I2" s="1623"/>
      <c r="J2" s="1623"/>
      <c r="K2" s="1623"/>
      <c r="L2" s="1623"/>
      <c r="M2" s="1623"/>
      <c r="N2" s="1623"/>
      <c r="O2" s="1623"/>
      <c r="P2" s="1623"/>
      <c r="Q2" s="1623"/>
      <c r="R2" s="1623"/>
      <c r="S2" s="1623"/>
      <c r="T2" s="1623"/>
      <c r="U2" s="1623"/>
      <c r="V2" s="1623"/>
      <c r="W2" s="1623"/>
      <c r="X2" s="1623"/>
      <c r="Y2" s="1623"/>
      <c r="Z2" s="1623"/>
      <c r="AA2" s="1623"/>
      <c r="AB2" s="1623"/>
      <c r="AC2" s="1623"/>
      <c r="AD2" s="1623"/>
      <c r="AE2" s="1623"/>
      <c r="AF2" s="1623"/>
      <c r="AG2" s="1623"/>
      <c r="AH2" s="1623"/>
      <c r="AI2" s="1623"/>
      <c r="AJ2" s="1623"/>
      <c r="AK2" s="1623"/>
      <c r="AL2" s="1623"/>
      <c r="AM2" s="1623"/>
      <c r="AN2" s="1623"/>
      <c r="AO2" s="1623"/>
      <c r="AP2" s="1623"/>
      <c r="AQ2" s="1623"/>
      <c r="AR2" s="1623"/>
      <c r="AS2" s="1623"/>
      <c r="AT2" s="1623"/>
      <c r="AU2" s="1623"/>
      <c r="AV2" s="1623"/>
      <c r="AW2" s="1623"/>
      <c r="AX2" s="1623"/>
      <c r="AY2" s="1623"/>
      <c r="AZ2" s="1623"/>
      <c r="BA2" s="1623"/>
      <c r="BB2" s="1623"/>
      <c r="BC2" s="1623"/>
      <c r="BD2" s="1623"/>
      <c r="BE2" s="1623"/>
      <c r="BF2" s="1623"/>
      <c r="BG2" s="1623"/>
      <c r="BH2" s="1623"/>
      <c r="BI2" s="1623"/>
      <c r="BJ2" s="1623"/>
      <c r="BK2" s="1623"/>
      <c r="BL2" s="1623"/>
      <c r="BM2" s="1623"/>
      <c r="BN2" s="1623"/>
      <c r="BO2" s="1623"/>
      <c r="BP2" s="1623"/>
      <c r="BQ2" s="1623"/>
      <c r="BR2" s="1623"/>
      <c r="BS2" s="1623"/>
      <c r="BT2" s="1623"/>
      <c r="BU2" s="1623"/>
      <c r="BV2" s="1623"/>
      <c r="BW2" s="1623"/>
      <c r="BX2" s="1623"/>
      <c r="BY2" s="1623"/>
      <c r="BZ2" s="1623"/>
      <c r="CA2" s="1623"/>
      <c r="CB2" s="1623"/>
      <c r="CC2" s="1623"/>
      <c r="CD2" s="1623"/>
      <c r="CE2" s="1623"/>
      <c r="CF2" s="1623"/>
      <c r="CG2" s="1623"/>
      <c r="CH2" s="1623"/>
      <c r="CI2" s="1623"/>
      <c r="CJ2" s="1623"/>
      <c r="CK2" s="1623"/>
      <c r="CL2" s="1623"/>
      <c r="CM2" s="1623"/>
      <c r="CN2" s="1623"/>
      <c r="CO2" s="1623"/>
      <c r="CP2" s="1623"/>
      <c r="CQ2" s="1623"/>
      <c r="CR2" s="1623"/>
      <c r="CS2" s="1623"/>
      <c r="CT2" s="1623"/>
      <c r="CU2" s="1623"/>
      <c r="CV2" s="1623"/>
      <c r="CW2" s="1623"/>
      <c r="CX2" s="1623"/>
      <c r="CY2" s="1623"/>
      <c r="CZ2" s="1623"/>
      <c r="DA2" s="1623"/>
      <c r="DB2" s="1623"/>
      <c r="DC2" s="1623"/>
      <c r="DD2" s="1623"/>
      <c r="DE2" s="1623"/>
      <c r="DF2" s="1623"/>
      <c r="DG2" s="1623"/>
      <c r="DH2" s="1623"/>
      <c r="DI2" s="1623"/>
      <c r="DJ2" s="1623"/>
      <c r="DK2" s="1623"/>
      <c r="DL2" s="1623"/>
      <c r="DM2" s="1623"/>
      <c r="DN2" s="1623"/>
      <c r="DO2" s="1623"/>
      <c r="DP2" s="1623"/>
      <c r="DQ2" s="1623"/>
      <c r="DR2" s="1623"/>
      <c r="DS2" s="1623"/>
      <c r="DT2" s="1623"/>
      <c r="DU2" s="1623"/>
      <c r="DV2" s="1623"/>
      <c r="DW2" s="1623"/>
      <c r="DX2" s="1623"/>
      <c r="DY2" s="1623"/>
      <c r="DZ2" s="1623"/>
      <c r="EA2" s="1623"/>
      <c r="EB2" s="1623"/>
      <c r="EC2" s="1623"/>
      <c r="ED2" s="1623"/>
      <c r="EE2" s="1623"/>
      <c r="EF2" s="1623"/>
      <c r="EG2" s="1623"/>
      <c r="EH2" s="1623"/>
      <c r="EI2" s="1623"/>
      <c r="EJ2" s="1623"/>
      <c r="EK2" s="1623"/>
      <c r="EL2" s="1623"/>
      <c r="EM2" s="1623"/>
      <c r="EN2" s="1623"/>
      <c r="EO2" s="1623"/>
      <c r="EP2" s="1623"/>
      <c r="EQ2" s="1623"/>
      <c r="ER2" s="1623"/>
      <c r="ES2" s="1623"/>
      <c r="ET2" s="1623"/>
      <c r="EU2" s="1623"/>
      <c r="EV2" s="1623"/>
      <c r="EW2" s="1623"/>
      <c r="EX2" s="1623"/>
      <c r="EY2" s="1623"/>
      <c r="EZ2" s="1623"/>
      <c r="FA2" s="1623"/>
      <c r="FB2" s="1623"/>
      <c r="FC2" s="1623"/>
      <c r="FD2" s="1623"/>
      <c r="FE2" s="1623"/>
      <c r="FF2" s="1623"/>
      <c r="FG2" s="1623"/>
      <c r="FH2" s="1623"/>
      <c r="FI2" s="1623"/>
      <c r="FJ2" s="1623"/>
      <c r="FK2" s="1623"/>
      <c r="FL2" s="1623"/>
      <c r="FM2" s="1623"/>
      <c r="FN2" s="1623"/>
      <c r="FO2" s="1623"/>
      <c r="FP2" s="1623"/>
      <c r="FQ2" s="1623"/>
      <c r="FR2" s="1623"/>
      <c r="FS2" s="1623"/>
      <c r="FT2" s="1623"/>
      <c r="FU2" s="1623"/>
      <c r="FV2" s="1623"/>
      <c r="FW2" s="1623"/>
      <c r="FX2" s="1623"/>
      <c r="FY2" s="1623"/>
      <c r="FZ2" s="1623"/>
      <c r="GA2" s="1623"/>
      <c r="GB2" s="1623"/>
      <c r="GC2" s="1623"/>
      <c r="GD2" s="1623"/>
      <c r="GE2" s="1623"/>
      <c r="GF2" s="1623"/>
      <c r="GG2" s="1623"/>
      <c r="GH2" s="1623"/>
      <c r="GI2" s="1623"/>
      <c r="GJ2" s="1623"/>
      <c r="GK2" s="1623"/>
      <c r="GL2" s="1623"/>
      <c r="GM2" s="1623"/>
      <c r="GN2" s="1623"/>
      <c r="GO2" s="1623"/>
      <c r="GP2" s="1623"/>
      <c r="GQ2" s="1623"/>
      <c r="GR2" s="1623"/>
      <c r="GS2" s="1623"/>
      <c r="GT2" s="1623"/>
      <c r="GU2" s="1623"/>
      <c r="GV2" s="1623"/>
      <c r="GW2" s="1623"/>
      <c r="GX2" s="1623"/>
      <c r="GY2" s="1623"/>
      <c r="GZ2" s="1623"/>
      <c r="HA2" s="1623"/>
      <c r="HB2" s="1623"/>
      <c r="HC2" s="1623"/>
      <c r="HD2" s="1623"/>
      <c r="HE2" s="1623"/>
      <c r="HF2" s="1623"/>
      <c r="HG2" s="1623"/>
      <c r="HH2" s="1623"/>
      <c r="HI2" s="1623"/>
      <c r="HJ2" s="1623"/>
      <c r="HK2" s="1623"/>
      <c r="HL2" s="1623"/>
      <c r="HM2" s="1623"/>
      <c r="HN2" s="1623"/>
      <c r="HO2" s="1623"/>
      <c r="HP2" s="1623"/>
      <c r="HQ2" s="1623"/>
      <c r="HR2" s="1623"/>
      <c r="HS2" s="1623"/>
      <c r="HT2" s="1623"/>
      <c r="HU2" s="1623"/>
      <c r="HV2" s="1623"/>
      <c r="HW2" s="1623"/>
      <c r="HX2" s="1623"/>
      <c r="HY2" s="1623"/>
      <c r="HZ2" s="1623"/>
      <c r="IA2" s="1623"/>
      <c r="IB2" s="1623"/>
      <c r="IC2" s="1623"/>
      <c r="ID2" s="1623"/>
      <c r="IE2" s="1623"/>
      <c r="IF2" s="1623"/>
      <c r="IG2" s="1623"/>
      <c r="IH2" s="1623"/>
      <c r="II2" s="1623"/>
      <c r="IJ2" s="1623"/>
      <c r="IK2" s="1623"/>
      <c r="IL2" s="1623"/>
      <c r="IM2" s="1623"/>
      <c r="IN2" s="1623"/>
      <c r="IO2" s="1623"/>
      <c r="IP2" s="1623"/>
      <c r="IQ2" s="1623"/>
      <c r="IR2" s="1623"/>
      <c r="IS2" s="1623"/>
      <c r="IT2" s="1623"/>
      <c r="IU2" s="1623"/>
      <c r="IV2" s="1623"/>
      <c r="IW2" s="1623"/>
    </row>
    <row r="3" spans="1:257">
      <c r="B3" s="1626" t="s">
        <v>1305</v>
      </c>
      <c r="C3" s="1627">
        <v>0</v>
      </c>
      <c r="D3" s="1628">
        <f ca="1">INDIRECT("d"&amp;$J$1)</f>
        <v>4.3499999999999996</v>
      </c>
      <c r="E3" s="1629">
        <v>0.5</v>
      </c>
      <c r="F3" s="1630">
        <f ca="1">INDIRECT("p"&amp;$L$1)</f>
        <v>1.3</v>
      </c>
      <c r="G3" s="1625"/>
      <c r="H3" s="1625"/>
      <c r="I3" s="1625"/>
      <c r="J3" s="1625"/>
      <c r="L3" s="1625"/>
      <c r="M3" s="1625"/>
      <c r="N3" s="1625"/>
      <c r="O3" s="1625"/>
      <c r="P3" s="1625"/>
      <c r="Q3" s="1625"/>
      <c r="R3" s="1625"/>
      <c r="S3" s="1625"/>
      <c r="T3" s="1625"/>
      <c r="U3" s="1625"/>
      <c r="V3" s="1625"/>
      <c r="W3" s="1625"/>
      <c r="X3" s="1625"/>
      <c r="Y3" s="1625"/>
      <c r="Z3" s="1625"/>
    </row>
    <row r="4" spans="1:257">
      <c r="B4" s="1632" t="s">
        <v>1306</v>
      </c>
      <c r="C4" s="1633">
        <v>0.5</v>
      </c>
      <c r="D4" s="1634">
        <f ca="1">INDIRECT("e"&amp;$J$1)</f>
        <v>4.3499999999999996</v>
      </c>
      <c r="E4" s="1635">
        <v>1</v>
      </c>
      <c r="F4" s="1636">
        <f ca="1">INDIRECT("q"&amp;$L$1)</f>
        <v>1.5</v>
      </c>
      <c r="G4" s="1625"/>
      <c r="H4" s="1625"/>
      <c r="I4" s="1625"/>
      <c r="J4" s="1625"/>
      <c r="L4" s="1625"/>
      <c r="M4" s="1625"/>
      <c r="N4" s="1625"/>
      <c r="O4" s="1625"/>
      <c r="P4" s="1625"/>
      <c r="Q4" s="1625"/>
      <c r="R4" s="1625"/>
      <c r="S4" s="1625"/>
      <c r="T4" s="1625"/>
      <c r="U4" s="1625"/>
      <c r="V4" s="1625"/>
      <c r="W4" s="1625"/>
      <c r="X4" s="1625"/>
      <c r="Y4" s="1625"/>
      <c r="Z4" s="1625"/>
    </row>
    <row r="5" spans="1:257">
      <c r="B5" s="1632" t="s">
        <v>1307</v>
      </c>
      <c r="C5" s="1633">
        <v>1</v>
      </c>
      <c r="D5" s="1634">
        <f ca="1">INDIRECT("f"&amp;$J$1)</f>
        <v>4.75</v>
      </c>
      <c r="E5" s="1635">
        <v>2</v>
      </c>
      <c r="F5" s="1636">
        <f ca="1">INDIRECT("r"&amp;$L$1)</f>
        <v>2.1</v>
      </c>
      <c r="G5" s="1625"/>
      <c r="H5" s="1625"/>
      <c r="I5" s="1625"/>
      <c r="J5" s="1625"/>
      <c r="L5" s="1625"/>
      <c r="M5" s="1625"/>
      <c r="N5" s="1625"/>
      <c r="O5" s="1625"/>
      <c r="P5" s="1625"/>
      <c r="Q5" s="1625"/>
      <c r="R5" s="1625"/>
      <c r="S5" s="1625"/>
      <c r="T5" s="1625"/>
      <c r="U5" s="1625"/>
      <c r="V5" s="1625"/>
      <c r="W5" s="1625"/>
      <c r="X5" s="1625"/>
      <c r="Y5" s="1625"/>
      <c r="Z5" s="1625"/>
    </row>
    <row r="6" spans="1:257">
      <c r="B6" s="1632" t="s">
        <v>1308</v>
      </c>
      <c r="C6" s="1633">
        <v>3</v>
      </c>
      <c r="D6" s="1634">
        <f ca="1">INDIRECT("g"&amp;$J$1)</f>
        <v>4.75</v>
      </c>
      <c r="E6" s="1635">
        <v>3</v>
      </c>
      <c r="F6" s="1636">
        <f ca="1">INDIRECT("s"&amp;$L$1)</f>
        <v>2.75</v>
      </c>
      <c r="G6" s="1625"/>
      <c r="H6" s="1625"/>
      <c r="I6" s="1625"/>
      <c r="J6" s="1625"/>
      <c r="L6" s="1625"/>
      <c r="M6" s="1625"/>
      <c r="N6" s="1625"/>
      <c r="O6" s="1625"/>
      <c r="P6" s="1625"/>
      <c r="Q6" s="1625"/>
      <c r="R6" s="1625"/>
      <c r="S6" s="1625"/>
      <c r="T6" s="1625"/>
      <c r="U6" s="1625"/>
      <c r="V6" s="1625"/>
      <c r="W6" s="1625"/>
      <c r="X6" s="1625"/>
      <c r="Y6" s="1625"/>
      <c r="Z6" s="1625"/>
    </row>
    <row r="7" spans="1:257" ht="14.25" thickBot="1">
      <c r="B7" s="1637" t="s">
        <v>1309</v>
      </c>
      <c r="C7" s="1638">
        <v>5</v>
      </c>
      <c r="D7" s="1639">
        <f ca="1">INDIRECT("h"&amp;$J$1)</f>
        <v>4.9000000000000004</v>
      </c>
      <c r="E7" s="1640">
        <v>5</v>
      </c>
      <c r="F7" s="1641">
        <f ca="1">INDIRECT("t"&amp;$L$1)</f>
        <v>0</v>
      </c>
      <c r="G7" s="1625"/>
      <c r="H7" s="1625"/>
      <c r="I7" s="1625"/>
      <c r="J7" s="1625"/>
      <c r="L7" s="1625"/>
      <c r="M7" s="1625"/>
      <c r="N7" s="1625"/>
      <c r="O7" s="1625"/>
      <c r="P7" s="1625"/>
      <c r="Q7" s="1625"/>
      <c r="R7" s="1625"/>
      <c r="S7" s="1625"/>
      <c r="T7" s="1625"/>
      <c r="U7" s="1625"/>
      <c r="V7" s="1625"/>
      <c r="W7" s="1625"/>
      <c r="X7" s="1625"/>
      <c r="Y7" s="1625"/>
      <c r="Z7" s="1625"/>
    </row>
    <row r="8" spans="1:257">
      <c r="A8" s="1642"/>
      <c r="B8" s="1643"/>
      <c r="C8" s="1644"/>
      <c r="D8" s="1625"/>
      <c r="E8" s="1625"/>
      <c r="F8" s="1625"/>
      <c r="G8" s="1625"/>
      <c r="H8" s="1625"/>
      <c r="I8" s="1625"/>
      <c r="J8" s="1625"/>
      <c r="L8" s="1625"/>
      <c r="M8" s="1625"/>
      <c r="N8" s="1625"/>
      <c r="O8" s="1625"/>
      <c r="P8" s="1625"/>
      <c r="Q8" s="1625"/>
      <c r="R8" s="1625"/>
      <c r="S8" s="1625"/>
      <c r="T8" s="1625"/>
      <c r="U8" s="1625"/>
      <c r="V8" s="1625"/>
      <c r="W8" s="1625"/>
      <c r="X8" s="1625"/>
      <c r="Y8" s="1625"/>
      <c r="Z8" s="1625"/>
    </row>
    <row r="9" spans="1:257" ht="20.25">
      <c r="A9" s="1645"/>
      <c r="B9" s="1646" t="s">
        <v>1310</v>
      </c>
      <c r="C9" s="1647"/>
      <c r="D9" s="1648"/>
      <c r="E9" s="1648"/>
      <c r="F9" s="1648"/>
      <c r="G9" s="1648"/>
      <c r="H9" s="1648"/>
      <c r="I9" s="1648"/>
      <c r="J9" s="1648"/>
      <c r="K9" s="1648"/>
      <c r="L9" s="1648"/>
      <c r="M9" s="1648"/>
      <c r="N9" s="1648"/>
      <c r="O9" s="1648"/>
      <c r="P9" s="1648"/>
      <c r="Q9" s="1648"/>
      <c r="R9" s="1648"/>
      <c r="S9" s="1648"/>
      <c r="T9" s="1648"/>
      <c r="U9" s="1648"/>
      <c r="V9" s="1648"/>
      <c r="W9" s="1648"/>
      <c r="X9" s="1648"/>
      <c r="Y9" s="1648"/>
      <c r="Z9" s="1648"/>
      <c r="AA9" s="1649"/>
      <c r="AB9" s="1649"/>
      <c r="AC9" s="1649"/>
      <c r="AD9" s="1649"/>
      <c r="AE9" s="1649"/>
      <c r="AF9" s="1649"/>
      <c r="AG9" s="1649"/>
      <c r="AH9" s="1649"/>
      <c r="AI9" s="1649"/>
      <c r="AJ9" s="1649"/>
      <c r="AK9" s="1649"/>
      <c r="AL9" s="1649"/>
      <c r="AM9" s="1649"/>
      <c r="AN9" s="1649"/>
      <c r="AO9" s="1649"/>
      <c r="AP9" s="1649"/>
      <c r="AQ9" s="1649"/>
      <c r="AR9" s="1649"/>
      <c r="AS9" s="1649"/>
      <c r="AT9" s="1649"/>
      <c r="AU9" s="1649"/>
      <c r="AV9" s="1649"/>
      <c r="AW9" s="1649"/>
      <c r="AX9" s="1649"/>
      <c r="AY9" s="1649"/>
      <c r="AZ9" s="1649"/>
      <c r="BA9" s="1649"/>
      <c r="BB9" s="1649"/>
      <c r="BC9" s="1649"/>
      <c r="BD9" s="1649"/>
      <c r="BE9" s="1649"/>
      <c r="BF9" s="1649"/>
      <c r="BG9" s="1649"/>
      <c r="BH9" s="1649"/>
      <c r="BI9" s="1649"/>
      <c r="BJ9" s="1649"/>
      <c r="BK9" s="1649"/>
      <c r="BL9" s="1649"/>
      <c r="BM9" s="1649"/>
      <c r="BN9" s="1649"/>
      <c r="BO9" s="1649"/>
      <c r="BP9" s="1649"/>
      <c r="BQ9" s="1649"/>
      <c r="BR9" s="1649"/>
      <c r="BS9" s="1649"/>
      <c r="BT9" s="1649"/>
      <c r="BU9" s="1649"/>
      <c r="BV9" s="1649"/>
      <c r="BW9" s="1649"/>
      <c r="BX9" s="1649"/>
      <c r="BY9" s="1649"/>
      <c r="BZ9" s="1649"/>
      <c r="CA9" s="1649"/>
      <c r="CB9" s="1649"/>
      <c r="CC9" s="1649"/>
      <c r="CD9" s="1649"/>
      <c r="CE9" s="1649"/>
      <c r="CF9" s="1649"/>
      <c r="CG9" s="1649"/>
      <c r="CH9" s="1649"/>
      <c r="CI9" s="1649"/>
      <c r="CJ9" s="1649"/>
      <c r="CK9" s="1649"/>
      <c r="CL9" s="1649"/>
      <c r="CM9" s="1649"/>
      <c r="CN9" s="1649"/>
      <c r="CO9" s="1649"/>
      <c r="CP9" s="1649"/>
      <c r="CQ9" s="1649"/>
      <c r="CR9" s="1649"/>
      <c r="CS9" s="1649"/>
      <c r="CT9" s="1649"/>
      <c r="CU9" s="1649"/>
      <c r="CV9" s="1649"/>
      <c r="CW9" s="1649"/>
      <c r="CX9" s="1649"/>
      <c r="CY9" s="1649"/>
      <c r="CZ9" s="1649"/>
      <c r="DA9" s="1649"/>
      <c r="DB9" s="1649"/>
      <c r="DC9" s="1649"/>
      <c r="DD9" s="1649"/>
      <c r="DE9" s="1649"/>
      <c r="DF9" s="1649"/>
      <c r="DG9" s="1649"/>
      <c r="DH9" s="1649"/>
      <c r="DI9" s="1649"/>
      <c r="DJ9" s="1649"/>
      <c r="DK9" s="1649"/>
      <c r="DL9" s="1649"/>
      <c r="DM9" s="1649"/>
      <c r="DN9" s="1649"/>
      <c r="DO9" s="1649"/>
      <c r="DP9" s="1649"/>
      <c r="DQ9" s="1649"/>
      <c r="DR9" s="1649"/>
      <c r="DS9" s="1649"/>
      <c r="DT9" s="1649"/>
      <c r="DU9" s="1649"/>
      <c r="DV9" s="1649"/>
      <c r="DW9" s="1649"/>
      <c r="DX9" s="1649"/>
      <c r="DY9" s="1649"/>
      <c r="DZ9" s="1649"/>
      <c r="EA9" s="1649"/>
      <c r="EB9" s="1649"/>
      <c r="EC9" s="1649"/>
      <c r="ED9" s="1649"/>
      <c r="EE9" s="1649"/>
      <c r="EF9" s="1649"/>
      <c r="EG9" s="1649"/>
      <c r="EH9" s="1649"/>
      <c r="EI9" s="1649"/>
      <c r="EJ9" s="1649"/>
      <c r="EK9" s="1649"/>
      <c r="EL9" s="1649"/>
      <c r="EM9" s="1649"/>
      <c r="EN9" s="1649"/>
      <c r="EO9" s="1649"/>
      <c r="EP9" s="1649"/>
      <c r="EQ9" s="1649"/>
      <c r="ER9" s="1649"/>
      <c r="ES9" s="1649"/>
      <c r="ET9" s="1649"/>
      <c r="EU9" s="1649"/>
      <c r="EV9" s="1649"/>
      <c r="EW9" s="1649"/>
      <c r="EX9" s="1649"/>
      <c r="EY9" s="1649"/>
      <c r="EZ9" s="1649"/>
      <c r="FA9" s="1649"/>
      <c r="FB9" s="1649"/>
      <c r="FC9" s="1649"/>
      <c r="FD9" s="1649"/>
      <c r="FE9" s="1649"/>
      <c r="FF9" s="1649"/>
      <c r="FG9" s="1649"/>
      <c r="FH9" s="1649"/>
      <c r="FI9" s="1649"/>
      <c r="FJ9" s="1649"/>
      <c r="FK9" s="1649"/>
      <c r="FL9" s="1649"/>
      <c r="FM9" s="1649"/>
      <c r="FN9" s="1649"/>
      <c r="FO9" s="1649"/>
      <c r="FP9" s="1649"/>
      <c r="FQ9" s="1649"/>
      <c r="FR9" s="1649"/>
      <c r="FS9" s="1649"/>
      <c r="FT9" s="1649"/>
      <c r="FU9" s="1649"/>
      <c r="FV9" s="1649"/>
      <c r="FW9" s="1649"/>
      <c r="FX9" s="1649"/>
      <c r="FY9" s="1649"/>
      <c r="FZ9" s="1649"/>
      <c r="GA9" s="1649"/>
      <c r="GB9" s="1649"/>
      <c r="GC9" s="1649"/>
      <c r="GD9" s="1649"/>
      <c r="GE9" s="1649"/>
      <c r="GF9" s="1649"/>
      <c r="GG9" s="1649"/>
      <c r="GH9" s="1649"/>
      <c r="GI9" s="1649"/>
      <c r="GJ9" s="1649"/>
      <c r="GK9" s="1649"/>
      <c r="GL9" s="1649"/>
      <c r="GM9" s="1649"/>
      <c r="GN9" s="1649"/>
      <c r="GO9" s="1649"/>
      <c r="GP9" s="1649"/>
      <c r="GQ9" s="1649"/>
      <c r="GR9" s="1649"/>
      <c r="GS9" s="1649"/>
      <c r="GT9" s="1649"/>
      <c r="GU9" s="1649"/>
      <c r="GV9" s="1649"/>
      <c r="GW9" s="1649"/>
      <c r="GX9" s="1649"/>
      <c r="GY9" s="1649"/>
      <c r="GZ9" s="1649"/>
      <c r="HA9" s="1649"/>
      <c r="HB9" s="1649"/>
      <c r="HC9" s="1649"/>
      <c r="HD9" s="1649"/>
      <c r="HE9" s="1649"/>
      <c r="HF9" s="1649"/>
      <c r="HG9" s="1649"/>
      <c r="HH9" s="1649"/>
      <c r="HI9" s="1649"/>
      <c r="HJ9" s="1649"/>
      <c r="HK9" s="1649"/>
      <c r="HL9" s="1649"/>
      <c r="HM9" s="1649"/>
      <c r="HN9" s="1649"/>
      <c r="HO9" s="1649"/>
      <c r="HP9" s="1649"/>
      <c r="HQ9" s="1649"/>
      <c r="HR9" s="1649"/>
      <c r="HS9" s="1649"/>
      <c r="HT9" s="1649"/>
      <c r="HU9" s="1649"/>
      <c r="HV9" s="1649"/>
      <c r="HW9" s="1649"/>
      <c r="HX9" s="1649"/>
      <c r="HY9" s="1649"/>
      <c r="HZ9" s="1649"/>
      <c r="IA9" s="1649"/>
      <c r="IB9" s="1649"/>
      <c r="IC9" s="1649"/>
      <c r="ID9" s="1649"/>
      <c r="IE9" s="1649"/>
      <c r="IF9" s="1649"/>
      <c r="IG9" s="1649"/>
      <c r="IH9" s="1649"/>
      <c r="II9" s="1649"/>
      <c r="IJ9" s="1649"/>
      <c r="IK9" s="1649"/>
      <c r="IL9" s="1649"/>
      <c r="IM9" s="1649"/>
      <c r="IN9" s="1649"/>
      <c r="IO9" s="1649"/>
      <c r="IP9" s="1649"/>
      <c r="IQ9" s="1649"/>
      <c r="IR9" s="1649"/>
      <c r="IS9" s="1649"/>
      <c r="IT9" s="1649"/>
      <c r="IU9" s="1649"/>
      <c r="IV9" s="1649"/>
      <c r="IW9" s="1650"/>
    </row>
    <row r="10" spans="1:257" ht="22.5">
      <c r="A10" s="1651"/>
      <c r="B10" s="1652" t="s">
        <v>1311</v>
      </c>
      <c r="C10" s="1651"/>
      <c r="D10" s="1651"/>
      <c r="E10" s="1651"/>
      <c r="F10" s="1651"/>
      <c r="G10" s="1651"/>
      <c r="H10" s="1651"/>
      <c r="I10" s="1625"/>
      <c r="J10" s="1625"/>
      <c r="K10" s="1651"/>
      <c r="L10" s="1652" t="s">
        <v>1312</v>
      </c>
      <c r="M10" s="1651"/>
      <c r="N10" s="1651"/>
      <c r="O10" s="1651"/>
      <c r="P10" s="1651"/>
      <c r="Q10" s="1651"/>
      <c r="R10" s="1651"/>
      <c r="S10" s="1651"/>
      <c r="T10" s="1651"/>
      <c r="U10" s="1651"/>
      <c r="V10" s="1651"/>
      <c r="W10" s="1651"/>
      <c r="X10" s="1651"/>
      <c r="Y10" s="1651"/>
      <c r="Z10" s="1651"/>
      <c r="AA10" s="1653"/>
      <c r="AB10" s="1653"/>
      <c r="AC10" s="1653"/>
      <c r="AD10" s="1653"/>
      <c r="AE10" s="1653"/>
      <c r="AF10" s="1653"/>
      <c r="AG10" s="1653"/>
      <c r="AH10" s="1653"/>
      <c r="AI10" s="1653"/>
      <c r="AJ10" s="1653"/>
      <c r="AK10" s="1653"/>
      <c r="AL10" s="1653"/>
      <c r="AM10" s="1653"/>
      <c r="AN10" s="1653"/>
      <c r="AO10" s="1653"/>
      <c r="AP10" s="1653"/>
      <c r="AQ10" s="1653"/>
      <c r="AR10" s="1653"/>
      <c r="AS10" s="1653"/>
      <c r="AT10" s="1653"/>
      <c r="AU10" s="1653"/>
      <c r="AV10" s="1653"/>
      <c r="AW10" s="1653"/>
      <c r="AX10" s="1653"/>
      <c r="AY10" s="1653"/>
      <c r="AZ10" s="1653"/>
      <c r="BA10" s="1653"/>
      <c r="BB10" s="1653"/>
      <c r="BC10" s="1653"/>
      <c r="BD10" s="1653"/>
      <c r="BE10" s="1653"/>
      <c r="BF10" s="1653"/>
      <c r="BG10" s="1653"/>
      <c r="BH10" s="1653"/>
      <c r="BI10" s="1653"/>
      <c r="BJ10" s="1653"/>
      <c r="BK10" s="1653"/>
      <c r="BL10" s="1653"/>
      <c r="BM10" s="1653"/>
      <c r="BN10" s="1653"/>
      <c r="BO10" s="1653"/>
      <c r="BP10" s="1653"/>
      <c r="BQ10" s="1653"/>
      <c r="BR10" s="1653"/>
      <c r="BS10" s="1653"/>
      <c r="BT10" s="1653"/>
      <c r="BU10" s="1653"/>
      <c r="BV10" s="1653"/>
      <c r="BW10" s="1653"/>
      <c r="BX10" s="1653"/>
      <c r="BY10" s="1653"/>
      <c r="BZ10" s="1653"/>
      <c r="CA10" s="1653"/>
      <c r="CB10" s="1653"/>
      <c r="CC10" s="1653"/>
      <c r="CD10" s="1653"/>
      <c r="CE10" s="1653"/>
      <c r="CF10" s="1653"/>
      <c r="CG10" s="1653"/>
      <c r="CH10" s="1653"/>
      <c r="CI10" s="1653"/>
      <c r="CJ10" s="1653"/>
      <c r="CK10" s="1653"/>
      <c r="CL10" s="1653"/>
      <c r="CM10" s="1653"/>
      <c r="CN10" s="1653"/>
      <c r="CO10" s="1653"/>
      <c r="CP10" s="1653"/>
      <c r="CQ10" s="1653"/>
      <c r="CR10" s="1653"/>
      <c r="CS10" s="1653"/>
      <c r="CT10" s="1653"/>
      <c r="CU10" s="1653"/>
      <c r="CV10" s="1653"/>
      <c r="CW10" s="1653"/>
      <c r="CX10" s="1653"/>
      <c r="CY10" s="1653"/>
      <c r="CZ10" s="1653"/>
      <c r="DA10" s="1653"/>
      <c r="DB10" s="1653"/>
      <c r="DC10" s="1653"/>
      <c r="DD10" s="1653"/>
      <c r="DE10" s="1653"/>
      <c r="DF10" s="1653"/>
      <c r="DG10" s="1653"/>
      <c r="DH10" s="1653"/>
      <c r="DI10" s="1653"/>
      <c r="DJ10" s="1653"/>
      <c r="DK10" s="1653"/>
      <c r="DL10" s="1653"/>
      <c r="DM10" s="1653"/>
      <c r="DN10" s="1653"/>
      <c r="DO10" s="1653"/>
      <c r="DP10" s="1653"/>
      <c r="DQ10" s="1653"/>
      <c r="DR10" s="1653"/>
      <c r="DS10" s="1653"/>
      <c r="DT10" s="1653"/>
      <c r="DU10" s="1653"/>
      <c r="DV10" s="1653"/>
      <c r="DW10" s="1653"/>
      <c r="DX10" s="1653"/>
      <c r="DY10" s="1653"/>
      <c r="DZ10" s="1653"/>
      <c r="EA10" s="1653"/>
      <c r="EB10" s="1653"/>
      <c r="EC10" s="1653"/>
      <c r="ED10" s="1653"/>
      <c r="EE10" s="1653"/>
      <c r="EF10" s="1653"/>
      <c r="EG10" s="1653"/>
      <c r="EH10" s="1653"/>
      <c r="EI10" s="1653"/>
      <c r="EJ10" s="1653"/>
      <c r="EK10" s="1653"/>
      <c r="EL10" s="1653"/>
      <c r="EM10" s="1653"/>
      <c r="EN10" s="1653"/>
      <c r="EO10" s="1653"/>
      <c r="EP10" s="1653"/>
      <c r="EQ10" s="1653"/>
      <c r="ER10" s="1653"/>
      <c r="ES10" s="1653"/>
      <c r="ET10" s="1653"/>
      <c r="EU10" s="1653"/>
      <c r="EV10" s="1653"/>
      <c r="EW10" s="1653"/>
      <c r="EX10" s="1653"/>
      <c r="EY10" s="1653"/>
      <c r="EZ10" s="1653"/>
      <c r="FA10" s="1653"/>
      <c r="FB10" s="1653"/>
      <c r="FC10" s="1653"/>
      <c r="FD10" s="1653"/>
      <c r="FE10" s="1653"/>
      <c r="FF10" s="1653"/>
      <c r="FG10" s="1653"/>
      <c r="FH10" s="1653"/>
      <c r="FI10" s="1653"/>
      <c r="FJ10" s="1653"/>
      <c r="FK10" s="1653"/>
      <c r="FL10" s="1653"/>
      <c r="FM10" s="1653"/>
      <c r="FN10" s="1653"/>
      <c r="FO10" s="1653"/>
      <c r="FP10" s="1653"/>
      <c r="FQ10" s="1653"/>
      <c r="FR10" s="1653"/>
      <c r="FS10" s="1653"/>
      <c r="FT10" s="1653"/>
      <c r="FU10" s="1653"/>
      <c r="FV10" s="1653"/>
      <c r="FW10" s="1653"/>
      <c r="FX10" s="1653"/>
      <c r="FY10" s="1653"/>
      <c r="FZ10" s="1653"/>
      <c r="GA10" s="1653"/>
      <c r="GB10" s="1653"/>
      <c r="GC10" s="1653"/>
      <c r="GD10" s="1653"/>
      <c r="GE10" s="1653"/>
      <c r="GF10" s="1653"/>
      <c r="GG10" s="1653"/>
      <c r="GH10" s="1653"/>
      <c r="GI10" s="1653"/>
      <c r="GJ10" s="1653"/>
      <c r="GK10" s="1653"/>
      <c r="GL10" s="1653"/>
      <c r="GM10" s="1653"/>
      <c r="GN10" s="1653"/>
      <c r="GO10" s="1653"/>
      <c r="GP10" s="1653"/>
      <c r="GQ10" s="1653"/>
      <c r="GR10" s="1653"/>
      <c r="GS10" s="1653"/>
      <c r="GT10" s="1653"/>
      <c r="GU10" s="1653"/>
      <c r="GV10" s="1653"/>
      <c r="GW10" s="1653"/>
      <c r="GX10" s="1653"/>
      <c r="GY10" s="1653"/>
      <c r="GZ10" s="1653"/>
      <c r="HA10" s="1653"/>
      <c r="HB10" s="1653"/>
      <c r="HC10" s="1653"/>
      <c r="HD10" s="1653"/>
      <c r="HE10" s="1653"/>
      <c r="HF10" s="1653"/>
      <c r="HG10" s="1653"/>
      <c r="HH10" s="1653"/>
      <c r="HI10" s="1653"/>
      <c r="HJ10" s="1653"/>
      <c r="HK10" s="1653"/>
      <c r="HL10" s="1653"/>
      <c r="HM10" s="1653"/>
      <c r="HN10" s="1653"/>
      <c r="HO10" s="1653"/>
      <c r="HP10" s="1653"/>
      <c r="HQ10" s="1653"/>
      <c r="HR10" s="1653"/>
      <c r="HS10" s="1653"/>
      <c r="HT10" s="1653"/>
      <c r="HU10" s="1653"/>
      <c r="HV10" s="1653"/>
      <c r="HW10" s="1653"/>
      <c r="HX10" s="1653"/>
      <c r="HY10" s="1653"/>
      <c r="HZ10" s="1653"/>
      <c r="IA10" s="1653"/>
      <c r="IB10" s="1653"/>
      <c r="IC10" s="1653"/>
      <c r="ID10" s="1653"/>
      <c r="IE10" s="1653"/>
      <c r="IF10" s="1653"/>
      <c r="IG10" s="1653"/>
      <c r="IH10" s="1653"/>
      <c r="II10" s="1653"/>
      <c r="IJ10" s="1653"/>
      <c r="IK10" s="1653"/>
      <c r="IL10" s="1653"/>
      <c r="IM10" s="1653"/>
      <c r="IN10" s="1653"/>
      <c r="IO10" s="1653"/>
      <c r="IP10" s="1653"/>
      <c r="IQ10" s="1653"/>
      <c r="IR10" s="1653"/>
      <c r="IS10" s="1653"/>
      <c r="IT10" s="1653"/>
      <c r="IU10" s="1653"/>
      <c r="IV10" s="1653"/>
    </row>
    <row r="11" spans="1:257">
      <c r="A11" s="1654"/>
      <c r="B11" s="1655" t="s">
        <v>1313</v>
      </c>
      <c r="C11" s="1656" t="s">
        <v>1314</v>
      </c>
      <c r="D11" s="1657" t="s">
        <v>1315</v>
      </c>
      <c r="E11" s="1658"/>
      <c r="F11" s="1657" t="s">
        <v>1316</v>
      </c>
      <c r="G11" s="1659"/>
      <c r="H11" s="1658"/>
      <c r="I11" s="1657" t="s">
        <v>1317</v>
      </c>
      <c r="J11" s="1658"/>
      <c r="K11" s="1654"/>
      <c r="L11" s="1655" t="s">
        <v>1313</v>
      </c>
      <c r="M11" s="1656" t="s">
        <v>1314</v>
      </c>
      <c r="N11" s="1655" t="s">
        <v>1318</v>
      </c>
      <c r="O11" s="1657" t="s">
        <v>1319</v>
      </c>
      <c r="P11" s="1659"/>
      <c r="Q11" s="1659"/>
      <c r="R11" s="1659"/>
      <c r="S11" s="1659"/>
      <c r="T11" s="1658"/>
      <c r="U11" s="1657" t="s">
        <v>1320</v>
      </c>
      <c r="V11" s="1659"/>
      <c r="W11" s="1658"/>
      <c r="X11" s="1655" t="s">
        <v>1321</v>
      </c>
      <c r="Y11" s="1655" t="s">
        <v>1322</v>
      </c>
      <c r="Z11" s="1655" t="s">
        <v>1323</v>
      </c>
      <c r="AA11" s="1660"/>
      <c r="AB11" s="1660"/>
      <c r="AC11" s="1660"/>
      <c r="AD11" s="1660"/>
      <c r="AE11" s="1660"/>
      <c r="AF11" s="1660"/>
      <c r="AG11" s="1660"/>
      <c r="AH11" s="1660"/>
      <c r="AI11" s="1660"/>
      <c r="AJ11" s="1660"/>
      <c r="AK11" s="1660"/>
      <c r="AL11" s="1660"/>
      <c r="AM11" s="1660"/>
      <c r="AN11" s="1660"/>
      <c r="AO11" s="1660"/>
      <c r="AP11" s="1660"/>
      <c r="AQ11" s="1660"/>
      <c r="AR11" s="1660"/>
      <c r="AS11" s="1660"/>
      <c r="AT11" s="1660"/>
      <c r="AU11" s="1660"/>
      <c r="AV11" s="1660"/>
      <c r="AW11" s="1660"/>
      <c r="AX11" s="1660"/>
      <c r="AY11" s="1660"/>
      <c r="AZ11" s="1660"/>
      <c r="BA11" s="1660"/>
      <c r="BB11" s="1660"/>
      <c r="BC11" s="1660"/>
      <c r="BD11" s="1660"/>
      <c r="BE11" s="1660"/>
      <c r="BF11" s="1660"/>
      <c r="BG11" s="1660"/>
      <c r="BH11" s="1660"/>
      <c r="BI11" s="1660"/>
      <c r="BJ11" s="1660"/>
      <c r="BK11" s="1660"/>
      <c r="BL11" s="1660"/>
      <c r="BM11" s="1660"/>
      <c r="BN11" s="1660"/>
      <c r="BO11" s="1660"/>
      <c r="BP11" s="1660"/>
      <c r="BQ11" s="1660"/>
      <c r="BR11" s="1660"/>
      <c r="BS11" s="1660"/>
      <c r="BT11" s="1660"/>
      <c r="BU11" s="1660"/>
      <c r="BV11" s="1660"/>
      <c r="BW11" s="1660"/>
      <c r="BX11" s="1660"/>
      <c r="BY11" s="1660"/>
      <c r="BZ11" s="1660"/>
      <c r="CA11" s="1660"/>
      <c r="CB11" s="1660"/>
      <c r="CC11" s="1660"/>
      <c r="CD11" s="1660"/>
      <c r="CE11" s="1660"/>
      <c r="CF11" s="1660"/>
      <c r="CG11" s="1660"/>
      <c r="CH11" s="1660"/>
      <c r="CI11" s="1660"/>
      <c r="CJ11" s="1660"/>
      <c r="CK11" s="1660"/>
      <c r="CL11" s="1660"/>
      <c r="CM11" s="1660"/>
      <c r="CN11" s="1660"/>
      <c r="CO11" s="1660"/>
      <c r="CP11" s="1660"/>
      <c r="CQ11" s="1660"/>
      <c r="CR11" s="1660"/>
      <c r="CS11" s="1660"/>
      <c r="CT11" s="1660"/>
      <c r="CU11" s="1660"/>
      <c r="CV11" s="1660"/>
      <c r="CW11" s="1660"/>
      <c r="CX11" s="1660"/>
      <c r="CY11" s="1660"/>
      <c r="CZ11" s="1660"/>
      <c r="DA11" s="1660"/>
      <c r="DB11" s="1660"/>
      <c r="DC11" s="1660"/>
      <c r="DD11" s="1660"/>
      <c r="DE11" s="1660"/>
      <c r="DF11" s="1660"/>
      <c r="DG11" s="1660"/>
      <c r="DH11" s="1660"/>
      <c r="DI11" s="1660"/>
      <c r="DJ11" s="1660"/>
      <c r="DK11" s="1660"/>
      <c r="DL11" s="1660"/>
      <c r="DM11" s="1660"/>
      <c r="DN11" s="1660"/>
      <c r="DO11" s="1660"/>
      <c r="DP11" s="1660"/>
      <c r="DQ11" s="1660"/>
      <c r="DR11" s="1660"/>
      <c r="DS11" s="1660"/>
      <c r="DT11" s="1660"/>
      <c r="DU11" s="1660"/>
      <c r="DV11" s="1660"/>
      <c r="DW11" s="1660"/>
      <c r="DX11" s="1660"/>
      <c r="DY11" s="1660"/>
      <c r="DZ11" s="1660"/>
      <c r="EA11" s="1660"/>
      <c r="EB11" s="1660"/>
      <c r="EC11" s="1660"/>
      <c r="ED11" s="1660"/>
      <c r="EE11" s="1660"/>
      <c r="EF11" s="1660"/>
      <c r="EG11" s="1660"/>
      <c r="EH11" s="1660"/>
      <c r="EI11" s="1660"/>
      <c r="EJ11" s="1660"/>
      <c r="EK11" s="1660"/>
      <c r="EL11" s="1660"/>
      <c r="EM11" s="1660"/>
      <c r="EN11" s="1660"/>
      <c r="EO11" s="1660"/>
      <c r="EP11" s="1660"/>
      <c r="EQ11" s="1660"/>
      <c r="ER11" s="1660"/>
      <c r="ES11" s="1660"/>
      <c r="ET11" s="1660"/>
      <c r="EU11" s="1660"/>
      <c r="EV11" s="1660"/>
      <c r="EW11" s="1660"/>
      <c r="EX11" s="1660"/>
      <c r="EY11" s="1660"/>
      <c r="EZ11" s="1660"/>
      <c r="FA11" s="1660"/>
      <c r="FB11" s="1660"/>
      <c r="FC11" s="1660"/>
      <c r="FD11" s="1660"/>
      <c r="FE11" s="1660"/>
      <c r="FF11" s="1660"/>
      <c r="FG11" s="1660"/>
      <c r="FH11" s="1660"/>
      <c r="FI11" s="1660"/>
      <c r="FJ11" s="1660"/>
      <c r="FK11" s="1660"/>
      <c r="FL11" s="1660"/>
      <c r="FM11" s="1660"/>
      <c r="FN11" s="1660"/>
      <c r="FO11" s="1660"/>
      <c r="FP11" s="1660"/>
      <c r="FQ11" s="1660"/>
      <c r="FR11" s="1660"/>
      <c r="FS11" s="1660"/>
      <c r="FT11" s="1660"/>
      <c r="FU11" s="1660"/>
      <c r="FV11" s="1660"/>
      <c r="FW11" s="1660"/>
      <c r="FX11" s="1660"/>
      <c r="FY11" s="1660"/>
      <c r="FZ11" s="1660"/>
      <c r="GA11" s="1660"/>
      <c r="GB11" s="1660"/>
      <c r="GC11" s="1660"/>
      <c r="GD11" s="1660"/>
      <c r="GE11" s="1660"/>
      <c r="GF11" s="1660"/>
      <c r="GG11" s="1660"/>
      <c r="GH11" s="1660"/>
      <c r="GI11" s="1660"/>
      <c r="GJ11" s="1660"/>
      <c r="GK11" s="1660"/>
      <c r="GL11" s="1660"/>
      <c r="GM11" s="1660"/>
      <c r="GN11" s="1660"/>
      <c r="GO11" s="1660"/>
      <c r="GP11" s="1660"/>
      <c r="GQ11" s="1660"/>
      <c r="GR11" s="1660"/>
      <c r="GS11" s="1660"/>
      <c r="GT11" s="1660"/>
      <c r="GU11" s="1660"/>
      <c r="GV11" s="1660"/>
      <c r="GW11" s="1660"/>
      <c r="GX11" s="1660"/>
      <c r="GY11" s="1660"/>
      <c r="GZ11" s="1660"/>
      <c r="HA11" s="1660"/>
      <c r="HB11" s="1660"/>
      <c r="HC11" s="1660"/>
      <c r="HD11" s="1660"/>
      <c r="HE11" s="1660"/>
      <c r="HF11" s="1660"/>
      <c r="HG11" s="1660"/>
      <c r="HH11" s="1660"/>
      <c r="HI11" s="1660"/>
      <c r="HJ11" s="1660"/>
      <c r="HK11" s="1660"/>
      <c r="HL11" s="1660"/>
      <c r="HM11" s="1660"/>
      <c r="HN11" s="1660"/>
      <c r="HO11" s="1660"/>
      <c r="HP11" s="1660"/>
      <c r="HQ11" s="1660"/>
      <c r="HR11" s="1660"/>
      <c r="HS11" s="1660"/>
      <c r="HT11" s="1660"/>
      <c r="HU11" s="1660"/>
      <c r="HV11" s="1660"/>
      <c r="HW11" s="1660"/>
      <c r="HX11" s="1660"/>
      <c r="HY11" s="1660"/>
      <c r="HZ11" s="1660"/>
      <c r="IA11" s="1660"/>
      <c r="IB11" s="1660"/>
      <c r="IC11" s="1660"/>
      <c r="ID11" s="1660"/>
      <c r="IE11" s="1660"/>
      <c r="IF11" s="1660"/>
      <c r="IG11" s="1660"/>
      <c r="IH11" s="1660"/>
      <c r="II11" s="1660"/>
      <c r="IJ11" s="1660"/>
      <c r="IK11" s="1660"/>
      <c r="IL11" s="1660"/>
      <c r="IM11" s="1660"/>
      <c r="IN11" s="1660"/>
      <c r="IO11" s="1660"/>
      <c r="IP11" s="1660"/>
      <c r="IQ11" s="1660"/>
      <c r="IR11" s="1660"/>
      <c r="IS11" s="1660"/>
      <c r="IT11" s="1660"/>
      <c r="IU11" s="1660"/>
      <c r="IV11" s="1660"/>
    </row>
    <row r="12" spans="1:257">
      <c r="A12" s="1661"/>
      <c r="B12" s="1662"/>
      <c r="C12" s="1663"/>
      <c r="D12" s="1664" t="s">
        <v>1324</v>
      </c>
      <c r="E12" s="1664" t="s">
        <v>1325</v>
      </c>
      <c r="F12" s="1664" t="s">
        <v>1326</v>
      </c>
      <c r="G12" s="1664" t="s">
        <v>1327</v>
      </c>
      <c r="H12" s="1664" t="s">
        <v>1309</v>
      </c>
      <c r="I12" s="1665" t="s">
        <v>1328</v>
      </c>
      <c r="J12" s="1665" t="s">
        <v>1328</v>
      </c>
      <c r="K12" s="1661"/>
      <c r="L12" s="1662"/>
      <c r="M12" s="1663"/>
      <c r="N12" s="1662"/>
      <c r="O12" s="1665" t="s">
        <v>1329</v>
      </c>
      <c r="P12" s="1665">
        <v>0.5</v>
      </c>
      <c r="Q12" s="1665">
        <v>1</v>
      </c>
      <c r="R12" s="1665">
        <v>2</v>
      </c>
      <c r="S12" s="1665">
        <v>3</v>
      </c>
      <c r="T12" s="1665">
        <v>5</v>
      </c>
      <c r="U12" s="1665">
        <v>1</v>
      </c>
      <c r="V12" s="1665">
        <v>3</v>
      </c>
      <c r="W12" s="1665">
        <v>5</v>
      </c>
      <c r="X12" s="1662"/>
      <c r="Y12" s="1662"/>
      <c r="Z12" s="1662"/>
      <c r="AA12" s="1666"/>
      <c r="AB12" s="1666"/>
      <c r="AC12" s="1666"/>
      <c r="AD12" s="1666"/>
      <c r="AE12" s="1666"/>
      <c r="AF12" s="1666"/>
      <c r="AG12" s="1666"/>
      <c r="AH12" s="1666"/>
      <c r="AI12" s="1666"/>
      <c r="AJ12" s="1666"/>
      <c r="AK12" s="1666"/>
      <c r="AL12" s="1666"/>
      <c r="AM12" s="1666"/>
      <c r="AN12" s="1666"/>
      <c r="AO12" s="1666"/>
      <c r="AP12" s="1666"/>
      <c r="AQ12" s="1666"/>
      <c r="AR12" s="1666"/>
      <c r="AS12" s="1666"/>
      <c r="AT12" s="1666"/>
      <c r="AU12" s="1666"/>
      <c r="AV12" s="1666"/>
      <c r="AW12" s="1666"/>
      <c r="AX12" s="1666"/>
      <c r="AY12" s="1666"/>
      <c r="AZ12" s="1666"/>
      <c r="BA12" s="1666"/>
      <c r="BB12" s="1666"/>
      <c r="BC12" s="1666"/>
      <c r="BD12" s="1666"/>
      <c r="BE12" s="1666"/>
      <c r="BF12" s="1666"/>
      <c r="BG12" s="1666"/>
      <c r="BH12" s="1666"/>
      <c r="BI12" s="1666"/>
      <c r="BJ12" s="1666"/>
      <c r="BK12" s="1666"/>
      <c r="BL12" s="1666"/>
      <c r="BM12" s="1666"/>
      <c r="BN12" s="1666"/>
      <c r="BO12" s="1666"/>
      <c r="BP12" s="1666"/>
      <c r="BQ12" s="1666"/>
      <c r="BR12" s="1666"/>
      <c r="BS12" s="1666"/>
      <c r="BT12" s="1666"/>
      <c r="BU12" s="1666"/>
      <c r="BV12" s="1666"/>
      <c r="BW12" s="1666"/>
      <c r="BX12" s="1666"/>
      <c r="BY12" s="1666"/>
      <c r="BZ12" s="1666"/>
      <c r="CA12" s="1666"/>
      <c r="CB12" s="1666"/>
      <c r="CC12" s="1666"/>
      <c r="CD12" s="1666"/>
      <c r="CE12" s="1666"/>
      <c r="CF12" s="1666"/>
      <c r="CG12" s="1666"/>
      <c r="CH12" s="1666"/>
      <c r="CI12" s="1666"/>
      <c r="CJ12" s="1666"/>
      <c r="CK12" s="1666"/>
      <c r="CL12" s="1666"/>
      <c r="CM12" s="1666"/>
      <c r="CN12" s="1666"/>
      <c r="CO12" s="1666"/>
      <c r="CP12" s="1666"/>
      <c r="CQ12" s="1666"/>
      <c r="CR12" s="1666"/>
      <c r="CS12" s="1666"/>
      <c r="CT12" s="1666"/>
      <c r="CU12" s="1666"/>
      <c r="CV12" s="1666"/>
      <c r="CW12" s="1666"/>
      <c r="CX12" s="1666"/>
      <c r="CY12" s="1666"/>
      <c r="CZ12" s="1666"/>
      <c r="DA12" s="1666"/>
      <c r="DB12" s="1666"/>
      <c r="DC12" s="1666"/>
      <c r="DD12" s="1666"/>
      <c r="DE12" s="1666"/>
      <c r="DF12" s="1666"/>
      <c r="DG12" s="1666"/>
      <c r="DH12" s="1666"/>
      <c r="DI12" s="1666"/>
      <c r="DJ12" s="1666"/>
      <c r="DK12" s="1666"/>
      <c r="DL12" s="1666"/>
      <c r="DM12" s="1666"/>
      <c r="DN12" s="1666"/>
      <c r="DO12" s="1666"/>
      <c r="DP12" s="1666"/>
      <c r="DQ12" s="1666"/>
      <c r="DR12" s="1666"/>
      <c r="DS12" s="1666"/>
      <c r="DT12" s="1666"/>
      <c r="DU12" s="1666"/>
      <c r="DV12" s="1666"/>
      <c r="DW12" s="1666"/>
      <c r="DX12" s="1666"/>
      <c r="DY12" s="1666"/>
      <c r="DZ12" s="1666"/>
      <c r="EA12" s="1666"/>
      <c r="EB12" s="1666"/>
      <c r="EC12" s="1666"/>
      <c r="ED12" s="1666"/>
      <c r="EE12" s="1666"/>
      <c r="EF12" s="1666"/>
      <c r="EG12" s="1666"/>
      <c r="EH12" s="1666"/>
      <c r="EI12" s="1666"/>
      <c r="EJ12" s="1666"/>
      <c r="EK12" s="1666"/>
      <c r="EL12" s="1666"/>
      <c r="EM12" s="1666"/>
      <c r="EN12" s="1666"/>
      <c r="EO12" s="1666"/>
      <c r="EP12" s="1666"/>
      <c r="EQ12" s="1666"/>
      <c r="ER12" s="1666"/>
      <c r="ES12" s="1666"/>
      <c r="ET12" s="1666"/>
      <c r="EU12" s="1666"/>
      <c r="EV12" s="1666"/>
      <c r="EW12" s="1666"/>
      <c r="EX12" s="1666"/>
      <c r="EY12" s="1666"/>
      <c r="EZ12" s="1666"/>
      <c r="FA12" s="1666"/>
      <c r="FB12" s="1666"/>
      <c r="FC12" s="1666"/>
      <c r="FD12" s="1666"/>
      <c r="FE12" s="1666"/>
      <c r="FF12" s="1666"/>
      <c r="FG12" s="1666"/>
      <c r="FH12" s="1666"/>
      <c r="FI12" s="1666"/>
      <c r="FJ12" s="1666"/>
      <c r="FK12" s="1666"/>
      <c r="FL12" s="1666"/>
      <c r="FM12" s="1666"/>
      <c r="FN12" s="1666"/>
      <c r="FO12" s="1666"/>
      <c r="FP12" s="1666"/>
      <c r="FQ12" s="1666"/>
      <c r="FR12" s="1666"/>
      <c r="FS12" s="1666"/>
      <c r="FT12" s="1666"/>
      <c r="FU12" s="1666"/>
      <c r="FV12" s="1666"/>
      <c r="FW12" s="1666"/>
      <c r="FX12" s="1666"/>
      <c r="FY12" s="1666"/>
      <c r="FZ12" s="1666"/>
      <c r="GA12" s="1666"/>
      <c r="GB12" s="1666"/>
      <c r="GC12" s="1666"/>
      <c r="GD12" s="1666"/>
      <c r="GE12" s="1666"/>
      <c r="GF12" s="1666"/>
      <c r="GG12" s="1666"/>
      <c r="GH12" s="1666"/>
      <c r="GI12" s="1666"/>
      <c r="GJ12" s="1666"/>
      <c r="GK12" s="1666"/>
      <c r="GL12" s="1666"/>
      <c r="GM12" s="1666"/>
      <c r="GN12" s="1666"/>
      <c r="GO12" s="1666"/>
      <c r="GP12" s="1666"/>
      <c r="GQ12" s="1666"/>
      <c r="GR12" s="1666"/>
      <c r="GS12" s="1666"/>
      <c r="GT12" s="1666"/>
      <c r="GU12" s="1666"/>
      <c r="GV12" s="1666"/>
      <c r="GW12" s="1666"/>
      <c r="GX12" s="1666"/>
      <c r="GY12" s="1666"/>
      <c r="GZ12" s="1666"/>
      <c r="HA12" s="1666"/>
      <c r="HB12" s="1666"/>
      <c r="HC12" s="1666"/>
      <c r="HD12" s="1666"/>
      <c r="HE12" s="1666"/>
      <c r="HF12" s="1666"/>
      <c r="HG12" s="1666"/>
      <c r="HH12" s="1666"/>
      <c r="HI12" s="1666"/>
      <c r="HJ12" s="1666"/>
      <c r="HK12" s="1666"/>
      <c r="HL12" s="1666"/>
      <c r="HM12" s="1666"/>
      <c r="HN12" s="1666"/>
      <c r="HO12" s="1666"/>
      <c r="HP12" s="1666"/>
      <c r="HQ12" s="1666"/>
      <c r="HR12" s="1666"/>
      <c r="HS12" s="1666"/>
      <c r="HT12" s="1666"/>
      <c r="HU12" s="1666"/>
      <c r="HV12" s="1666"/>
      <c r="HW12" s="1666"/>
      <c r="HX12" s="1666"/>
      <c r="HY12" s="1666"/>
      <c r="HZ12" s="1666"/>
      <c r="IA12" s="1666"/>
      <c r="IB12" s="1666"/>
      <c r="IC12" s="1666"/>
      <c r="ID12" s="1666"/>
      <c r="IE12" s="1666"/>
      <c r="IF12" s="1666"/>
      <c r="IG12" s="1666"/>
      <c r="IH12" s="1666"/>
      <c r="II12" s="1666"/>
      <c r="IJ12" s="1666"/>
      <c r="IK12" s="1666"/>
      <c r="IL12" s="1666"/>
      <c r="IM12" s="1666"/>
      <c r="IN12" s="1666"/>
      <c r="IO12" s="1666"/>
      <c r="IP12" s="1666"/>
      <c r="IQ12" s="1666"/>
      <c r="IR12" s="1666"/>
      <c r="IS12" s="1666"/>
      <c r="IT12" s="1666"/>
      <c r="IU12" s="1666"/>
      <c r="IV12" s="1666"/>
    </row>
    <row r="13" spans="1:257" ht="14.25">
      <c r="A13" s="1667"/>
      <c r="B13" s="1668" t="s">
        <v>1330</v>
      </c>
      <c r="C13" s="1669">
        <v>42301</v>
      </c>
      <c r="D13" s="1670">
        <v>4.3499999999999996</v>
      </c>
      <c r="E13" s="1670">
        <v>4.3499999999999996</v>
      </c>
      <c r="F13" s="1670">
        <v>4.75</v>
      </c>
      <c r="G13" s="1670">
        <v>4.75</v>
      </c>
      <c r="H13" s="1670">
        <v>4.9000000000000004</v>
      </c>
      <c r="I13" s="1670">
        <v>2.75</v>
      </c>
      <c r="J13" s="1670">
        <v>3.25</v>
      </c>
      <c r="K13" s="1667"/>
      <c r="L13" s="1668" t="s">
        <v>1330</v>
      </c>
      <c r="M13" s="1671">
        <v>42301</v>
      </c>
      <c r="N13" s="1670">
        <v>0.35</v>
      </c>
      <c r="O13" s="1670">
        <v>1.1000000000000001</v>
      </c>
      <c r="P13" s="1670">
        <v>1.3</v>
      </c>
      <c r="Q13" s="1670">
        <v>1.5</v>
      </c>
      <c r="R13" s="1670">
        <v>2.1</v>
      </c>
      <c r="S13" s="1670">
        <v>2.75</v>
      </c>
      <c r="T13" s="1670"/>
      <c r="U13" s="1670"/>
      <c r="V13" s="1670"/>
      <c r="W13" s="1670"/>
      <c r="X13" s="1670"/>
      <c r="Y13" s="1670"/>
      <c r="Z13" s="1670"/>
      <c r="AA13" s="1672"/>
      <c r="AB13" s="1672"/>
      <c r="AC13" s="1672"/>
      <c r="AD13" s="1672"/>
      <c r="AE13" s="1672"/>
      <c r="AF13" s="1672"/>
      <c r="AG13" s="1672"/>
      <c r="AH13" s="1672"/>
      <c r="AI13" s="1672"/>
      <c r="AJ13" s="1672"/>
      <c r="AK13" s="1672"/>
      <c r="AL13" s="1672"/>
      <c r="AM13" s="1672"/>
      <c r="AN13" s="1672"/>
      <c r="AO13" s="1672"/>
      <c r="AP13" s="1672"/>
      <c r="AQ13" s="1672"/>
      <c r="AR13" s="1672"/>
      <c r="AS13" s="1672"/>
      <c r="AT13" s="1672"/>
      <c r="AU13" s="1672"/>
      <c r="AV13" s="1672"/>
      <c r="AW13" s="1672"/>
      <c r="AX13" s="1672"/>
      <c r="AY13" s="1672"/>
      <c r="AZ13" s="1672"/>
      <c r="BA13" s="1672"/>
      <c r="BB13" s="1672"/>
      <c r="BC13" s="1672"/>
      <c r="BD13" s="1672"/>
      <c r="BE13" s="1672"/>
      <c r="BF13" s="1672"/>
      <c r="BG13" s="1672"/>
      <c r="BH13" s="1672"/>
      <c r="BI13" s="1672"/>
      <c r="BJ13" s="1672"/>
      <c r="BK13" s="1672"/>
      <c r="BL13" s="1672"/>
      <c r="BM13" s="1672"/>
      <c r="BN13" s="1672"/>
      <c r="BO13" s="1672"/>
      <c r="BP13" s="1672"/>
      <c r="BQ13" s="1672"/>
      <c r="BR13" s="1672"/>
      <c r="BS13" s="1672"/>
      <c r="BT13" s="1672"/>
      <c r="BU13" s="1672"/>
      <c r="BV13" s="1672"/>
      <c r="BW13" s="1672"/>
      <c r="BX13" s="1672"/>
      <c r="BY13" s="1672"/>
      <c r="BZ13" s="1672"/>
      <c r="CA13" s="1672"/>
      <c r="CB13" s="1672"/>
      <c r="CC13" s="1672"/>
      <c r="CD13" s="1672"/>
      <c r="CE13" s="1672"/>
      <c r="CF13" s="1672"/>
      <c r="CG13" s="1672"/>
      <c r="CH13" s="1672"/>
      <c r="CI13" s="1672"/>
      <c r="CJ13" s="1672"/>
      <c r="CK13" s="1672"/>
      <c r="CL13" s="1672"/>
      <c r="CM13" s="1672"/>
      <c r="CN13" s="1672"/>
      <c r="CO13" s="1672"/>
      <c r="CP13" s="1672"/>
      <c r="CQ13" s="1672"/>
      <c r="CR13" s="1672"/>
      <c r="CS13" s="1672"/>
      <c r="CT13" s="1672"/>
      <c r="CU13" s="1672"/>
      <c r="CV13" s="1672"/>
      <c r="CW13" s="1672"/>
      <c r="CX13" s="1672"/>
      <c r="CY13" s="1672"/>
      <c r="CZ13" s="1672"/>
      <c r="DA13" s="1672"/>
      <c r="DB13" s="1672"/>
      <c r="DC13" s="1672"/>
      <c r="DD13" s="1672"/>
      <c r="DE13" s="1672"/>
      <c r="DF13" s="1672"/>
      <c r="DG13" s="1672"/>
      <c r="DH13" s="1672"/>
      <c r="DI13" s="1672"/>
      <c r="DJ13" s="1672"/>
      <c r="DK13" s="1672"/>
      <c r="DL13" s="1672"/>
      <c r="DM13" s="1672"/>
      <c r="DN13" s="1672"/>
      <c r="DO13" s="1672"/>
      <c r="DP13" s="1672"/>
      <c r="DQ13" s="1672"/>
      <c r="DR13" s="1672"/>
      <c r="DS13" s="1672"/>
      <c r="DT13" s="1672"/>
      <c r="DU13" s="1672"/>
      <c r="DV13" s="1672"/>
      <c r="DW13" s="1672"/>
      <c r="DX13" s="1672"/>
      <c r="DY13" s="1672"/>
      <c r="DZ13" s="1672"/>
      <c r="EA13" s="1672"/>
      <c r="EB13" s="1672"/>
      <c r="EC13" s="1672"/>
      <c r="ED13" s="1672"/>
      <c r="EE13" s="1672"/>
      <c r="EF13" s="1672"/>
      <c r="EG13" s="1672"/>
      <c r="EH13" s="1672"/>
      <c r="EI13" s="1672"/>
      <c r="EJ13" s="1672"/>
      <c r="EK13" s="1672"/>
      <c r="EL13" s="1672"/>
      <c r="EM13" s="1672"/>
      <c r="EN13" s="1672"/>
      <c r="EO13" s="1672"/>
      <c r="EP13" s="1672"/>
      <c r="EQ13" s="1672"/>
      <c r="ER13" s="1672"/>
      <c r="ES13" s="1672"/>
      <c r="ET13" s="1672"/>
      <c r="EU13" s="1672"/>
      <c r="EV13" s="1672"/>
      <c r="EW13" s="1672"/>
      <c r="EX13" s="1672"/>
      <c r="EY13" s="1672"/>
      <c r="EZ13" s="1672"/>
      <c r="FA13" s="1672"/>
      <c r="FB13" s="1672"/>
      <c r="FC13" s="1672"/>
      <c r="FD13" s="1672"/>
      <c r="FE13" s="1672"/>
      <c r="FF13" s="1672"/>
      <c r="FG13" s="1672"/>
      <c r="FH13" s="1672"/>
      <c r="FI13" s="1672"/>
      <c r="FJ13" s="1672"/>
      <c r="FK13" s="1672"/>
      <c r="FL13" s="1672"/>
      <c r="FM13" s="1672"/>
      <c r="FN13" s="1672"/>
      <c r="FO13" s="1672"/>
      <c r="FP13" s="1672"/>
      <c r="FQ13" s="1672"/>
      <c r="FR13" s="1672"/>
      <c r="FS13" s="1672"/>
      <c r="FT13" s="1672"/>
      <c r="FU13" s="1672"/>
      <c r="FV13" s="1672"/>
      <c r="FW13" s="1672"/>
      <c r="FX13" s="1672"/>
      <c r="FY13" s="1672"/>
      <c r="FZ13" s="1672"/>
      <c r="GA13" s="1672"/>
      <c r="GB13" s="1672"/>
      <c r="GC13" s="1672"/>
      <c r="GD13" s="1672"/>
      <c r="GE13" s="1672"/>
      <c r="GF13" s="1672"/>
      <c r="GG13" s="1672"/>
      <c r="GH13" s="1672"/>
      <c r="GI13" s="1672"/>
      <c r="GJ13" s="1672"/>
      <c r="GK13" s="1672"/>
      <c r="GL13" s="1672"/>
      <c r="GM13" s="1672"/>
      <c r="GN13" s="1672"/>
      <c r="GO13" s="1672"/>
      <c r="GP13" s="1672"/>
      <c r="GQ13" s="1672"/>
      <c r="GR13" s="1672"/>
      <c r="GS13" s="1672"/>
      <c r="GT13" s="1672"/>
      <c r="GU13" s="1672"/>
      <c r="GV13" s="1672"/>
      <c r="GW13" s="1672"/>
      <c r="GX13" s="1672"/>
      <c r="GY13" s="1672"/>
      <c r="GZ13" s="1672"/>
      <c r="HA13" s="1672"/>
      <c r="HB13" s="1672"/>
      <c r="HC13" s="1672"/>
      <c r="HD13" s="1672"/>
      <c r="HE13" s="1672"/>
      <c r="HF13" s="1672"/>
      <c r="HG13" s="1672"/>
      <c r="HH13" s="1672"/>
      <c r="HI13" s="1672"/>
      <c r="HJ13" s="1672"/>
      <c r="HK13" s="1672"/>
      <c r="HL13" s="1672"/>
      <c r="HM13" s="1672"/>
      <c r="HN13" s="1672"/>
      <c r="HO13" s="1672"/>
      <c r="HP13" s="1672"/>
      <c r="HQ13" s="1672"/>
      <c r="HR13" s="1672"/>
      <c r="HS13" s="1672"/>
      <c r="HT13" s="1672"/>
      <c r="HU13" s="1672"/>
      <c r="HV13" s="1672"/>
      <c r="HW13" s="1672"/>
      <c r="HX13" s="1672"/>
      <c r="HY13" s="1672"/>
      <c r="HZ13" s="1672"/>
      <c r="IA13" s="1672"/>
      <c r="IB13" s="1672"/>
      <c r="IC13" s="1672"/>
      <c r="ID13" s="1672"/>
      <c r="IE13" s="1672"/>
      <c r="IF13" s="1672"/>
      <c r="IG13" s="1672"/>
      <c r="IH13" s="1672"/>
      <c r="II13" s="1672"/>
      <c r="IJ13" s="1672"/>
      <c r="IK13" s="1672"/>
      <c r="IL13" s="1672"/>
      <c r="IM13" s="1672"/>
      <c r="IN13" s="1672"/>
      <c r="IO13" s="1672"/>
      <c r="IP13" s="1672"/>
      <c r="IQ13" s="1672"/>
      <c r="IR13" s="1672"/>
      <c r="IS13" s="1672"/>
      <c r="IT13" s="1672"/>
      <c r="IU13" s="1672"/>
      <c r="IV13" s="1672"/>
      <c r="IW13" s="1673"/>
    </row>
    <row r="14" spans="1:257">
      <c r="B14" s="1674"/>
      <c r="C14" s="1675">
        <v>42242</v>
      </c>
      <c r="D14" s="1674">
        <v>4.5999999999999996</v>
      </c>
      <c r="E14" s="1674">
        <v>4.5999999999999996</v>
      </c>
      <c r="F14" s="1674">
        <v>5</v>
      </c>
      <c r="G14" s="1674">
        <v>5</v>
      </c>
      <c r="H14" s="1674">
        <v>5.15</v>
      </c>
      <c r="I14" s="1674">
        <v>2.75</v>
      </c>
      <c r="J14" s="1674">
        <v>3.25</v>
      </c>
      <c r="L14" s="1674"/>
      <c r="M14" s="1675">
        <v>42242</v>
      </c>
      <c r="N14" s="1674">
        <v>0.35</v>
      </c>
      <c r="O14" s="1674">
        <v>1.35</v>
      </c>
      <c r="P14" s="1674">
        <v>1.55</v>
      </c>
      <c r="Q14" s="1674">
        <v>1.75</v>
      </c>
      <c r="R14" s="1674">
        <v>2.35</v>
      </c>
      <c r="S14" s="1674">
        <v>3</v>
      </c>
      <c r="T14" s="1674"/>
      <c r="U14" s="1674"/>
      <c r="V14" s="1674"/>
      <c r="W14" s="1674"/>
      <c r="X14" s="1674"/>
      <c r="Y14" s="1674"/>
      <c r="Z14" s="1674"/>
    </row>
    <row r="15" spans="1:257">
      <c r="B15" s="1674"/>
      <c r="C15" s="1675">
        <v>42183</v>
      </c>
      <c r="D15" s="1674">
        <v>4.8499999999999996</v>
      </c>
      <c r="E15" s="1674">
        <v>4.8499999999999996</v>
      </c>
      <c r="F15" s="1674">
        <v>5.25</v>
      </c>
      <c r="G15" s="1674">
        <v>5.25</v>
      </c>
      <c r="H15" s="1674">
        <v>5.4</v>
      </c>
      <c r="I15" s="1674">
        <v>3</v>
      </c>
      <c r="J15" s="1674">
        <v>3.5</v>
      </c>
      <c r="L15" s="1674"/>
      <c r="M15" s="1675">
        <v>42183</v>
      </c>
      <c r="N15" s="1674">
        <v>0.35</v>
      </c>
      <c r="O15" s="1674">
        <v>1.6</v>
      </c>
      <c r="P15" s="1674">
        <v>1.8</v>
      </c>
      <c r="Q15" s="1674">
        <v>2</v>
      </c>
      <c r="R15" s="1674">
        <v>2.6</v>
      </c>
      <c r="S15" s="1674">
        <v>3.25</v>
      </c>
      <c r="T15" s="1674"/>
      <c r="U15" s="1674"/>
      <c r="V15" s="1674"/>
      <c r="W15" s="1674"/>
      <c r="X15" s="1674"/>
      <c r="Y15" s="1674"/>
      <c r="Z15" s="1674"/>
    </row>
    <row r="16" spans="1:257">
      <c r="B16" s="1674"/>
      <c r="C16" s="1675">
        <v>42135</v>
      </c>
      <c r="D16" s="1674">
        <v>5.0999999999999996</v>
      </c>
      <c r="E16" s="1674">
        <v>5.0999999999999996</v>
      </c>
      <c r="F16" s="1674">
        <v>5.5</v>
      </c>
      <c r="G16" s="1674">
        <v>5.5</v>
      </c>
      <c r="H16" s="1674">
        <v>5.65</v>
      </c>
      <c r="I16" s="1674">
        <v>3.25</v>
      </c>
      <c r="J16" s="1674">
        <v>3.75</v>
      </c>
      <c r="L16" s="1674"/>
      <c r="M16" s="1675">
        <v>42135</v>
      </c>
      <c r="N16" s="1674">
        <v>0.35</v>
      </c>
      <c r="O16" s="1674">
        <v>1.85</v>
      </c>
      <c r="P16" s="1674">
        <v>2.0499999999999998</v>
      </c>
      <c r="Q16" s="1674">
        <v>2.25</v>
      </c>
      <c r="R16" s="1674">
        <v>2.85</v>
      </c>
      <c r="S16" s="1674">
        <v>3.5</v>
      </c>
      <c r="T16" s="1674"/>
      <c r="U16" s="1674"/>
      <c r="V16" s="1674"/>
      <c r="W16" s="1674"/>
      <c r="X16" s="1674"/>
      <c r="Y16" s="1674"/>
      <c r="Z16" s="1674"/>
    </row>
    <row r="17" spans="2:26">
      <c r="B17" s="1674"/>
      <c r="C17" s="1675">
        <v>42064</v>
      </c>
      <c r="D17" s="1674">
        <v>5.35</v>
      </c>
      <c r="E17" s="1674">
        <v>5.35</v>
      </c>
      <c r="F17" s="1674">
        <v>5.75</v>
      </c>
      <c r="G17" s="1674">
        <v>5.75</v>
      </c>
      <c r="H17" s="1674">
        <v>5.9</v>
      </c>
      <c r="I17" s="1674"/>
      <c r="J17" s="1674"/>
      <c r="L17" s="1674"/>
      <c r="M17" s="1675">
        <v>42064</v>
      </c>
      <c r="N17" s="1674">
        <v>0.35</v>
      </c>
      <c r="O17" s="1674">
        <v>2.1</v>
      </c>
      <c r="P17" s="1674">
        <v>2.2999999999999998</v>
      </c>
      <c r="Q17" s="1674">
        <v>2.5</v>
      </c>
      <c r="R17" s="1674">
        <v>3.1</v>
      </c>
      <c r="S17" s="1674">
        <v>3.75</v>
      </c>
      <c r="T17" s="1674">
        <v>4.5</v>
      </c>
      <c r="U17" s="1674">
        <v>2.35</v>
      </c>
      <c r="V17" s="1674">
        <v>2.5499999999999998</v>
      </c>
      <c r="W17" s="1674">
        <v>2.75</v>
      </c>
      <c r="X17" s="1674"/>
      <c r="Y17" s="1674">
        <v>0.8</v>
      </c>
      <c r="Z17" s="1674">
        <v>1.35</v>
      </c>
    </row>
    <row r="18" spans="2:26" ht="15">
      <c r="B18" s="1674"/>
      <c r="C18" s="1675">
        <v>41965</v>
      </c>
      <c r="D18" s="1674">
        <v>5.6</v>
      </c>
      <c r="E18" s="1674">
        <v>5.6</v>
      </c>
      <c r="F18" s="1674">
        <v>6</v>
      </c>
      <c r="G18" s="1674">
        <v>6</v>
      </c>
      <c r="H18" s="1674">
        <v>6.15</v>
      </c>
      <c r="I18" s="1674"/>
      <c r="J18" s="1674"/>
      <c r="L18" s="1674"/>
      <c r="M18" s="1675">
        <v>41965</v>
      </c>
      <c r="N18" s="1674">
        <v>0.35</v>
      </c>
      <c r="O18" s="1674">
        <v>2.35</v>
      </c>
      <c r="P18" s="1674">
        <v>2.5499999999999998</v>
      </c>
      <c r="Q18" s="1674">
        <v>2.75</v>
      </c>
      <c r="R18" s="1674">
        <v>3.35</v>
      </c>
      <c r="S18" s="1674">
        <v>4</v>
      </c>
      <c r="T18" s="1674">
        <v>4.75</v>
      </c>
      <c r="U18" s="1676">
        <v>2.35</v>
      </c>
      <c r="V18" s="1676">
        <v>2.5499999999999998</v>
      </c>
      <c r="W18" s="1676">
        <v>2.75</v>
      </c>
      <c r="X18" s="1674"/>
      <c r="Y18" s="1676">
        <v>0.8</v>
      </c>
      <c r="Z18" s="1676">
        <v>1.35</v>
      </c>
    </row>
    <row r="19" spans="2:26">
      <c r="B19" s="1674"/>
      <c r="C19" s="1675">
        <v>41096</v>
      </c>
      <c r="D19" s="1674">
        <v>5.6</v>
      </c>
      <c r="E19" s="1674">
        <v>6</v>
      </c>
      <c r="F19" s="1674">
        <v>6.15</v>
      </c>
      <c r="G19" s="1674">
        <v>6.4</v>
      </c>
      <c r="H19" s="1674">
        <v>6.55</v>
      </c>
      <c r="I19" s="1674">
        <v>4</v>
      </c>
      <c r="J19" s="1674">
        <v>4.5</v>
      </c>
      <c r="L19" s="1674"/>
      <c r="M19" s="1675">
        <v>41096</v>
      </c>
      <c r="N19" s="1674">
        <v>0.35</v>
      </c>
      <c r="O19" s="1674">
        <v>2.6</v>
      </c>
      <c r="P19" s="1674">
        <v>2.8</v>
      </c>
      <c r="Q19" s="1674">
        <v>3</v>
      </c>
      <c r="R19" s="1674">
        <v>3.75</v>
      </c>
      <c r="S19" s="1674">
        <v>4.25</v>
      </c>
      <c r="T19" s="1674">
        <v>4.75</v>
      </c>
      <c r="U19" s="1674">
        <v>2.85</v>
      </c>
      <c r="V19" s="1674">
        <v>2.9</v>
      </c>
      <c r="W19" s="1674">
        <v>3</v>
      </c>
      <c r="X19" s="1674">
        <v>1.1499999999999999</v>
      </c>
      <c r="Y19" s="1674">
        <v>0.8</v>
      </c>
      <c r="Z19" s="1674">
        <v>1.35</v>
      </c>
    </row>
    <row r="20" spans="2:26">
      <c r="B20" s="1674"/>
      <c r="C20" s="1675">
        <v>41068</v>
      </c>
      <c r="D20" s="1674">
        <v>5.85</v>
      </c>
      <c r="E20" s="1674">
        <v>6.31</v>
      </c>
      <c r="F20" s="1674">
        <v>6.4</v>
      </c>
      <c r="G20" s="1674">
        <v>6.65</v>
      </c>
      <c r="H20" s="1674">
        <v>6.8</v>
      </c>
      <c r="I20" s="1674">
        <v>4.2</v>
      </c>
      <c r="J20" s="1674">
        <v>4.7</v>
      </c>
      <c r="L20" s="1674"/>
      <c r="M20" s="1675">
        <v>41068</v>
      </c>
      <c r="N20" s="1674">
        <v>0.4</v>
      </c>
      <c r="O20" s="1674">
        <v>2.85</v>
      </c>
      <c r="P20" s="1674">
        <v>3.05</v>
      </c>
      <c r="Q20" s="1674">
        <v>3.25</v>
      </c>
      <c r="R20" s="1674">
        <v>4.0999999999999996</v>
      </c>
      <c r="S20" s="1674">
        <v>4.6500000000000004</v>
      </c>
      <c r="T20" s="1674">
        <v>5.0999999999999996</v>
      </c>
      <c r="U20" s="1674">
        <v>3.1</v>
      </c>
      <c r="V20" s="1674">
        <v>3.15</v>
      </c>
      <c r="W20" s="1674">
        <v>3.25</v>
      </c>
      <c r="X20" s="1674">
        <v>1.31</v>
      </c>
      <c r="Y20" s="1674">
        <v>0.94</v>
      </c>
      <c r="Z20" s="1674">
        <v>1.49</v>
      </c>
    </row>
    <row r="21" spans="2:26">
      <c r="B21" s="1674"/>
      <c r="C21" s="1675">
        <v>40731</v>
      </c>
      <c r="D21" s="1674">
        <v>6.1</v>
      </c>
      <c r="E21" s="1674">
        <v>6.56</v>
      </c>
      <c r="F21" s="1674">
        <v>6.65</v>
      </c>
      <c r="G21" s="1674">
        <v>6.9</v>
      </c>
      <c r="H21" s="1674">
        <v>7.05</v>
      </c>
      <c r="I21" s="1674">
        <v>4.45</v>
      </c>
      <c r="J21" s="1674">
        <v>4.9000000000000004</v>
      </c>
      <c r="L21" s="1674"/>
      <c r="M21" s="1675">
        <v>40731</v>
      </c>
      <c r="N21" s="1674">
        <v>0.5</v>
      </c>
      <c r="O21" s="1674">
        <v>3.1</v>
      </c>
      <c r="P21" s="1674">
        <v>3.3</v>
      </c>
      <c r="Q21" s="1674">
        <v>3.5</v>
      </c>
      <c r="R21" s="1674">
        <v>4.4000000000000004</v>
      </c>
      <c r="S21" s="1674">
        <v>5</v>
      </c>
      <c r="T21" s="1674">
        <v>5.5</v>
      </c>
      <c r="U21" s="1674">
        <v>3.1</v>
      </c>
      <c r="V21" s="1674">
        <v>3.3</v>
      </c>
      <c r="W21" s="1674">
        <v>3.5</v>
      </c>
      <c r="X21" s="1674">
        <v>1.31</v>
      </c>
      <c r="Y21" s="1674">
        <v>0.95</v>
      </c>
      <c r="Z21" s="1674">
        <v>1.49</v>
      </c>
    </row>
    <row r="22" spans="2:26">
      <c r="B22" s="1674"/>
      <c r="C22" s="1675">
        <v>40639</v>
      </c>
      <c r="D22" s="1674">
        <v>5.85</v>
      </c>
      <c r="E22" s="1674">
        <v>6.31</v>
      </c>
      <c r="F22" s="1674">
        <v>6.4</v>
      </c>
      <c r="G22" s="1674">
        <v>6.65</v>
      </c>
      <c r="H22" s="1674">
        <v>6.8</v>
      </c>
      <c r="I22" s="1674">
        <v>4.2</v>
      </c>
      <c r="J22" s="1674">
        <v>4.7</v>
      </c>
      <c r="L22" s="1674"/>
      <c r="M22" s="1675">
        <v>40639</v>
      </c>
      <c r="N22" s="1674">
        <v>0.5</v>
      </c>
      <c r="O22" s="1674">
        <v>2.85</v>
      </c>
      <c r="P22" s="1674">
        <v>3.05</v>
      </c>
      <c r="Q22" s="1674">
        <v>3.25</v>
      </c>
      <c r="R22" s="1674">
        <v>4.1500000000000004</v>
      </c>
      <c r="S22" s="1674">
        <v>4.75</v>
      </c>
      <c r="T22" s="1674">
        <v>5.25</v>
      </c>
      <c r="U22" s="1674">
        <v>2.85</v>
      </c>
      <c r="V22" s="1674">
        <v>3.05</v>
      </c>
      <c r="W22" s="1674">
        <v>3.25</v>
      </c>
      <c r="X22" s="1674">
        <v>1.31</v>
      </c>
      <c r="Y22" s="1674">
        <v>0.95</v>
      </c>
      <c r="Z22" s="1674">
        <v>1.49</v>
      </c>
    </row>
    <row r="23" spans="2:26">
      <c r="B23" s="1674"/>
      <c r="C23" s="1675">
        <v>40583</v>
      </c>
      <c r="D23" s="1674">
        <v>5.6</v>
      </c>
      <c r="E23" s="1674">
        <v>6.06</v>
      </c>
      <c r="F23" s="1674">
        <v>6.1</v>
      </c>
      <c r="G23" s="1674">
        <v>6.45</v>
      </c>
      <c r="H23" s="1674">
        <v>6.6</v>
      </c>
      <c r="I23" s="1674">
        <v>4</v>
      </c>
      <c r="J23" s="1674">
        <v>4.5</v>
      </c>
      <c r="L23" s="1674"/>
      <c r="M23" s="1675">
        <v>40583</v>
      </c>
      <c r="N23" s="1674">
        <v>0.4</v>
      </c>
      <c r="O23" s="1674">
        <v>2.6</v>
      </c>
      <c r="P23" s="1674">
        <v>2.8</v>
      </c>
      <c r="Q23" s="1674">
        <v>3</v>
      </c>
      <c r="R23" s="1674">
        <v>3.9</v>
      </c>
      <c r="S23" s="1674">
        <v>4.5</v>
      </c>
      <c r="T23" s="1674">
        <v>5</v>
      </c>
      <c r="U23" s="1674">
        <v>2.6</v>
      </c>
      <c r="V23" s="1674">
        <v>2.8</v>
      </c>
      <c r="W23" s="1674">
        <v>3</v>
      </c>
      <c r="X23" s="1674">
        <v>1.21</v>
      </c>
      <c r="Y23" s="1674">
        <v>0.85</v>
      </c>
      <c r="Z23" s="1674">
        <v>1.39</v>
      </c>
    </row>
    <row r="24" spans="2:26">
      <c r="B24" s="1674"/>
      <c r="C24" s="1675">
        <v>40538</v>
      </c>
      <c r="D24" s="1674">
        <v>5.35</v>
      </c>
      <c r="E24" s="1674">
        <v>5.81</v>
      </c>
      <c r="F24" s="1674">
        <v>5.85</v>
      </c>
      <c r="G24" s="1674">
        <v>6.22</v>
      </c>
      <c r="H24" s="1674">
        <v>6.4</v>
      </c>
      <c r="I24" s="1674">
        <v>3.75</v>
      </c>
      <c r="J24" s="1674">
        <v>4.3</v>
      </c>
      <c r="L24" s="1674"/>
      <c r="M24" s="1675">
        <v>40538</v>
      </c>
      <c r="N24" s="1674">
        <v>0.36</v>
      </c>
      <c r="O24" s="1674">
        <v>2.25</v>
      </c>
      <c r="P24" s="1674">
        <v>2.5</v>
      </c>
      <c r="Q24" s="1674">
        <v>2.75</v>
      </c>
      <c r="R24" s="1674">
        <v>3.55</v>
      </c>
      <c r="S24" s="1674">
        <v>4.1500000000000004</v>
      </c>
      <c r="T24" s="1674">
        <v>4.55</v>
      </c>
      <c r="U24" s="1674">
        <v>2.16</v>
      </c>
      <c r="V24" s="1674">
        <v>2.5</v>
      </c>
      <c r="W24" s="1674">
        <v>2.85</v>
      </c>
      <c r="X24" s="1674">
        <v>1.17</v>
      </c>
      <c r="Y24" s="1674">
        <v>0.81</v>
      </c>
      <c r="Z24" s="1674">
        <v>1.35</v>
      </c>
    </row>
    <row r="25" spans="2:26">
      <c r="B25" s="1674"/>
      <c r="C25" s="1675">
        <v>40471</v>
      </c>
      <c r="D25" s="1674">
        <v>5.0999999999999996</v>
      </c>
      <c r="E25" s="1674">
        <v>5.56</v>
      </c>
      <c r="F25" s="1674">
        <v>5.6</v>
      </c>
      <c r="G25" s="1674">
        <v>5.96</v>
      </c>
      <c r="H25" s="1674">
        <v>6.14</v>
      </c>
      <c r="I25" s="1674">
        <v>3.5</v>
      </c>
      <c r="J25" s="1674">
        <v>4.05</v>
      </c>
      <c r="L25" s="1674"/>
      <c r="M25" s="1675">
        <v>40471</v>
      </c>
      <c r="N25" s="1674">
        <v>0.36</v>
      </c>
      <c r="O25" s="1674">
        <v>1.91</v>
      </c>
      <c r="P25" s="1674">
        <v>2.2000000000000002</v>
      </c>
      <c r="Q25" s="1674">
        <v>2.5</v>
      </c>
      <c r="R25" s="1674">
        <v>3.25</v>
      </c>
      <c r="S25" s="1674">
        <v>3.85</v>
      </c>
      <c r="T25" s="1674">
        <v>4.2</v>
      </c>
      <c r="U25" s="1674">
        <v>1.91</v>
      </c>
      <c r="V25" s="1674">
        <v>2.2000000000000002</v>
      </c>
      <c r="W25" s="1674">
        <v>2.5</v>
      </c>
      <c r="X25" s="1674">
        <v>1.17</v>
      </c>
      <c r="Y25" s="1674">
        <v>0.81</v>
      </c>
      <c r="Z25" s="1674">
        <v>1.35</v>
      </c>
    </row>
    <row r="26" spans="2:26">
      <c r="B26" s="1674"/>
      <c r="C26" s="1675">
        <v>39805</v>
      </c>
      <c r="D26" s="1674">
        <v>4.8600000000000003</v>
      </c>
      <c r="E26" s="1674">
        <v>5.31</v>
      </c>
      <c r="F26" s="1674">
        <v>5.4</v>
      </c>
      <c r="G26" s="1674">
        <v>5.76</v>
      </c>
      <c r="H26" s="1674">
        <v>5.94</v>
      </c>
      <c r="I26" s="1674">
        <v>3.33</v>
      </c>
      <c r="J26" s="1674">
        <v>3.87</v>
      </c>
      <c r="L26" s="1674"/>
      <c r="M26" s="1675">
        <v>39805</v>
      </c>
      <c r="N26" s="1674">
        <v>0.36</v>
      </c>
      <c r="O26" s="1674">
        <v>1.71</v>
      </c>
      <c r="P26" s="1674">
        <v>1.98</v>
      </c>
      <c r="Q26" s="1674">
        <v>2.25</v>
      </c>
      <c r="R26" s="1674">
        <v>2.79</v>
      </c>
      <c r="S26" s="1674">
        <v>3.33</v>
      </c>
      <c r="T26" s="1674">
        <v>3.6</v>
      </c>
      <c r="U26" s="1674">
        <v>1.71</v>
      </c>
      <c r="V26" s="1674">
        <v>1.98</v>
      </c>
      <c r="W26" s="1674">
        <v>2.25</v>
      </c>
      <c r="X26" s="1674">
        <v>1.17</v>
      </c>
      <c r="Y26" s="1674">
        <v>0.81</v>
      </c>
      <c r="Z26" s="1674">
        <v>1.35</v>
      </c>
    </row>
    <row r="27" spans="2:26">
      <c r="B27" s="1674"/>
      <c r="C27" s="1675">
        <v>39779</v>
      </c>
      <c r="D27" s="1674">
        <v>5.04</v>
      </c>
      <c r="E27" s="1674">
        <v>5.58</v>
      </c>
      <c r="F27" s="1674">
        <v>5.67</v>
      </c>
      <c r="G27" s="1674">
        <v>5.94</v>
      </c>
      <c r="H27" s="1674">
        <v>6.12</v>
      </c>
      <c r="I27" s="1674">
        <v>3.51</v>
      </c>
      <c r="J27" s="1674">
        <v>4.05</v>
      </c>
      <c r="L27" s="1674"/>
      <c r="M27" s="1675">
        <v>39779</v>
      </c>
      <c r="N27" s="1674">
        <v>0.36</v>
      </c>
      <c r="O27" s="1674">
        <v>1.98</v>
      </c>
      <c r="P27" s="1674">
        <v>2.25</v>
      </c>
      <c r="Q27" s="1674">
        <v>2.52</v>
      </c>
      <c r="R27" s="1674">
        <v>3.06</v>
      </c>
      <c r="S27" s="1674">
        <v>3.6</v>
      </c>
      <c r="T27" s="1674">
        <v>3.87</v>
      </c>
      <c r="U27" s="1674">
        <v>1.98</v>
      </c>
      <c r="V27" s="1674">
        <v>2.25</v>
      </c>
      <c r="W27" s="1674">
        <v>2.52</v>
      </c>
      <c r="X27" s="1674">
        <v>1.17</v>
      </c>
      <c r="Y27" s="1674">
        <v>0.81</v>
      </c>
      <c r="Z27" s="1674">
        <v>1.35</v>
      </c>
    </row>
    <row r="28" spans="2:26">
      <c r="B28" s="1674"/>
      <c r="C28" s="1675">
        <v>39751</v>
      </c>
      <c r="D28" s="1674">
        <v>6.03</v>
      </c>
      <c r="E28" s="1674">
        <v>6.66</v>
      </c>
      <c r="F28" s="1674">
        <v>6.75</v>
      </c>
      <c r="G28" s="1674">
        <v>7.02</v>
      </c>
      <c r="H28" s="1674">
        <v>7.2</v>
      </c>
      <c r="I28" s="1674">
        <v>4.05</v>
      </c>
      <c r="J28" s="1674">
        <v>4.59</v>
      </c>
      <c r="L28" s="1674"/>
      <c r="M28" s="1675">
        <v>39751</v>
      </c>
      <c r="N28" s="1674">
        <v>0.72</v>
      </c>
      <c r="O28" s="1674">
        <v>2.88</v>
      </c>
      <c r="P28" s="1674">
        <v>3.24</v>
      </c>
      <c r="Q28" s="1674">
        <v>3.6</v>
      </c>
      <c r="R28" s="1674">
        <v>4.1399999999999997</v>
      </c>
      <c r="S28" s="1674">
        <v>4.7699999999999996</v>
      </c>
      <c r="T28" s="1674">
        <v>5.13</v>
      </c>
      <c r="U28" s="1674">
        <v>2.88</v>
      </c>
      <c r="V28" s="1674">
        <v>3.24</v>
      </c>
      <c r="W28" s="1674">
        <v>3.6</v>
      </c>
      <c r="X28" s="1674">
        <v>1.53</v>
      </c>
      <c r="Y28" s="1674">
        <v>1.17</v>
      </c>
      <c r="Z28" s="1674">
        <v>1.71</v>
      </c>
    </row>
    <row r="29" spans="2:26">
      <c r="B29" s="1674"/>
      <c r="C29" s="1677">
        <v>39748</v>
      </c>
      <c r="D29" s="1674">
        <v>6.12</v>
      </c>
      <c r="E29" s="1674">
        <v>6.93</v>
      </c>
      <c r="F29" s="1674">
        <v>7.02</v>
      </c>
      <c r="G29" s="1674">
        <v>7.29</v>
      </c>
      <c r="H29" s="1674">
        <v>7.47</v>
      </c>
      <c r="I29" s="1674">
        <v>4.05</v>
      </c>
      <c r="J29" s="1674">
        <v>4.59</v>
      </c>
      <c r="L29" s="1674"/>
      <c r="M29" s="1677">
        <v>39736</v>
      </c>
      <c r="N29" s="1674">
        <v>0.72</v>
      </c>
      <c r="O29" s="1674">
        <v>3.15</v>
      </c>
      <c r="P29" s="1674">
        <v>3.51</v>
      </c>
      <c r="Q29" s="1674">
        <v>3.87</v>
      </c>
      <c r="R29" s="1674">
        <v>4.41</v>
      </c>
      <c r="S29" s="1674">
        <v>5.13</v>
      </c>
      <c r="T29" s="1674">
        <v>5.58</v>
      </c>
      <c r="U29" s="1674">
        <v>3.15</v>
      </c>
      <c r="V29" s="1674">
        <v>3.51</v>
      </c>
      <c r="W29" s="1674">
        <v>3.87</v>
      </c>
      <c r="X29" s="1674">
        <v>1.53</v>
      </c>
      <c r="Y29" s="1674">
        <v>1.17</v>
      </c>
      <c r="Z29" s="1674">
        <v>1.71</v>
      </c>
    </row>
    <row r="30" spans="2:26">
      <c r="B30" s="1674"/>
      <c r="C30" s="1675">
        <v>39730</v>
      </c>
      <c r="D30" s="1674">
        <v>6.12</v>
      </c>
      <c r="E30" s="1674">
        <v>6.93</v>
      </c>
      <c r="F30" s="1674">
        <v>7.02</v>
      </c>
      <c r="G30" s="1674">
        <v>7.29</v>
      </c>
      <c r="H30" s="1674">
        <v>7.47</v>
      </c>
      <c r="I30" s="1674">
        <v>4.32</v>
      </c>
      <c r="J30" s="1674">
        <v>4.8600000000000003</v>
      </c>
      <c r="L30" s="1674"/>
      <c r="M30" s="1675">
        <v>39730</v>
      </c>
      <c r="N30" s="1674">
        <v>0.72</v>
      </c>
      <c r="O30" s="1674">
        <v>3.15</v>
      </c>
      <c r="P30" s="1674">
        <v>3.51</v>
      </c>
      <c r="Q30" s="1674">
        <v>3.87</v>
      </c>
      <c r="R30" s="1674">
        <v>4.41</v>
      </c>
      <c r="S30" s="1674">
        <v>5.13</v>
      </c>
      <c r="T30" s="1674">
        <v>5.58</v>
      </c>
      <c r="U30" s="1674">
        <v>3.15</v>
      </c>
      <c r="V30" s="1674">
        <v>3.51</v>
      </c>
      <c r="W30" s="1674">
        <v>3.87</v>
      </c>
      <c r="X30" s="1674">
        <v>1.53</v>
      </c>
      <c r="Y30" s="1674">
        <v>1.17</v>
      </c>
      <c r="Z30" s="1674">
        <v>1.71</v>
      </c>
    </row>
    <row r="31" spans="2:26">
      <c r="B31" s="1674"/>
      <c r="C31" s="1675">
        <v>39707</v>
      </c>
      <c r="D31" s="1674">
        <v>6.21</v>
      </c>
      <c r="E31" s="1674">
        <v>7.2</v>
      </c>
      <c r="F31" s="1674">
        <v>7.29</v>
      </c>
      <c r="G31" s="1674">
        <v>7.56</v>
      </c>
      <c r="H31" s="1674">
        <v>7.74</v>
      </c>
      <c r="I31" s="1674">
        <v>4.59</v>
      </c>
      <c r="J31" s="1674">
        <v>5.13</v>
      </c>
      <c r="L31" s="1674"/>
      <c r="M31" s="1675">
        <v>39437</v>
      </c>
      <c r="N31" s="1674">
        <v>0.72</v>
      </c>
      <c r="O31" s="1674">
        <v>3.33</v>
      </c>
      <c r="P31" s="1674">
        <v>3.78</v>
      </c>
      <c r="Q31" s="1674">
        <v>4.1399999999999997</v>
      </c>
      <c r="R31" s="1674">
        <v>4.68</v>
      </c>
      <c r="S31" s="1674">
        <v>5.4</v>
      </c>
      <c r="T31" s="1674">
        <v>5.85</v>
      </c>
      <c r="U31" s="1674">
        <v>3.33</v>
      </c>
      <c r="V31" s="1674">
        <v>3.78</v>
      </c>
      <c r="W31" s="1674">
        <v>4.1399999999999997</v>
      </c>
      <c r="X31" s="1674">
        <v>1.53</v>
      </c>
      <c r="Y31" s="1674">
        <v>1.17</v>
      </c>
      <c r="Z31" s="1674">
        <v>1.71</v>
      </c>
    </row>
    <row r="32" spans="2:26">
      <c r="B32" s="1674"/>
      <c r="C32" s="1675">
        <v>39437</v>
      </c>
      <c r="D32" s="1674">
        <v>6.57</v>
      </c>
      <c r="E32" s="1674">
        <v>7.47</v>
      </c>
      <c r="F32" s="1674">
        <v>7.56</v>
      </c>
      <c r="G32" s="1674">
        <v>7.74</v>
      </c>
      <c r="H32" s="1674">
        <v>7.83</v>
      </c>
      <c r="I32" s="1674">
        <v>4.7699999999999996</v>
      </c>
      <c r="J32" s="1674">
        <v>5.22</v>
      </c>
      <c r="L32" s="1674"/>
      <c r="M32" s="1675">
        <v>39340</v>
      </c>
      <c r="N32" s="1674">
        <v>0.81</v>
      </c>
      <c r="O32" s="1674">
        <v>2.88</v>
      </c>
      <c r="P32" s="1674">
        <v>3.42</v>
      </c>
      <c r="Q32" s="1674">
        <v>3.87</v>
      </c>
      <c r="R32" s="1674">
        <v>4.5</v>
      </c>
      <c r="S32" s="1674">
        <v>5.22</v>
      </c>
      <c r="T32" s="1674">
        <v>5.76</v>
      </c>
      <c r="U32" s="1674">
        <v>2.88</v>
      </c>
      <c r="V32" s="1674">
        <v>3.42</v>
      </c>
      <c r="W32" s="1674">
        <v>3.87</v>
      </c>
      <c r="X32" s="1674">
        <v>1.53</v>
      </c>
      <c r="Y32" s="1674">
        <v>1.17</v>
      </c>
      <c r="Z32" s="1674">
        <v>1.71</v>
      </c>
    </row>
    <row r="33" spans="2:26">
      <c r="B33" s="1674"/>
      <c r="C33" s="1675">
        <v>39340</v>
      </c>
      <c r="D33" s="1674">
        <v>6.48</v>
      </c>
      <c r="E33" s="1674">
        <v>7.29</v>
      </c>
      <c r="F33" s="1674">
        <v>7.47</v>
      </c>
      <c r="G33" s="1674">
        <v>7.65</v>
      </c>
      <c r="H33" s="1674">
        <v>7.83</v>
      </c>
      <c r="I33" s="1674">
        <v>4.7699999999999996</v>
      </c>
      <c r="J33" s="1674">
        <v>5.22</v>
      </c>
      <c r="L33" s="1674"/>
      <c r="M33" s="1675">
        <v>39316</v>
      </c>
      <c r="N33" s="1674">
        <v>0.81</v>
      </c>
      <c r="O33" s="1674">
        <v>2.61</v>
      </c>
      <c r="P33" s="1674">
        <v>3.15</v>
      </c>
      <c r="Q33" s="1674">
        <v>3.6</v>
      </c>
      <c r="R33" s="1674">
        <v>4.2300000000000004</v>
      </c>
      <c r="S33" s="1674">
        <v>4.95</v>
      </c>
      <c r="T33" s="1674">
        <v>5.49</v>
      </c>
      <c r="U33" s="1674">
        <v>2.61</v>
      </c>
      <c r="V33" s="1674">
        <v>3.15</v>
      </c>
      <c r="W33" s="1674">
        <v>3.6</v>
      </c>
      <c r="X33" s="1674">
        <v>1.53</v>
      </c>
      <c r="Y33" s="1674">
        <v>1.17</v>
      </c>
      <c r="Z33" s="1674">
        <v>1.71</v>
      </c>
    </row>
    <row r="34" spans="2:26">
      <c r="B34" s="1674"/>
      <c r="C34" s="1675">
        <v>39316</v>
      </c>
      <c r="D34" s="1674">
        <v>6.21</v>
      </c>
      <c r="E34" s="1674">
        <v>7.02</v>
      </c>
      <c r="F34" s="1674">
        <v>7.2</v>
      </c>
      <c r="G34" s="1674">
        <v>7.38</v>
      </c>
      <c r="H34" s="1674">
        <v>7.56</v>
      </c>
      <c r="I34" s="1674">
        <v>4.59</v>
      </c>
      <c r="J34" s="1674">
        <v>5.04</v>
      </c>
      <c r="L34" s="1674"/>
      <c r="M34" s="1675">
        <v>39284</v>
      </c>
      <c r="N34" s="1674">
        <v>0.81</v>
      </c>
      <c r="O34" s="1674">
        <v>2.34</v>
      </c>
      <c r="P34" s="1674">
        <v>2.88</v>
      </c>
      <c r="Q34" s="1674">
        <v>3.33</v>
      </c>
      <c r="R34" s="1674">
        <v>3.96</v>
      </c>
      <c r="S34" s="1674">
        <v>4.68</v>
      </c>
      <c r="T34" s="1674">
        <v>5.22</v>
      </c>
      <c r="U34" s="1674">
        <v>2.34</v>
      </c>
      <c r="V34" s="1674">
        <v>2.88</v>
      </c>
      <c r="W34" s="1674">
        <v>3.33</v>
      </c>
      <c r="X34" s="1674">
        <v>1.53</v>
      </c>
      <c r="Y34" s="1674">
        <v>1.17</v>
      </c>
      <c r="Z34" s="1674">
        <v>1.71</v>
      </c>
    </row>
    <row r="35" spans="2:26">
      <c r="B35" s="1674"/>
      <c r="C35" s="1675">
        <v>39284</v>
      </c>
      <c r="D35" s="1674">
        <v>6.03</v>
      </c>
      <c r="E35" s="1674">
        <v>6.84</v>
      </c>
      <c r="F35" s="1674">
        <v>7.02</v>
      </c>
      <c r="G35" s="1674">
        <v>7.2</v>
      </c>
      <c r="H35" s="1674">
        <v>7.38</v>
      </c>
      <c r="I35" s="1674">
        <v>4.5</v>
      </c>
      <c r="J35" s="1674">
        <v>4.95</v>
      </c>
      <c r="L35" s="1674"/>
      <c r="M35" s="1675">
        <v>39221</v>
      </c>
      <c r="N35" s="1674">
        <v>0.72</v>
      </c>
      <c r="O35" s="1674">
        <v>2.0699999999999998</v>
      </c>
      <c r="P35" s="1674">
        <v>2.61</v>
      </c>
      <c r="Q35" s="1674">
        <v>3.06</v>
      </c>
      <c r="R35" s="1674">
        <v>3.69</v>
      </c>
      <c r="S35" s="1674">
        <v>4.41</v>
      </c>
      <c r="T35" s="1674">
        <v>4.95</v>
      </c>
      <c r="U35" s="1674">
        <v>2.0699999999999998</v>
      </c>
      <c r="V35" s="1674">
        <v>2.61</v>
      </c>
      <c r="W35" s="1674">
        <v>3.06</v>
      </c>
      <c r="X35" s="1674">
        <v>1.44</v>
      </c>
      <c r="Y35" s="1674">
        <v>1.08</v>
      </c>
      <c r="Z35" s="1674">
        <v>1.62</v>
      </c>
    </row>
    <row r="36" spans="2:26">
      <c r="B36" s="1674"/>
      <c r="C36" s="1675">
        <v>39221</v>
      </c>
      <c r="D36" s="1674">
        <v>5.85</v>
      </c>
      <c r="E36" s="1674">
        <v>6.57</v>
      </c>
      <c r="F36" s="1674">
        <v>6.75</v>
      </c>
      <c r="G36" s="1674">
        <v>6.93</v>
      </c>
      <c r="H36" s="1674">
        <v>7.2</v>
      </c>
      <c r="I36" s="1674">
        <v>4.41</v>
      </c>
      <c r="J36" s="1674">
        <v>4.8600000000000003</v>
      </c>
      <c r="L36" s="1674"/>
      <c r="M36" s="1675">
        <v>39159</v>
      </c>
      <c r="N36" s="1674">
        <v>0.72</v>
      </c>
      <c r="O36" s="1674">
        <v>1.98</v>
      </c>
      <c r="P36" s="1674">
        <v>2.4300000000000002</v>
      </c>
      <c r="Q36" s="1674">
        <v>2.79</v>
      </c>
      <c r="R36" s="1674">
        <v>3.33</v>
      </c>
      <c r="S36" s="1674">
        <v>3.96</v>
      </c>
      <c r="T36" s="1674">
        <v>4.41</v>
      </c>
      <c r="U36" s="1674">
        <v>1.98</v>
      </c>
      <c r="V36" s="1674">
        <v>2.4300000000000002</v>
      </c>
      <c r="W36" s="1674">
        <v>2.79</v>
      </c>
      <c r="X36" s="1674">
        <v>1.44</v>
      </c>
      <c r="Y36" s="1674">
        <v>1.08</v>
      </c>
      <c r="Z36" s="1674">
        <v>1.62</v>
      </c>
    </row>
    <row r="37" spans="2:26">
      <c r="B37" s="1674"/>
      <c r="C37" s="1675">
        <v>39159</v>
      </c>
      <c r="D37" s="1674">
        <v>5.67</v>
      </c>
      <c r="E37" s="1674">
        <v>6.39</v>
      </c>
      <c r="F37" s="1674">
        <v>6.57</v>
      </c>
      <c r="G37" s="1674">
        <v>6.75</v>
      </c>
      <c r="H37" s="1674">
        <v>7.11</v>
      </c>
      <c r="I37" s="1674">
        <v>4.32</v>
      </c>
      <c r="J37" s="1674">
        <v>4.7699999999999996</v>
      </c>
      <c r="L37" s="1674"/>
      <c r="M37" s="1675">
        <v>38948</v>
      </c>
      <c r="N37" s="1674">
        <v>0.72</v>
      </c>
      <c r="O37" s="1674">
        <v>1.8</v>
      </c>
      <c r="P37" s="1674">
        <v>2.25</v>
      </c>
      <c r="Q37" s="1674">
        <v>2.52</v>
      </c>
      <c r="R37" s="1674">
        <v>3.06</v>
      </c>
      <c r="S37" s="1674">
        <v>3.69</v>
      </c>
      <c r="T37" s="1674">
        <v>4.1399999999999997</v>
      </c>
      <c r="U37" s="1674">
        <v>1.8</v>
      </c>
      <c r="V37" s="1674">
        <v>2.25</v>
      </c>
      <c r="W37" s="1674">
        <v>2.52</v>
      </c>
      <c r="X37" s="1674">
        <v>1.44</v>
      </c>
      <c r="Y37" s="1674">
        <v>1.08</v>
      </c>
      <c r="Z37" s="1674">
        <v>1.62</v>
      </c>
    </row>
    <row r="38" spans="2:26">
      <c r="B38" s="1674"/>
      <c r="C38" s="1675">
        <v>38948</v>
      </c>
      <c r="D38" s="1674">
        <v>5.58</v>
      </c>
      <c r="E38" s="1674">
        <v>6.12</v>
      </c>
      <c r="F38" s="1674">
        <v>6.3</v>
      </c>
      <c r="G38" s="1674">
        <v>6.48</v>
      </c>
      <c r="H38" s="1674">
        <v>6.84</v>
      </c>
      <c r="I38" s="1674">
        <v>4.1399999999999997</v>
      </c>
      <c r="J38" s="1674">
        <v>4.59</v>
      </c>
      <c r="L38" s="1674"/>
      <c r="M38" s="1675">
        <v>38289</v>
      </c>
      <c r="N38" s="1674">
        <v>0.72</v>
      </c>
      <c r="O38" s="1674">
        <v>1.71</v>
      </c>
      <c r="P38" s="1674">
        <v>2.0699999999999998</v>
      </c>
      <c r="Q38" s="1674">
        <v>2.25</v>
      </c>
      <c r="R38" s="1674">
        <v>2.7</v>
      </c>
      <c r="S38" s="1674">
        <v>3.24</v>
      </c>
      <c r="T38" s="1674">
        <v>3.6</v>
      </c>
      <c r="U38" s="1674">
        <v>1.71</v>
      </c>
      <c r="V38" s="1674">
        <v>2.0699999999999998</v>
      </c>
      <c r="W38" s="1674">
        <v>2.25</v>
      </c>
      <c r="X38" s="1674">
        <v>1.44</v>
      </c>
      <c r="Y38" s="1674">
        <v>1.08</v>
      </c>
      <c r="Z38" s="1674">
        <v>1.62</v>
      </c>
    </row>
    <row r="39" spans="2:26">
      <c r="B39" s="1674"/>
      <c r="C39" s="1675">
        <v>38835</v>
      </c>
      <c r="D39" s="1674">
        <v>5.4</v>
      </c>
      <c r="E39" s="1674">
        <v>5.85</v>
      </c>
      <c r="F39" s="1674">
        <v>6.03</v>
      </c>
      <c r="G39" s="1674">
        <v>6.12</v>
      </c>
      <c r="H39" s="1674">
        <v>6.39</v>
      </c>
      <c r="I39" s="1674">
        <v>4.1399999999999997</v>
      </c>
      <c r="J39" s="1674">
        <v>4.59</v>
      </c>
      <c r="L39" s="1674"/>
      <c r="M39" s="1675">
        <v>37308</v>
      </c>
      <c r="N39" s="1674">
        <v>0.72</v>
      </c>
      <c r="O39" s="1674">
        <v>1.71</v>
      </c>
      <c r="P39" s="1674">
        <v>1.89</v>
      </c>
      <c r="Q39" s="1674">
        <v>1.98</v>
      </c>
      <c r="R39" s="1674">
        <v>2.25</v>
      </c>
      <c r="S39" s="1674">
        <v>2.52</v>
      </c>
      <c r="T39" s="1674">
        <v>2.79</v>
      </c>
      <c r="U39" s="1674">
        <v>1.71</v>
      </c>
      <c r="V39" s="1674">
        <v>1.89</v>
      </c>
      <c r="W39" s="1674">
        <v>1.98</v>
      </c>
      <c r="X39" s="1674">
        <v>1.44</v>
      </c>
      <c r="Y39" s="1674">
        <v>1.08</v>
      </c>
      <c r="Z39" s="1674">
        <v>1.62</v>
      </c>
    </row>
    <row r="40" spans="2:26">
      <c r="B40" s="1674"/>
      <c r="C40" s="1675">
        <v>38428</v>
      </c>
      <c r="D40" s="1674">
        <v>5.22</v>
      </c>
      <c r="E40" s="1674">
        <v>5.58</v>
      </c>
      <c r="F40" s="1674">
        <v>5.76</v>
      </c>
      <c r="G40" s="1674">
        <v>5.85</v>
      </c>
      <c r="H40" s="1674">
        <v>6.12</v>
      </c>
      <c r="I40" s="1674">
        <v>3.96</v>
      </c>
      <c r="J40" s="1674">
        <v>4.41</v>
      </c>
      <c r="L40" s="1674"/>
      <c r="M40" s="1675">
        <v>36321</v>
      </c>
      <c r="N40" s="1674">
        <v>0.99</v>
      </c>
      <c r="O40" s="1674">
        <v>1.98</v>
      </c>
      <c r="P40" s="1674">
        <v>2.16</v>
      </c>
      <c r="Q40" s="1674">
        <v>2.25</v>
      </c>
      <c r="R40" s="1674">
        <v>2.4300000000000002</v>
      </c>
      <c r="S40" s="1674">
        <v>2.7</v>
      </c>
      <c r="T40" s="1674">
        <v>2.88</v>
      </c>
      <c r="U40" s="1674">
        <v>1.98</v>
      </c>
      <c r="V40" s="1674">
        <v>2.16</v>
      </c>
      <c r="W40" s="1674">
        <v>2.25</v>
      </c>
      <c r="X40" s="1674">
        <v>1.71</v>
      </c>
      <c r="Y40" s="1674">
        <v>1.35</v>
      </c>
      <c r="Z40" s="1674">
        <v>1.89</v>
      </c>
    </row>
    <row r="41" spans="2:26">
      <c r="B41" s="1674"/>
      <c r="C41" s="1675">
        <v>38289</v>
      </c>
      <c r="D41" s="1674">
        <v>5.22</v>
      </c>
      <c r="E41" s="1674">
        <v>5.58</v>
      </c>
      <c r="F41" s="1674">
        <v>5.76</v>
      </c>
      <c r="G41" s="1674">
        <v>5.85</v>
      </c>
      <c r="H41" s="1674">
        <v>6.12</v>
      </c>
      <c r="I41" s="1674">
        <v>3.78</v>
      </c>
      <c r="J41" s="1674">
        <v>4.2300000000000004</v>
      </c>
      <c r="L41" s="1674"/>
      <c r="M41" s="1675">
        <v>36136</v>
      </c>
      <c r="N41" s="1674">
        <v>1.44</v>
      </c>
      <c r="O41" s="1674">
        <v>2.79</v>
      </c>
      <c r="P41" s="1674">
        <v>3.33</v>
      </c>
      <c r="Q41" s="1674">
        <v>3.78</v>
      </c>
      <c r="R41" s="1674">
        <v>3.96</v>
      </c>
      <c r="S41" s="1674">
        <v>4.1399999999999997</v>
      </c>
      <c r="T41" s="1674">
        <v>4.5</v>
      </c>
      <c r="U41" s="1674">
        <v>3.33</v>
      </c>
      <c r="V41" s="1674">
        <v>3.78</v>
      </c>
      <c r="W41" s="1674">
        <v>4.1399999999999997</v>
      </c>
      <c r="X41" s="1674">
        <v>2.16</v>
      </c>
      <c r="Y41" s="1674">
        <v>1.8</v>
      </c>
      <c r="Z41" s="1674">
        <v>2.34</v>
      </c>
    </row>
    <row r="42" spans="2:26">
      <c r="B42" s="1674"/>
      <c r="C42" s="1675">
        <v>37308</v>
      </c>
      <c r="D42" s="1674">
        <v>5.04</v>
      </c>
      <c r="E42" s="1674">
        <v>5.31</v>
      </c>
      <c r="F42" s="1674">
        <v>5.49</v>
      </c>
      <c r="G42" s="1674">
        <v>5.58</v>
      </c>
      <c r="H42" s="1674">
        <v>5.76</v>
      </c>
      <c r="I42" s="1674">
        <v>3.6</v>
      </c>
      <c r="J42" s="1674">
        <v>4.05</v>
      </c>
      <c r="L42" s="1674"/>
      <c r="M42" s="1675">
        <v>35977</v>
      </c>
      <c r="N42" s="1674">
        <v>1.44</v>
      </c>
      <c r="O42" s="1674">
        <v>2.79</v>
      </c>
      <c r="P42" s="1674">
        <v>3.96</v>
      </c>
      <c r="Q42" s="1674">
        <v>4.7699999999999996</v>
      </c>
      <c r="R42" s="1674">
        <v>4.8600000000000003</v>
      </c>
      <c r="S42" s="1674">
        <v>4.95</v>
      </c>
      <c r="T42" s="1674">
        <v>5.22</v>
      </c>
      <c r="U42" s="1674">
        <v>3.96</v>
      </c>
      <c r="V42" s="1674">
        <v>4.7699999999999996</v>
      </c>
      <c r="W42" s="1674">
        <v>4.95</v>
      </c>
      <c r="X42" s="1674" t="s">
        <v>1331</v>
      </c>
      <c r="Y42" s="1674" t="s">
        <v>1331</v>
      </c>
      <c r="Z42" s="1674" t="s">
        <v>1331</v>
      </c>
    </row>
    <row r="43" spans="2:26">
      <c r="B43" s="1674"/>
      <c r="C43" s="1675">
        <v>36321</v>
      </c>
      <c r="D43" s="1674">
        <v>5.58</v>
      </c>
      <c r="E43" s="1674">
        <v>5.85</v>
      </c>
      <c r="F43" s="1674">
        <v>5.94</v>
      </c>
      <c r="G43" s="1674">
        <v>6.03</v>
      </c>
      <c r="H43" s="1674">
        <v>6.21</v>
      </c>
      <c r="I43" s="1674">
        <v>4.1399999999999997</v>
      </c>
      <c r="J43" s="1674">
        <v>4.59</v>
      </c>
      <c r="L43" s="1674"/>
      <c r="M43" s="1675">
        <v>35879</v>
      </c>
      <c r="N43" s="1674">
        <v>1.71</v>
      </c>
      <c r="O43" s="1674">
        <v>2.88</v>
      </c>
      <c r="P43" s="1674">
        <v>4.1399999999999997</v>
      </c>
      <c r="Q43" s="1674">
        <v>5.22</v>
      </c>
      <c r="R43" s="1674">
        <v>5.58</v>
      </c>
      <c r="S43" s="1674">
        <v>6.21</v>
      </c>
      <c r="T43" s="1674">
        <v>6.66</v>
      </c>
      <c r="U43" s="1674">
        <v>4.1399999999999997</v>
      </c>
      <c r="V43" s="1674">
        <v>5.22</v>
      </c>
      <c r="W43" s="1674">
        <v>6.21</v>
      </c>
      <c r="X43" s="1674" t="s">
        <v>1331</v>
      </c>
      <c r="Y43" s="1674" t="s">
        <v>1331</v>
      </c>
      <c r="Z43" s="1674" t="s">
        <v>1331</v>
      </c>
    </row>
    <row r="44" spans="2:26">
      <c r="B44" s="1674"/>
      <c r="C44" s="1675">
        <v>36136</v>
      </c>
      <c r="D44" s="1674">
        <v>6.12</v>
      </c>
      <c r="E44" s="1674">
        <v>6.39</v>
      </c>
      <c r="F44" s="1674">
        <v>6.66</v>
      </c>
      <c r="G44" s="1674">
        <v>7.2</v>
      </c>
      <c r="H44" s="1674">
        <v>7.56</v>
      </c>
      <c r="I44" s="1674">
        <v>0</v>
      </c>
      <c r="J44" s="1674">
        <v>0</v>
      </c>
      <c r="L44" s="1674"/>
      <c r="M44" s="1675">
        <v>35726</v>
      </c>
      <c r="N44" s="1674">
        <v>1.71</v>
      </c>
      <c r="O44" s="1674">
        <v>2.88</v>
      </c>
      <c r="P44" s="1674">
        <v>4.1399999999999997</v>
      </c>
      <c r="Q44" s="1674">
        <v>5.67</v>
      </c>
      <c r="R44" s="1674">
        <v>5.94</v>
      </c>
      <c r="S44" s="1674">
        <v>6.21</v>
      </c>
      <c r="T44" s="1674">
        <v>6.66</v>
      </c>
      <c r="U44" s="1674">
        <v>4.1399999999999997</v>
      </c>
      <c r="V44" s="1674">
        <v>5.67</v>
      </c>
      <c r="W44" s="1674">
        <v>6.21</v>
      </c>
      <c r="X44" s="1674" t="s">
        <v>1331</v>
      </c>
      <c r="Y44" s="1674" t="s">
        <v>1331</v>
      </c>
      <c r="Z44" s="1674" t="s">
        <v>1331</v>
      </c>
    </row>
    <row r="45" spans="2:26">
      <c r="B45" s="1674"/>
      <c r="C45" s="1675">
        <v>35977</v>
      </c>
      <c r="D45" s="1674">
        <v>6.57</v>
      </c>
      <c r="E45" s="1674">
        <v>6.93</v>
      </c>
      <c r="F45" s="1674">
        <v>7.11</v>
      </c>
      <c r="G45" s="1674">
        <v>7.65</v>
      </c>
      <c r="H45" s="1674">
        <v>8.01</v>
      </c>
      <c r="I45" s="1674">
        <v>0</v>
      </c>
      <c r="J45" s="1674">
        <v>0</v>
      </c>
      <c r="L45" s="1674"/>
      <c r="M45" s="1675">
        <v>35300</v>
      </c>
      <c r="N45" s="1674">
        <v>1.98</v>
      </c>
      <c r="O45" s="1674">
        <v>3.33</v>
      </c>
      <c r="P45" s="1674">
        <v>5.4</v>
      </c>
      <c r="Q45" s="1674">
        <v>7.47</v>
      </c>
      <c r="R45" s="1674">
        <v>7.92</v>
      </c>
      <c r="S45" s="1674">
        <v>8.2799999999999994</v>
      </c>
      <c r="T45" s="1674">
        <v>9</v>
      </c>
      <c r="U45" s="1674">
        <v>5.4</v>
      </c>
      <c r="V45" s="1674">
        <v>7.47</v>
      </c>
      <c r="W45" s="1674">
        <v>8.2799999999999994</v>
      </c>
      <c r="X45" s="1674" t="s">
        <v>1331</v>
      </c>
      <c r="Y45" s="1674" t="s">
        <v>1331</v>
      </c>
      <c r="Z45" s="1674" t="s">
        <v>1331</v>
      </c>
    </row>
    <row r="46" spans="2:26">
      <c r="B46" s="1674"/>
      <c r="C46" s="1675">
        <v>35879</v>
      </c>
      <c r="D46" s="1674">
        <v>7.02</v>
      </c>
      <c r="E46" s="1674">
        <v>7.92</v>
      </c>
      <c r="F46" s="1674">
        <v>9</v>
      </c>
      <c r="G46" s="1674">
        <v>9.7200000000000006</v>
      </c>
      <c r="H46" s="1674">
        <v>10.35</v>
      </c>
      <c r="I46" s="1674">
        <v>0</v>
      </c>
      <c r="J46" s="1674">
        <v>0</v>
      </c>
      <c r="L46" s="1674"/>
      <c r="M46" s="1675">
        <v>35186</v>
      </c>
      <c r="N46" s="1674">
        <v>2.97</v>
      </c>
      <c r="O46" s="1674">
        <v>4.8600000000000003</v>
      </c>
      <c r="P46" s="1674">
        <v>7.2</v>
      </c>
      <c r="Q46" s="1674">
        <v>9.18</v>
      </c>
      <c r="R46" s="1674">
        <v>9.9</v>
      </c>
      <c r="S46" s="1674">
        <v>10.8</v>
      </c>
      <c r="T46" s="1674">
        <v>12.06</v>
      </c>
      <c r="U46" s="1674">
        <v>7.2</v>
      </c>
      <c r="V46" s="1674">
        <v>9.18</v>
      </c>
      <c r="W46" s="1674">
        <v>10.8</v>
      </c>
      <c r="X46" s="1674" t="s">
        <v>1331</v>
      </c>
      <c r="Y46" s="1674" t="s">
        <v>1331</v>
      </c>
      <c r="Z46" s="1674" t="s">
        <v>1331</v>
      </c>
    </row>
    <row r="47" spans="2:26">
      <c r="B47" s="1674"/>
      <c r="C47" s="1675">
        <v>35726</v>
      </c>
      <c r="D47" s="1674">
        <v>7.65</v>
      </c>
      <c r="E47" s="1674">
        <v>8.64</v>
      </c>
      <c r="F47" s="1674">
        <v>9.36</v>
      </c>
      <c r="G47" s="1674">
        <v>9.9</v>
      </c>
      <c r="H47" s="1674">
        <v>10.53</v>
      </c>
      <c r="I47" s="1674">
        <v>0</v>
      </c>
      <c r="J47" s="1674">
        <v>0</v>
      </c>
      <c r="L47" s="1674"/>
      <c r="M47" s="1675">
        <v>34161</v>
      </c>
      <c r="N47" s="1674">
        <v>3.15</v>
      </c>
      <c r="O47" s="1674">
        <v>6.66</v>
      </c>
      <c r="P47" s="1674">
        <v>9</v>
      </c>
      <c r="Q47" s="1674">
        <v>10.98</v>
      </c>
      <c r="R47" s="1674">
        <v>11.7</v>
      </c>
      <c r="S47" s="1674">
        <v>12.24</v>
      </c>
      <c r="T47" s="1674">
        <v>13.86</v>
      </c>
      <c r="U47" s="1674">
        <v>9</v>
      </c>
      <c r="V47" s="1674">
        <v>10.98</v>
      </c>
      <c r="W47" s="1674">
        <v>12.24</v>
      </c>
      <c r="X47" s="1674" t="s">
        <v>1331</v>
      </c>
      <c r="Y47" s="1674" t="s">
        <v>1331</v>
      </c>
      <c r="Z47" s="1674" t="s">
        <v>1331</v>
      </c>
    </row>
    <row r="48" spans="2:26">
      <c r="B48" s="1674"/>
      <c r="C48" s="1675">
        <v>35300</v>
      </c>
      <c r="D48" s="1674">
        <v>9.18</v>
      </c>
      <c r="E48" s="1674">
        <v>10.08</v>
      </c>
      <c r="F48" s="1674">
        <v>10.98</v>
      </c>
      <c r="G48" s="1674">
        <v>11.7</v>
      </c>
      <c r="H48" s="1674">
        <v>12.42</v>
      </c>
      <c r="I48" s="1674">
        <v>0</v>
      </c>
      <c r="J48" s="1674">
        <v>0</v>
      </c>
      <c r="L48" s="1674"/>
      <c r="M48" s="1675">
        <v>34104</v>
      </c>
      <c r="N48" s="1674">
        <v>2.16</v>
      </c>
      <c r="O48" s="1674">
        <v>4.8600000000000003</v>
      </c>
      <c r="P48" s="1674">
        <v>7.2</v>
      </c>
      <c r="Q48" s="1674">
        <v>9.18</v>
      </c>
      <c r="R48" s="1674">
        <v>9.9</v>
      </c>
      <c r="S48" s="1674">
        <v>10.8</v>
      </c>
      <c r="T48" s="1674">
        <v>12.06</v>
      </c>
      <c r="U48" s="1674">
        <v>7.2</v>
      </c>
      <c r="V48" s="1674">
        <v>9.18</v>
      </c>
      <c r="W48" s="1674">
        <v>10.8</v>
      </c>
      <c r="X48" s="1674" t="s">
        <v>1331</v>
      </c>
      <c r="Y48" s="1674" t="s">
        <v>1331</v>
      </c>
      <c r="Z48" s="1674" t="s">
        <v>1331</v>
      </c>
    </row>
    <row r="49" spans="2:26">
      <c r="B49" s="1674"/>
      <c r="C49" s="1675">
        <v>35186</v>
      </c>
      <c r="D49" s="1674">
        <v>9.7200000000000006</v>
      </c>
      <c r="E49" s="1674">
        <v>10.98</v>
      </c>
      <c r="F49" s="1674">
        <v>13.14</v>
      </c>
      <c r="G49" s="1674">
        <v>14.94</v>
      </c>
      <c r="H49" s="1674">
        <v>15.12</v>
      </c>
      <c r="I49" s="1674">
        <v>0</v>
      </c>
      <c r="J49" s="1674">
        <v>0</v>
      </c>
      <c r="L49" s="1674"/>
      <c r="M49" s="1675">
        <v>33349</v>
      </c>
      <c r="N49" s="1674">
        <v>1.8</v>
      </c>
      <c r="O49" s="1674">
        <v>3.24</v>
      </c>
      <c r="P49" s="1674">
        <v>5.4</v>
      </c>
      <c r="Q49" s="1674">
        <v>7.56</v>
      </c>
      <c r="R49" s="1674">
        <v>7.92</v>
      </c>
      <c r="S49" s="1674">
        <v>8.2799999999999994</v>
      </c>
      <c r="T49" s="1674">
        <v>9</v>
      </c>
      <c r="U49" s="1674">
        <v>6.12</v>
      </c>
      <c r="V49" s="1674">
        <v>6.84</v>
      </c>
      <c r="W49" s="1674">
        <v>7.56</v>
      </c>
      <c r="X49" s="1674" t="s">
        <v>1331</v>
      </c>
      <c r="Y49" s="1674" t="s">
        <v>1331</v>
      </c>
      <c r="Z49" s="1674" t="s">
        <v>1331</v>
      </c>
    </row>
    <row r="50" spans="2:26">
      <c r="B50" s="1674"/>
      <c r="C50" s="1675">
        <v>34881</v>
      </c>
      <c r="D50" s="1674">
        <v>10.08</v>
      </c>
      <c r="E50" s="1674">
        <v>12.06</v>
      </c>
      <c r="F50" s="1674">
        <v>13.5</v>
      </c>
      <c r="G50" s="1674">
        <v>15.12</v>
      </c>
      <c r="H50" s="1674">
        <v>15.3</v>
      </c>
      <c r="I50" s="1674">
        <v>0</v>
      </c>
      <c r="J50" s="1674">
        <v>0</v>
      </c>
      <c r="L50" s="1674"/>
      <c r="M50" s="1675">
        <v>33106</v>
      </c>
      <c r="N50" s="1674">
        <v>2.16</v>
      </c>
      <c r="O50" s="1674">
        <v>4.32</v>
      </c>
      <c r="P50" s="1674">
        <v>6.48</v>
      </c>
      <c r="Q50" s="1674">
        <v>8.64</v>
      </c>
      <c r="R50" s="1674">
        <v>9.36</v>
      </c>
      <c r="S50" s="1674">
        <v>10.08</v>
      </c>
      <c r="T50" s="1674">
        <v>11.52</v>
      </c>
      <c r="U50" s="1674">
        <v>7.2</v>
      </c>
      <c r="V50" s="1674">
        <v>8.64</v>
      </c>
      <c r="W50" s="1674">
        <v>10.08</v>
      </c>
      <c r="X50" s="1674" t="s">
        <v>1331</v>
      </c>
      <c r="Y50" s="1674" t="s">
        <v>1331</v>
      </c>
      <c r="Z50" s="1674" t="s">
        <v>1331</v>
      </c>
    </row>
    <row r="51" spans="2:26">
      <c r="B51" s="1674"/>
      <c r="C51" s="1675">
        <v>34700</v>
      </c>
      <c r="D51" s="1674">
        <v>9</v>
      </c>
      <c r="E51" s="1674">
        <v>10.98</v>
      </c>
      <c r="F51" s="1674">
        <v>12.96</v>
      </c>
      <c r="G51" s="1674">
        <v>14.58</v>
      </c>
      <c r="H51" s="1674">
        <v>14.76</v>
      </c>
      <c r="I51" s="1674">
        <v>0</v>
      </c>
      <c r="J51" s="1674">
        <v>0</v>
      </c>
      <c r="L51" s="1674"/>
      <c r="M51" s="1675">
        <v>32978</v>
      </c>
      <c r="N51" s="1674">
        <v>2.88</v>
      </c>
      <c r="O51" s="1674">
        <v>6.3</v>
      </c>
      <c r="P51" s="1674">
        <v>7.74</v>
      </c>
      <c r="Q51" s="1674">
        <v>10.08</v>
      </c>
      <c r="R51" s="1674">
        <v>10.98</v>
      </c>
      <c r="S51" s="1674">
        <v>11.88</v>
      </c>
      <c r="T51" s="1674">
        <v>13.68</v>
      </c>
      <c r="U51" s="1674" t="s">
        <v>1331</v>
      </c>
      <c r="V51" s="1674" t="s">
        <v>1331</v>
      </c>
      <c r="W51" s="1674" t="s">
        <v>1331</v>
      </c>
      <c r="X51" s="1674" t="s">
        <v>1331</v>
      </c>
      <c r="Y51" s="1674" t="s">
        <v>1331</v>
      </c>
      <c r="Z51" s="1674" t="s">
        <v>1331</v>
      </c>
    </row>
    <row r="52" spans="2:26">
      <c r="B52" s="1674"/>
      <c r="C52" s="1675">
        <v>34161</v>
      </c>
      <c r="D52" s="1674">
        <v>9</v>
      </c>
      <c r="E52" s="1674">
        <v>10.98</v>
      </c>
      <c r="F52" s="1674">
        <v>12.24</v>
      </c>
      <c r="G52" s="1674">
        <v>13.86</v>
      </c>
      <c r="H52" s="1674">
        <v>14.04</v>
      </c>
      <c r="I52" s="1674">
        <v>0</v>
      </c>
      <c r="J52" s="1674">
        <v>0</v>
      </c>
      <c r="L52" s="1674"/>
      <c r="M52" s="1675"/>
      <c r="N52" s="1674"/>
      <c r="O52" s="1674"/>
      <c r="P52" s="1674"/>
      <c r="Q52" s="1674"/>
      <c r="R52" s="1674"/>
      <c r="S52" s="1674"/>
      <c r="T52" s="1674"/>
      <c r="U52" s="1674"/>
      <c r="V52" s="1674"/>
      <c r="W52" s="1674"/>
      <c r="X52" s="1674"/>
      <c r="Y52" s="1674"/>
      <c r="Z52" s="1674"/>
    </row>
    <row r="53" spans="2:26">
      <c r="B53" s="1674"/>
      <c r="C53" s="1675">
        <v>34104</v>
      </c>
      <c r="D53" s="1674">
        <v>8.82</v>
      </c>
      <c r="E53" s="1674">
        <v>9.36</v>
      </c>
      <c r="F53" s="1674">
        <v>10.8</v>
      </c>
      <c r="G53" s="1674">
        <v>12.06</v>
      </c>
      <c r="H53" s="1674">
        <v>12.24</v>
      </c>
      <c r="I53" s="1674">
        <v>0</v>
      </c>
      <c r="J53" s="1674">
        <v>0</v>
      </c>
      <c r="L53" s="1674"/>
      <c r="M53" s="1675"/>
      <c r="N53" s="1674"/>
      <c r="O53" s="1674"/>
      <c r="P53" s="1674"/>
      <c r="Q53" s="1674"/>
      <c r="R53" s="1674"/>
      <c r="S53" s="1674"/>
      <c r="T53" s="1674"/>
      <c r="U53" s="1674"/>
      <c r="V53" s="1674"/>
      <c r="W53" s="1674"/>
      <c r="X53" s="1674"/>
      <c r="Y53" s="1674"/>
      <c r="Z53" s="1674"/>
    </row>
    <row r="54" spans="2:26">
      <c r="B54" s="1674"/>
      <c r="C54" s="1675">
        <v>33349</v>
      </c>
      <c r="D54" s="1674">
        <v>8.1</v>
      </c>
      <c r="E54" s="1674">
        <v>8.64</v>
      </c>
      <c r="F54" s="1674">
        <v>9</v>
      </c>
      <c r="G54" s="1674">
        <v>9.5399999999999991</v>
      </c>
      <c r="H54" s="1674">
        <v>9.7200000000000006</v>
      </c>
      <c r="I54" s="1674">
        <v>0</v>
      </c>
      <c r="J54" s="1674">
        <v>0</v>
      </c>
      <c r="L54" s="1674"/>
      <c r="M54" s="1675"/>
      <c r="N54" s="1674"/>
      <c r="O54" s="1674"/>
      <c r="P54" s="1674"/>
      <c r="Q54" s="1674"/>
      <c r="R54" s="1674"/>
      <c r="S54" s="1674"/>
      <c r="T54" s="1674"/>
      <c r="U54" s="1674"/>
      <c r="V54" s="1674"/>
      <c r="W54" s="1674"/>
      <c r="X54" s="1674"/>
      <c r="Y54" s="1674"/>
      <c r="Z54" s="1674"/>
    </row>
    <row r="55" spans="2:26">
      <c r="B55" s="1674"/>
      <c r="C55" s="1675">
        <v>33318</v>
      </c>
      <c r="D55" s="1674">
        <v>9</v>
      </c>
      <c r="E55" s="1674">
        <v>10.08</v>
      </c>
      <c r="F55" s="1674">
        <v>10.8</v>
      </c>
      <c r="G55" s="1674">
        <v>11.52</v>
      </c>
      <c r="H55" s="1674">
        <v>11.88</v>
      </c>
      <c r="I55" s="1674" t="s">
        <v>1331</v>
      </c>
      <c r="J55" s="1674" t="s">
        <v>1331</v>
      </c>
      <c r="L55" s="1674"/>
      <c r="M55" s="1675"/>
      <c r="N55" s="1674"/>
      <c r="O55" s="1674"/>
      <c r="P55" s="1674"/>
      <c r="Q55" s="1674"/>
      <c r="R55" s="1674"/>
      <c r="S55" s="1674"/>
      <c r="T55" s="1674"/>
      <c r="U55" s="1674"/>
      <c r="V55" s="1674"/>
      <c r="W55" s="1674"/>
      <c r="X55" s="1674"/>
      <c r="Y55" s="1674"/>
      <c r="Z55" s="1674"/>
    </row>
    <row r="56" spans="2:26">
      <c r="B56" s="1674"/>
      <c r="C56" s="1675">
        <v>33106</v>
      </c>
      <c r="D56" s="1674">
        <v>8.64</v>
      </c>
      <c r="E56" s="1674">
        <v>9.36</v>
      </c>
      <c r="F56" s="1674">
        <v>10.08</v>
      </c>
      <c r="G56" s="1674">
        <v>10.8</v>
      </c>
      <c r="H56" s="1674">
        <v>11.16</v>
      </c>
      <c r="I56" s="1674">
        <v>0</v>
      </c>
      <c r="J56" s="1674">
        <v>0</v>
      </c>
      <c r="L56" s="1674"/>
      <c r="M56" s="1675"/>
      <c r="N56" s="1674"/>
      <c r="O56" s="1674"/>
      <c r="P56" s="1674"/>
      <c r="Q56" s="1674"/>
      <c r="R56" s="1674"/>
      <c r="S56" s="1674"/>
      <c r="T56" s="1674"/>
      <c r="U56" s="1674"/>
      <c r="V56" s="1674"/>
      <c r="W56" s="1674"/>
      <c r="X56" s="1674"/>
      <c r="Y56" s="1674"/>
      <c r="Z56" s="1674"/>
    </row>
    <row r="57" spans="2:26">
      <c r="B57" s="1674"/>
      <c r="C57" s="1675">
        <v>32540</v>
      </c>
      <c r="D57" s="1674">
        <v>11.34</v>
      </c>
      <c r="E57" s="1674">
        <v>11.34</v>
      </c>
      <c r="F57" s="1674">
        <v>12.78</v>
      </c>
      <c r="G57" s="1674">
        <v>14.4</v>
      </c>
      <c r="H57" s="1674">
        <v>19.260000000000002</v>
      </c>
      <c r="I57" s="1674">
        <v>0</v>
      </c>
      <c r="J57" s="1674">
        <v>0</v>
      </c>
      <c r="L57" s="1674"/>
      <c r="M57" s="1675"/>
      <c r="N57" s="1674"/>
      <c r="O57" s="1674"/>
      <c r="P57" s="1674"/>
      <c r="Q57" s="1674"/>
      <c r="R57" s="1674"/>
      <c r="S57" s="1674"/>
      <c r="T57" s="1674"/>
      <c r="U57" s="1674"/>
      <c r="V57" s="1674"/>
      <c r="W57" s="1674"/>
      <c r="X57" s="1674"/>
      <c r="Y57" s="1674"/>
      <c r="Z57" s="1674"/>
    </row>
    <row r="58" spans="2:26">
      <c r="B58" s="1674"/>
      <c r="C58" s="1675"/>
      <c r="D58" s="1674"/>
      <c r="E58" s="1674"/>
      <c r="F58" s="1674"/>
      <c r="G58" s="1674"/>
      <c r="H58" s="1674"/>
      <c r="I58" s="1674"/>
      <c r="J58" s="1674"/>
    </row>
    <row r="59" spans="2:26">
      <c r="B59" s="1678"/>
      <c r="C59" s="1679"/>
      <c r="D59" s="1678"/>
      <c r="E59" s="1678"/>
      <c r="F59" s="1678"/>
      <c r="G59" s="1678"/>
      <c r="H59" s="1678"/>
      <c r="I59" s="1678"/>
      <c r="J59" s="1678"/>
    </row>
    <row r="60" spans="2:26">
      <c r="B60" s="1678"/>
      <c r="C60" s="1679"/>
      <c r="D60" s="1678"/>
      <c r="E60" s="1678"/>
      <c r="F60" s="1678"/>
      <c r="G60" s="1678"/>
      <c r="H60" s="1678"/>
      <c r="I60" s="1678"/>
      <c r="J60" s="1678"/>
    </row>
    <row r="61" spans="2:26">
      <c r="B61" s="1678"/>
      <c r="C61" s="1679"/>
      <c r="D61" s="1678"/>
      <c r="E61" s="1678"/>
      <c r="F61" s="1678"/>
      <c r="G61" s="1678"/>
      <c r="H61" s="1678"/>
      <c r="I61" s="1678"/>
      <c r="J61" s="1678"/>
    </row>
    <row r="62" spans="2:26">
      <c r="B62" s="1625"/>
      <c r="C62" s="1625"/>
      <c r="D62" s="1625"/>
      <c r="E62" s="1625"/>
      <c r="F62" s="1625"/>
      <c r="G62" s="1625"/>
      <c r="H62" s="1625"/>
      <c r="I62" s="1625"/>
      <c r="J62" s="1625"/>
    </row>
    <row r="63" spans="2:26">
      <c r="B63" s="1625"/>
      <c r="C63" s="1625"/>
      <c r="D63" s="1625"/>
      <c r="E63" s="1625"/>
      <c r="F63" s="1625"/>
      <c r="G63" s="1625"/>
      <c r="H63" s="1625"/>
      <c r="I63" s="1625"/>
      <c r="J63" s="1625"/>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69" t="s">
        <v>1372</v>
      </c>
      <c r="E1" s="1763" t="s">
        <v>1376</v>
      </c>
      <c r="F1" s="1764" t="s">
        <v>1380</v>
      </c>
    </row>
    <row r="2" spans="1:13" ht="20.25">
      <c r="A2" s="1770" t="s">
        <v>1373</v>
      </c>
    </row>
    <row r="3" spans="1:13" ht="16.5">
      <c r="A3" s="1771" t="s">
        <v>1374</v>
      </c>
    </row>
    <row r="4" spans="1:13" ht="14.25">
      <c r="A4" s="1761" t="s">
        <v>1375</v>
      </c>
      <c r="B4" s="1766" t="s">
        <v>1377</v>
      </c>
      <c r="C4" s="1767"/>
      <c r="D4" s="1768"/>
      <c r="E4" s="1766" t="s">
        <v>27</v>
      </c>
      <c r="F4" s="1767"/>
      <c r="G4" s="1768"/>
      <c r="H4" s="1766" t="s">
        <v>1378</v>
      </c>
      <c r="I4" s="1767"/>
      <c r="J4" s="1768"/>
      <c r="K4" s="1766" t="s">
        <v>6</v>
      </c>
      <c r="L4" s="1767"/>
      <c r="M4" s="1768"/>
    </row>
    <row r="5" spans="1:13" ht="14.25">
      <c r="A5" s="1762" t="s">
        <v>1379</v>
      </c>
      <c r="B5" s="1761" t="s">
        <v>1381</v>
      </c>
      <c r="C5" s="1761" t="s">
        <v>1382</v>
      </c>
      <c r="D5" s="1761" t="s">
        <v>1383</v>
      </c>
      <c r="E5" s="1761" t="s">
        <v>1381</v>
      </c>
      <c r="F5" s="1761" t="s">
        <v>1382</v>
      </c>
      <c r="G5" s="1761" t="s">
        <v>1383</v>
      </c>
      <c r="H5" s="1761" t="s">
        <v>1381</v>
      </c>
      <c r="I5" s="1761" t="s">
        <v>1382</v>
      </c>
      <c r="J5" s="1761" t="s">
        <v>1383</v>
      </c>
      <c r="K5" s="1761" t="s">
        <v>1381</v>
      </c>
      <c r="L5" s="1761" t="s">
        <v>1382</v>
      </c>
      <c r="M5" s="1761" t="s">
        <v>1383</v>
      </c>
    </row>
    <row r="6" spans="1:13" ht="14.25">
      <c r="A6" s="1765" t="s">
        <v>212</v>
      </c>
      <c r="B6" s="1772">
        <v>26980</v>
      </c>
      <c r="C6" s="1772">
        <v>32980</v>
      </c>
      <c r="D6" s="1772">
        <v>29980</v>
      </c>
      <c r="E6" s="1772">
        <v>26170</v>
      </c>
      <c r="F6" s="1772">
        <v>31990</v>
      </c>
      <c r="G6" s="1772">
        <v>29080</v>
      </c>
      <c r="H6" s="1772">
        <v>25850</v>
      </c>
      <c r="I6" s="1772">
        <v>31590</v>
      </c>
      <c r="J6" s="1772">
        <v>28720</v>
      </c>
      <c r="K6" s="1772">
        <v>9860</v>
      </c>
      <c r="L6" s="1773">
        <v>13340</v>
      </c>
      <c r="M6" s="1772">
        <v>11600</v>
      </c>
    </row>
    <row r="7" spans="1:13" ht="14.25">
      <c r="A7" s="1765" t="s">
        <v>269</v>
      </c>
      <c r="B7" s="1772">
        <v>21970</v>
      </c>
      <c r="C7" s="1772">
        <v>28730</v>
      </c>
      <c r="D7" s="1772">
        <v>25350</v>
      </c>
      <c r="E7" s="1772">
        <v>21480</v>
      </c>
      <c r="F7" s="1772">
        <v>28080</v>
      </c>
      <c r="G7" s="1772">
        <v>24780</v>
      </c>
      <c r="H7" s="1772">
        <v>21250</v>
      </c>
      <c r="I7" s="1772">
        <v>27790</v>
      </c>
      <c r="J7" s="1772">
        <v>24520</v>
      </c>
      <c r="K7" s="1772">
        <v>6660</v>
      </c>
      <c r="L7" s="1773">
        <v>10000</v>
      </c>
      <c r="M7" s="1772">
        <v>8330</v>
      </c>
    </row>
    <row r="8" spans="1:13" ht="14.25">
      <c r="A8" s="1765" t="s">
        <v>442</v>
      </c>
      <c r="B8" s="1772">
        <v>17430</v>
      </c>
      <c r="C8" s="1772">
        <v>24410</v>
      </c>
      <c r="D8" s="1772">
        <v>20920</v>
      </c>
      <c r="E8" s="1772">
        <v>17140</v>
      </c>
      <c r="F8" s="1772">
        <v>24000</v>
      </c>
      <c r="G8" s="1772">
        <v>20570</v>
      </c>
      <c r="H8" s="1772">
        <v>16990</v>
      </c>
      <c r="I8" s="1772">
        <v>23790</v>
      </c>
      <c r="J8" s="1772">
        <v>20390</v>
      </c>
      <c r="K8" s="1772">
        <v>4530</v>
      </c>
      <c r="L8" s="1773">
        <v>6790</v>
      </c>
      <c r="M8" s="1772">
        <v>5660</v>
      </c>
    </row>
    <row r="9" spans="1:13" ht="14.25">
      <c r="A9" s="1765" t="s">
        <v>137</v>
      </c>
      <c r="B9" s="1772">
        <v>13330</v>
      </c>
      <c r="C9" s="1772">
        <v>19990</v>
      </c>
      <c r="D9" s="1772">
        <v>16660</v>
      </c>
      <c r="E9" s="1772">
        <v>13160</v>
      </c>
      <c r="F9" s="1772">
        <v>19740</v>
      </c>
      <c r="G9" s="1772">
        <v>16450</v>
      </c>
      <c r="H9" s="1772">
        <v>13060</v>
      </c>
      <c r="I9" s="1772">
        <v>19600</v>
      </c>
      <c r="J9" s="1772">
        <v>16330</v>
      </c>
      <c r="K9" s="1772">
        <v>3090</v>
      </c>
      <c r="L9" s="1773">
        <v>4650</v>
      </c>
      <c r="M9" s="1772">
        <v>3870</v>
      </c>
    </row>
    <row r="10" spans="1:13" ht="14.25">
      <c r="A10" s="1765" t="s">
        <v>523</v>
      </c>
      <c r="B10" s="1772">
        <v>10420</v>
      </c>
      <c r="C10" s="1772">
        <v>15620</v>
      </c>
      <c r="D10" s="1772">
        <v>13020</v>
      </c>
      <c r="E10" s="1772">
        <v>10310</v>
      </c>
      <c r="F10" s="1772">
        <v>15470</v>
      </c>
      <c r="G10" s="1772">
        <v>12890</v>
      </c>
      <c r="H10" s="1772">
        <v>10250</v>
      </c>
      <c r="I10" s="1772">
        <v>15370</v>
      </c>
      <c r="J10" s="1772">
        <v>12810</v>
      </c>
      <c r="K10" s="1772">
        <v>2140</v>
      </c>
      <c r="L10" s="1773">
        <v>3200</v>
      </c>
      <c r="M10" s="1772">
        <v>2670</v>
      </c>
    </row>
    <row r="11" spans="1:13" ht="14.25">
      <c r="A11" s="1765" t="s">
        <v>56</v>
      </c>
      <c r="B11" s="1772">
        <v>8130</v>
      </c>
      <c r="C11" s="1772">
        <v>12190</v>
      </c>
      <c r="D11" s="1772">
        <v>10160</v>
      </c>
      <c r="E11" s="1772">
        <v>8060</v>
      </c>
      <c r="F11" s="1772">
        <v>12080</v>
      </c>
      <c r="G11" s="1772">
        <v>10070</v>
      </c>
      <c r="H11" s="1772">
        <v>8010</v>
      </c>
      <c r="I11" s="1772">
        <v>12010</v>
      </c>
      <c r="J11" s="1772">
        <v>10010</v>
      </c>
      <c r="K11" s="1772">
        <v>1490</v>
      </c>
      <c r="L11" s="1773">
        <v>2250</v>
      </c>
      <c r="M11" s="1772">
        <v>1870</v>
      </c>
    </row>
    <row r="12" spans="1:13" ht="14.25">
      <c r="A12" s="1765" t="s">
        <v>526</v>
      </c>
      <c r="B12" s="1772">
        <v>5940</v>
      </c>
      <c r="C12" s="1772">
        <v>8900</v>
      </c>
      <c r="D12" s="1772">
        <v>7420</v>
      </c>
      <c r="E12" s="1772">
        <v>5880</v>
      </c>
      <c r="F12" s="1772">
        <v>8820</v>
      </c>
      <c r="G12" s="1772">
        <v>7350</v>
      </c>
      <c r="H12" s="1772">
        <v>5840</v>
      </c>
      <c r="I12" s="1772">
        <v>8760</v>
      </c>
      <c r="J12" s="1772">
        <v>7300</v>
      </c>
      <c r="K12" s="1772">
        <v>1060</v>
      </c>
      <c r="L12" s="1773">
        <v>1600</v>
      </c>
      <c r="M12" s="1772">
        <v>1330</v>
      </c>
    </row>
    <row r="13" spans="1:13" ht="14.25">
      <c r="A13" s="1765" t="s">
        <v>528</v>
      </c>
      <c r="B13" s="1772">
        <v>3970</v>
      </c>
      <c r="C13" s="1772">
        <v>6330</v>
      </c>
      <c r="D13" s="1772">
        <v>5150</v>
      </c>
      <c r="E13" s="1772">
        <v>3920</v>
      </c>
      <c r="F13" s="1772">
        <v>6260</v>
      </c>
      <c r="G13" s="1772">
        <v>5090</v>
      </c>
      <c r="H13" s="1772">
        <v>3890</v>
      </c>
      <c r="I13" s="1772">
        <v>6210</v>
      </c>
      <c r="J13" s="1772">
        <v>5050</v>
      </c>
      <c r="K13" s="1772">
        <v>780</v>
      </c>
      <c r="L13" s="1773">
        <v>1160</v>
      </c>
      <c r="M13" s="1772">
        <v>970</v>
      </c>
    </row>
    <row r="14" spans="1:13" ht="14.25">
      <c r="A14" s="1765" t="s">
        <v>530</v>
      </c>
      <c r="B14" s="1772">
        <v>2680</v>
      </c>
      <c r="C14" s="1772">
        <v>4280</v>
      </c>
      <c r="D14" s="1772">
        <v>3480</v>
      </c>
      <c r="E14" s="1772">
        <v>2640</v>
      </c>
      <c r="F14" s="1772">
        <v>4220</v>
      </c>
      <c r="G14" s="1772">
        <v>3430</v>
      </c>
      <c r="H14" s="1772">
        <v>2620</v>
      </c>
      <c r="I14" s="1772">
        <v>4180</v>
      </c>
      <c r="J14" s="1772">
        <v>3400</v>
      </c>
      <c r="K14" s="1772">
        <v>580</v>
      </c>
      <c r="L14" s="1773">
        <v>880</v>
      </c>
      <c r="M14" s="1772">
        <v>730</v>
      </c>
    </row>
    <row r="15" spans="1:13" ht="14.25">
      <c r="A15" s="1765" t="s">
        <v>534</v>
      </c>
      <c r="B15" s="1772">
        <v>1700</v>
      </c>
      <c r="C15" s="1772">
        <v>2840</v>
      </c>
      <c r="D15" s="1772">
        <v>2270</v>
      </c>
      <c r="E15" s="1772">
        <v>1670</v>
      </c>
      <c r="F15" s="1772">
        <v>2790</v>
      </c>
      <c r="G15" s="1772">
        <v>2230</v>
      </c>
      <c r="H15" s="1772">
        <v>1650</v>
      </c>
      <c r="I15" s="1772">
        <v>2750</v>
      </c>
      <c r="J15" s="1772">
        <v>2200</v>
      </c>
      <c r="K15" s="1772">
        <v>450</v>
      </c>
      <c r="L15" s="1773">
        <v>670</v>
      </c>
      <c r="M15" s="1772">
        <v>560</v>
      </c>
    </row>
    <row r="16" spans="1:13" ht="14.25">
      <c r="A16" s="1765" t="s">
        <v>814</v>
      </c>
      <c r="B16" s="1772">
        <v>1070</v>
      </c>
      <c r="C16" s="1772">
        <v>1790</v>
      </c>
      <c r="D16" s="1772">
        <v>1430</v>
      </c>
      <c r="E16" s="1772">
        <v>1050</v>
      </c>
      <c r="F16" s="1772">
        <v>1750</v>
      </c>
      <c r="G16" s="1772">
        <v>1400</v>
      </c>
      <c r="H16" s="1772">
        <v>1030</v>
      </c>
      <c r="I16" s="1772">
        <v>1730</v>
      </c>
      <c r="J16" s="1772">
        <v>1380</v>
      </c>
      <c r="K16" s="1772">
        <v>350</v>
      </c>
      <c r="L16" s="1773">
        <v>530</v>
      </c>
      <c r="M16" s="1772">
        <v>440</v>
      </c>
    </row>
    <row r="17" spans="1:13" ht="14.25">
      <c r="A17" s="1765" t="s">
        <v>815</v>
      </c>
      <c r="B17" s="1772">
        <v>680</v>
      </c>
      <c r="C17" s="1772">
        <v>1120</v>
      </c>
      <c r="D17" s="1772">
        <v>900</v>
      </c>
      <c r="E17" s="1772">
        <v>650</v>
      </c>
      <c r="F17" s="1772">
        <v>1090</v>
      </c>
      <c r="G17" s="1772">
        <v>870</v>
      </c>
      <c r="H17" s="1772">
        <v>630</v>
      </c>
      <c r="I17" s="1772">
        <v>1070</v>
      </c>
      <c r="J17" s="1772">
        <v>850</v>
      </c>
      <c r="K17" s="1772">
        <v>280</v>
      </c>
      <c r="L17" s="1773">
        <v>420</v>
      </c>
      <c r="M17" s="1772">
        <v>350</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0"/>
  <sheetViews>
    <sheetView workbookViewId="0">
      <selection activeCell="G59" sqref="G59"/>
    </sheetView>
  </sheetViews>
  <sheetFormatPr defaultRowHeight="13.5"/>
  <sheetData>
    <row r="1" spans="1:19">
      <c r="A1" s="3065"/>
      <c r="K1" s="2980" t="s">
        <v>3865</v>
      </c>
    </row>
    <row r="14" spans="1:19">
      <c r="K14" s="3067" t="s">
        <v>3866</v>
      </c>
      <c r="L14" s="3067" t="s">
        <v>3876</v>
      </c>
      <c r="M14" s="3067"/>
      <c r="N14" s="3067"/>
      <c r="O14" s="3067"/>
      <c r="P14" s="3067"/>
      <c r="Q14" s="3067"/>
      <c r="R14" s="3067"/>
      <c r="S14" s="3067"/>
    </row>
    <row r="15" spans="1:19">
      <c r="K15" s="3067" t="s">
        <v>3867</v>
      </c>
      <c r="L15" s="3067" t="s">
        <v>3877</v>
      </c>
      <c r="M15" s="3067"/>
      <c r="N15" s="3067"/>
      <c r="O15" s="3068" t="s">
        <v>3868</v>
      </c>
      <c r="P15" s="3067"/>
      <c r="Q15" s="3067"/>
      <c r="R15" s="3067"/>
      <c r="S15" s="3067"/>
    </row>
    <row r="17" spans="3:18">
      <c r="K17" s="2980" t="s">
        <v>3869</v>
      </c>
    </row>
    <row r="30" spans="3:18">
      <c r="K30" s="3067" t="s">
        <v>3870</v>
      </c>
      <c r="L30" s="3067"/>
      <c r="M30" s="3067"/>
      <c r="N30" s="3067"/>
      <c r="O30" s="3067"/>
      <c r="P30" s="3067" t="s">
        <v>3878</v>
      </c>
      <c r="Q30" s="3067"/>
      <c r="R30" s="3067"/>
    </row>
    <row r="31" spans="3:18">
      <c r="C31" s="2980" t="s">
        <v>3873</v>
      </c>
      <c r="K31" s="3067" t="s">
        <v>3871</v>
      </c>
      <c r="L31" s="3067"/>
      <c r="M31" s="3067"/>
      <c r="N31" s="3067"/>
      <c r="O31" s="3067"/>
      <c r="P31" s="3067"/>
      <c r="Q31" s="3067"/>
      <c r="R31" s="3067"/>
    </row>
    <row r="33" spans="11:15">
      <c r="K33" s="2980" t="s">
        <v>3872</v>
      </c>
    </row>
    <row r="45" spans="11:15">
      <c r="K45" s="3067" t="s">
        <v>3879</v>
      </c>
      <c r="L45" s="3067"/>
      <c r="M45" s="3067"/>
      <c r="N45" s="3067"/>
      <c r="O45" s="3067"/>
    </row>
    <row r="47" spans="11:15">
      <c r="K47" s="3066"/>
    </row>
    <row r="49" spans="3:8">
      <c r="C49" s="3067" t="s">
        <v>3875</v>
      </c>
      <c r="D49" s="3067">
        <v>5200</v>
      </c>
      <c r="E49" s="3067"/>
      <c r="F49" s="3067"/>
      <c r="G49" s="3067"/>
      <c r="H49" s="3067"/>
    </row>
    <row r="50" spans="3:8">
      <c r="C50" s="3067" t="s">
        <v>3874</v>
      </c>
      <c r="D50" s="3067" t="s">
        <v>3880</v>
      </c>
      <c r="E50" s="3067"/>
      <c r="F50" s="3067"/>
      <c r="G50" s="3067"/>
      <c r="H50" s="3067"/>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32" customWidth="1"/>
    <col min="2" max="9" width="12.125" style="1932" customWidth="1"/>
    <col min="10" max="16384" width="9" style="1932"/>
  </cols>
  <sheetData>
    <row r="1" spans="1:9" ht="18.75" thickBot="1">
      <c r="A1" s="3089" t="str">
        <f>IF(项目基本情况!B9="房地产市场价值","估价结果一览表","结果表-2")</f>
        <v>结果表-2</v>
      </c>
      <c r="B1" s="3089"/>
      <c r="C1" s="3089"/>
      <c r="D1" s="3089"/>
      <c r="E1" s="3089"/>
      <c r="F1" s="3089"/>
      <c r="G1" s="3089"/>
      <c r="H1" s="3089"/>
      <c r="I1" s="3089"/>
    </row>
    <row r="2" spans="1:9" ht="30" customHeight="1" thickTop="1">
      <c r="A2" s="3090" t="s">
        <v>1641</v>
      </c>
      <c r="B2" s="3090" t="s">
        <v>1642</v>
      </c>
      <c r="C2" s="3090" t="s">
        <v>1643</v>
      </c>
      <c r="D2" s="3090" t="str">
        <f>结果表!D116</f>
        <v>出让国有建设用地使用权价值</v>
      </c>
      <c r="E2" s="3090"/>
      <c r="F2" s="3090" t="str">
        <f>结果表!F116</f>
        <v>在建建筑物价值</v>
      </c>
      <c r="G2" s="3090"/>
      <c r="H2" s="3090" t="str">
        <f>IF(项目基本情况!B9="房地产市场价值","房地产市场价值","房地产价值")</f>
        <v>房地产价值</v>
      </c>
      <c r="I2" s="3090"/>
    </row>
    <row r="3" spans="1:9" ht="15">
      <c r="A3" s="3091"/>
      <c r="B3" s="3091"/>
      <c r="C3" s="3091"/>
      <c r="D3" s="1032" t="s">
        <v>1638</v>
      </c>
      <c r="E3" s="1032" t="s">
        <v>1644</v>
      </c>
      <c r="F3" s="1032" t="s">
        <v>1638</v>
      </c>
      <c r="G3" s="1032" t="s">
        <v>1639</v>
      </c>
      <c r="H3" s="1032" t="s">
        <v>1638</v>
      </c>
      <c r="I3" s="1032" t="s">
        <v>1639</v>
      </c>
    </row>
    <row r="4" spans="1:9" ht="30">
      <c r="A4" s="1960" t="str">
        <f>项目基本情况!S2</f>
        <v>出让国有建设用地使用权及在建建筑物房地产</v>
      </c>
      <c r="B4" s="1032">
        <f>项目基本情况!C17</f>
        <v>20428.607999999997</v>
      </c>
      <c r="C4" s="1032">
        <f>项目基本情况!C18</f>
        <v>8573.39</v>
      </c>
      <c r="D4" s="1032">
        <f ca="1">结果表!D118</f>
        <v>1209</v>
      </c>
      <c r="E4" s="1032">
        <f ca="1">结果表!E118</f>
        <v>592</v>
      </c>
      <c r="F4" s="1032">
        <f ca="1">结果表!F118</f>
        <v>14494</v>
      </c>
      <c r="G4" s="1032">
        <f ca="1">结果表!G118</f>
        <v>7095</v>
      </c>
      <c r="H4" s="1032">
        <f ca="1">结果表!H118</f>
        <v>15703</v>
      </c>
      <c r="I4" s="1032">
        <f ca="1">结果表!I118</f>
        <v>7687</v>
      </c>
    </row>
    <row r="5" spans="1:9" ht="30" customHeight="1">
      <c r="A5" s="3091" t="s">
        <v>1640</v>
      </c>
      <c r="B5" s="3091"/>
      <c r="C5" s="3091"/>
      <c r="D5" s="3092" t="str">
        <f ca="1">结果表!D119</f>
        <v>壹仟贰佰零玖万元整</v>
      </c>
      <c r="E5" s="3092"/>
      <c r="F5" s="3092" t="str">
        <f ca="1">结果表!F119</f>
        <v>壹亿肆仟肆佰玖拾肆万元整</v>
      </c>
      <c r="G5" s="3092"/>
      <c r="H5" s="3092" t="str">
        <f ca="1">结果表!H119</f>
        <v>壹亿伍仟柒佰零叁万元整</v>
      </c>
      <c r="I5" s="3092"/>
    </row>
    <row r="6" spans="1:9" ht="15.75">
      <c r="A6" s="3093" t="str">
        <f>结果表!A120</f>
        <v>估价师知悉的法定优先受偿款</v>
      </c>
      <c r="B6" s="3093"/>
      <c r="C6" s="3093"/>
      <c r="D6" s="3093">
        <f>结果表!D120</f>
        <v>0</v>
      </c>
      <c r="E6" s="3093"/>
      <c r="F6" s="3093"/>
      <c r="G6" s="3093"/>
      <c r="H6" s="3093"/>
      <c r="I6" s="3093"/>
    </row>
    <row r="7" spans="1:9" ht="15">
      <c r="A7" s="3091" t="s">
        <v>1640</v>
      </c>
      <c r="B7" s="3091"/>
      <c r="C7" s="3091"/>
      <c r="D7" s="3094" t="str">
        <f>结果表!D121</f>
        <v>零元整</v>
      </c>
      <c r="E7" s="3095"/>
      <c r="F7" s="3095"/>
      <c r="G7" s="3095"/>
      <c r="H7" s="3095"/>
      <c r="I7" s="3096"/>
    </row>
    <row r="8" spans="1:9" ht="15.75">
      <c r="A8" s="3093" t="str">
        <f>结果表!A122</f>
        <v>房地产抵押价值</v>
      </c>
      <c r="B8" s="3093"/>
      <c r="C8" s="3093"/>
      <c r="D8" s="3093">
        <f ca="1">结果表!D122</f>
        <v>15703</v>
      </c>
      <c r="E8" s="3093"/>
      <c r="F8" s="3093"/>
      <c r="G8" s="3093"/>
      <c r="H8" s="3093"/>
      <c r="I8" s="3093"/>
    </row>
    <row r="9" spans="1:9" ht="15">
      <c r="A9" s="3091" t="s">
        <v>1640</v>
      </c>
      <c r="B9" s="3091"/>
      <c r="C9" s="3091"/>
      <c r="D9" s="3092" t="str">
        <f ca="1">结果表!D123</f>
        <v>壹亿伍仟柒佰零叁万元整</v>
      </c>
      <c r="E9" s="3092"/>
      <c r="F9" s="3092"/>
      <c r="G9" s="3092"/>
      <c r="H9" s="3092"/>
      <c r="I9" s="3092"/>
    </row>
    <row r="10" spans="1:9" ht="15.75">
      <c r="A10" s="3093" t="str">
        <f>结果表!A124</f>
        <v/>
      </c>
      <c r="B10" s="3093"/>
      <c r="C10" s="3093"/>
      <c r="D10" s="3093" t="str">
        <f>结果表!D124</f>
        <v>——</v>
      </c>
      <c r="E10" s="3093"/>
      <c r="F10" s="3093"/>
      <c r="G10" s="3093"/>
      <c r="H10" s="3093"/>
      <c r="I10" s="3093"/>
    </row>
    <row r="11" spans="1:9" ht="15">
      <c r="A11" s="3091" t="s">
        <v>1640</v>
      </c>
      <c r="B11" s="3091"/>
      <c r="C11" s="3091"/>
      <c r="D11" s="3092" t="e">
        <f>结果表!D125</f>
        <v>#VALUE!</v>
      </c>
      <c r="E11" s="3092"/>
      <c r="F11" s="3092"/>
      <c r="G11" s="3092"/>
      <c r="H11" s="3092"/>
      <c r="I11" s="3092"/>
    </row>
    <row r="12" spans="1:9" ht="15.75">
      <c r="A12" s="3093" t="str">
        <f>结果表!A126</f>
        <v/>
      </c>
      <c r="B12" s="3093"/>
      <c r="C12" s="3093"/>
      <c r="D12" s="3093" t="str">
        <f>结果表!D126</f>
        <v>——</v>
      </c>
      <c r="E12" s="3093"/>
      <c r="F12" s="3093"/>
      <c r="G12" s="3093"/>
      <c r="H12" s="3093"/>
      <c r="I12" s="3093"/>
    </row>
    <row r="13" spans="1:9" ht="15.75" thickBot="1">
      <c r="A13" s="3097" t="s">
        <v>1640</v>
      </c>
      <c r="B13" s="3097"/>
      <c r="C13" s="3097"/>
      <c r="D13" s="3098" t="e">
        <f>结果表!D127</f>
        <v>#VALUE!</v>
      </c>
      <c r="E13" s="3098"/>
      <c r="F13" s="3098"/>
      <c r="G13" s="3098"/>
      <c r="H13" s="3098"/>
      <c r="I13" s="3098"/>
    </row>
    <row r="14" spans="1:9" ht="15" thickTop="1">
      <c r="A14" s="3099" t="s">
        <v>1645</v>
      </c>
      <c r="B14" s="3099"/>
      <c r="C14" s="3099"/>
      <c r="D14" s="3099"/>
      <c r="E14" s="3099"/>
      <c r="F14" s="3099"/>
      <c r="G14" s="3099"/>
      <c r="H14" s="3099"/>
      <c r="I14" s="3099"/>
    </row>
    <row r="16" spans="1:9" ht="18.75">
      <c r="A16" s="1961" t="s">
        <v>1628</v>
      </c>
      <c r="B16" s="1944"/>
      <c r="C16" s="1944"/>
      <c r="D16" s="1944"/>
      <c r="E16" s="1944"/>
      <c r="F16" s="1944"/>
      <c r="G16" s="1944"/>
      <c r="H16" s="1944"/>
      <c r="I16" s="1944"/>
    </row>
    <row r="17" spans="1:9">
      <c r="A17" s="1944"/>
      <c r="B17" s="1944"/>
      <c r="C17" s="1944"/>
      <c r="D17" s="1944"/>
      <c r="E17" s="1944"/>
      <c r="F17" s="1944"/>
      <c r="G17" s="1944"/>
      <c r="H17" s="1944"/>
      <c r="I17" s="1944"/>
    </row>
    <row r="18" spans="1:9">
      <c r="A18" s="1944"/>
      <c r="B18" s="1944"/>
      <c r="C18" s="1944"/>
      <c r="D18" s="1944"/>
      <c r="E18" s="1944"/>
      <c r="F18" s="1944"/>
      <c r="G18" s="1944"/>
      <c r="H18" s="1944"/>
      <c r="I18" s="1944"/>
    </row>
    <row r="19" spans="1:9">
      <c r="A19" s="1944"/>
      <c r="B19" s="1944"/>
      <c r="C19" s="1944"/>
      <c r="D19" s="1944"/>
      <c r="E19" s="1944"/>
      <c r="F19" s="1944"/>
      <c r="G19" s="1944"/>
      <c r="H19" s="1944"/>
      <c r="I19" s="1944"/>
    </row>
    <row r="20" spans="1:9">
      <c r="A20" s="1944"/>
      <c r="B20" s="1944"/>
      <c r="C20" s="1944"/>
      <c r="D20" s="1944"/>
      <c r="E20" s="1944"/>
      <c r="F20" s="1944"/>
      <c r="G20" s="1944"/>
      <c r="H20" s="1944"/>
      <c r="I20" s="1944"/>
    </row>
    <row r="21" spans="1:9">
      <c r="A21" s="1944"/>
      <c r="B21" s="1944"/>
      <c r="C21" s="1944"/>
      <c r="D21" s="1944"/>
      <c r="E21" s="1944"/>
      <c r="F21" s="1944"/>
      <c r="G21" s="1944"/>
      <c r="H21" s="1944"/>
      <c r="I21" s="1944"/>
    </row>
    <row r="22" spans="1:9">
      <c r="A22" s="1944"/>
      <c r="B22" s="1944"/>
      <c r="C22" s="1944"/>
      <c r="D22" s="1944"/>
      <c r="E22" s="1944"/>
      <c r="F22" s="1944"/>
      <c r="G22" s="1944"/>
      <c r="H22" s="1944"/>
      <c r="I22" s="194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32" customWidth="1"/>
    <col min="2" max="3" width="22.375" style="1932" customWidth="1"/>
    <col min="4" max="4" width="23" style="1932" customWidth="1"/>
    <col min="5" max="16384" width="9" style="1932"/>
  </cols>
  <sheetData>
    <row r="1" spans="1:4" ht="18.75">
      <c r="A1" s="3100" t="s">
        <v>1662</v>
      </c>
      <c r="B1" s="3100"/>
      <c r="C1" s="3100"/>
      <c r="D1" s="3100"/>
    </row>
    <row r="2" spans="1:4" ht="18">
      <c r="A2" s="3101" t="s">
        <v>1646</v>
      </c>
      <c r="B2" s="3101"/>
      <c r="C2" s="3101"/>
      <c r="D2" s="3101"/>
    </row>
    <row r="3" spans="1:4" ht="18.75">
      <c r="A3" s="1964" t="s">
        <v>1647</v>
      </c>
      <c r="B3" s="1964" t="s">
        <v>1648</v>
      </c>
      <c r="C3" s="1964" t="s">
        <v>1649</v>
      </c>
      <c r="D3" s="1964" t="s">
        <v>1650</v>
      </c>
    </row>
    <row r="4" spans="1:4" ht="56.25" customHeight="1">
      <c r="A4" s="1965">
        <f>项目基本情况!B4</f>
        <v>0</v>
      </c>
      <c r="B4" s="1966">
        <f>项目基本情况!C4</f>
        <v>0</v>
      </c>
      <c r="C4" s="1967"/>
      <c r="D4" s="1968" t="s">
        <v>1651</v>
      </c>
    </row>
    <row r="5" spans="1:4" ht="56.25" customHeight="1">
      <c r="A5" s="1965">
        <f>项目基本情况!D4</f>
        <v>0</v>
      </c>
      <c r="B5" s="1966">
        <f>项目基本情况!E4</f>
        <v>0</v>
      </c>
      <c r="C5" s="1969"/>
      <c r="D5" s="1968" t="s">
        <v>1651</v>
      </c>
    </row>
    <row r="6" spans="1:4" ht="18">
      <c r="A6" s="3101" t="s">
        <v>1652</v>
      </c>
      <c r="B6" s="3101"/>
      <c r="C6" s="3101"/>
      <c r="D6" s="3101"/>
    </row>
    <row r="7" spans="1:4" ht="18.75">
      <c r="A7" s="1964" t="s">
        <v>1647</v>
      </c>
      <c r="B7" s="1966" t="s">
        <v>1653</v>
      </c>
      <c r="C7" s="1964" t="s">
        <v>1649</v>
      </c>
      <c r="D7" s="1964" t="s">
        <v>1650</v>
      </c>
    </row>
    <row r="8" spans="1:4" ht="56.25" customHeight="1">
      <c r="A8" s="1970" t="s">
        <v>869</v>
      </c>
      <c r="B8" s="1970" t="s">
        <v>1</v>
      </c>
      <c r="C8" s="1967"/>
      <c r="D8" s="1968" t="s">
        <v>1651</v>
      </c>
    </row>
    <row r="9" spans="1:4">
      <c r="A9" s="719"/>
      <c r="B9" s="719"/>
      <c r="C9" s="719"/>
      <c r="D9" s="719"/>
    </row>
    <row r="10" spans="1:4" ht="18.75">
      <c r="A10" s="1971" t="s">
        <v>1654</v>
      </c>
      <c r="B10" s="719"/>
      <c r="C10" s="719"/>
      <c r="D10" s="719"/>
    </row>
    <row r="11" spans="1:4" ht="30" customHeight="1">
      <c r="A11" s="3102" t="s">
        <v>1655</v>
      </c>
      <c r="B11" s="3103"/>
      <c r="C11" s="3103"/>
      <c r="D11" s="3103"/>
    </row>
    <row r="12" spans="1:4" ht="15.75">
      <c r="A12" s="31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04"/>
      <c r="C12" s="3104"/>
      <c r="D12" s="3104"/>
    </row>
    <row r="13" spans="1:4" ht="30" customHeight="1">
      <c r="A13" s="3103" t="str">
        <f>IF(项目基本情况!B8="抵押","3.抵押双方在办理抵押登记手续时，应使用本公司出具的正式《房地产评估报告》，特提醒报告使用者注意。","——")</f>
        <v>——</v>
      </c>
      <c r="B13" s="3104"/>
      <c r="C13" s="3104"/>
      <c r="D13" s="3104"/>
    </row>
    <row r="14" spans="1:4" ht="15.75" customHeight="1">
      <c r="A14" s="3103" t="str">
        <f>IF(项目基本情况!B8="抵押","4.本次评估估价师所知悉的法定优先受偿款情况说明如下：","——")</f>
        <v>——</v>
      </c>
      <c r="B14" s="3104"/>
      <c r="C14" s="3104"/>
      <c r="D14" s="3104"/>
    </row>
    <row r="15" spans="1:4" ht="42" customHeight="1">
      <c r="A15" s="3103" t="str">
        <f>IF(项目基本情况!B8="抵押","（1）"&amp;CONCATENATE(项目基本情况!L20,项目基本情况!L21,项目基本情况!L22),"——")</f>
        <v>——</v>
      </c>
      <c r="B15" s="3103"/>
      <c r="C15" s="3103"/>
      <c r="D15" s="3103"/>
    </row>
    <row r="16" spans="1:4" ht="30" customHeight="1">
      <c r="A16" s="3106" t="s">
        <v>1656</v>
      </c>
      <c r="B16" s="3106"/>
      <c r="C16" s="3106"/>
      <c r="D16" s="3106"/>
    </row>
    <row r="17" spans="1:4" ht="144" customHeight="1">
      <c r="A17" s="3106" t="s">
        <v>1657</v>
      </c>
      <c r="B17" s="3106"/>
      <c r="C17" s="3106"/>
      <c r="D17" s="3106"/>
    </row>
    <row r="18" spans="1:4" ht="15.75" customHeight="1">
      <c r="A18" s="3103" t="str">
        <f>IF(项目基本情况!B8="抵押",结果表!K120,"——")</f>
        <v>——</v>
      </c>
      <c r="B18" s="3103"/>
      <c r="C18" s="3103"/>
      <c r="D18" s="3103"/>
    </row>
    <row r="19" spans="1:4" ht="46.5" customHeight="1">
      <c r="A19" s="31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03"/>
      <c r="C19" s="3103"/>
      <c r="D19" s="3103"/>
    </row>
    <row r="20" spans="1:4" ht="57.75" customHeight="1">
      <c r="A20" s="31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03"/>
      <c r="C20" s="3103"/>
      <c r="D20" s="3103"/>
    </row>
    <row r="21" spans="1:4" ht="57.75" customHeight="1">
      <c r="A21" s="31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07"/>
      <c r="C21" s="3107"/>
      <c r="D21" s="3107"/>
    </row>
    <row r="22" spans="1:4" ht="18.75" customHeight="1">
      <c r="A22" s="3108" t="s">
        <v>1658</v>
      </c>
      <c r="B22" s="3108"/>
      <c r="C22" s="3108"/>
      <c r="D22" s="3108"/>
    </row>
    <row r="23" spans="1:4">
      <c r="A23" s="1972"/>
      <c r="B23" s="1944"/>
      <c r="C23" s="1944"/>
      <c r="D23" s="1944"/>
    </row>
    <row r="24" spans="1:4">
      <c r="A24" s="1972"/>
      <c r="B24" s="1944"/>
      <c r="C24" s="1944"/>
      <c r="D24" s="1944"/>
    </row>
    <row r="25" spans="1:4" ht="18.75">
      <c r="A25" s="1973" t="s">
        <v>1659</v>
      </c>
    </row>
    <row r="26" spans="1:4" ht="18">
      <c r="A26" s="1942"/>
    </row>
    <row r="27" spans="1:4" ht="18.75">
      <c r="A27" s="1942" t="s">
        <v>1660</v>
      </c>
    </row>
    <row r="30" spans="1:4" ht="18.75">
      <c r="D30" s="1973" t="s">
        <v>1661</v>
      </c>
    </row>
    <row r="31" spans="1:4" ht="13.5" customHeight="1">
      <c r="C31" s="3105">
        <v>42551</v>
      </c>
      <c r="D31" s="310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0" customWidth="1"/>
    <col min="3" max="10" width="12.5" style="1930" customWidth="1"/>
    <col min="11" max="16384" width="9" style="1930"/>
  </cols>
  <sheetData>
    <row r="1" spans="1:10" ht="18.75">
      <c r="A1" s="1963" t="s">
        <v>870</v>
      </c>
      <c r="B1" s="1974"/>
      <c r="C1" s="1974"/>
      <c r="D1" s="1974"/>
      <c r="E1" s="1974"/>
      <c r="F1" s="1974"/>
      <c r="G1" s="1974"/>
      <c r="H1" s="1974"/>
      <c r="I1" s="1974"/>
      <c r="J1" s="1974"/>
    </row>
    <row r="2" spans="1:10" ht="18.75">
      <c r="A2" s="1975"/>
      <c r="B2" s="1974"/>
      <c r="C2" s="1974"/>
      <c r="D2" s="1974"/>
      <c r="E2" s="1974"/>
      <c r="F2" s="1974"/>
      <c r="G2" s="1974"/>
      <c r="H2" s="1974"/>
      <c r="I2" s="1974"/>
      <c r="J2" s="1974"/>
    </row>
    <row r="3" spans="1:10">
      <c r="A3" s="1974"/>
      <c r="B3" s="1974"/>
      <c r="C3" s="1974"/>
      <c r="D3" s="1974"/>
      <c r="E3" s="1974"/>
      <c r="F3" s="1974"/>
      <c r="G3" s="1974"/>
      <c r="H3" s="1974"/>
      <c r="I3" s="1974"/>
      <c r="J3" s="1974"/>
    </row>
    <row r="4" spans="1:10">
      <c r="A4" s="1974"/>
      <c r="B4" s="1974"/>
      <c r="C4" s="1974"/>
      <c r="D4" s="1974"/>
      <c r="E4" s="1974"/>
      <c r="F4" s="1974"/>
      <c r="G4" s="1974"/>
      <c r="H4" s="1974"/>
      <c r="I4" s="1974"/>
      <c r="J4" s="1974"/>
    </row>
    <row r="5" spans="1:10">
      <c r="A5" s="1974"/>
      <c r="B5" s="1974"/>
      <c r="C5" s="1974"/>
      <c r="D5" s="1974"/>
      <c r="E5" s="1974"/>
      <c r="F5" s="1974"/>
      <c r="G5" s="1974"/>
      <c r="H5" s="1974"/>
      <c r="I5" s="1974"/>
      <c r="J5" s="1974"/>
    </row>
    <row r="6" spans="1:10">
      <c r="A6" s="1974"/>
      <c r="B6" s="1974"/>
      <c r="C6" s="1974"/>
      <c r="D6" s="1974"/>
      <c r="E6" s="1974"/>
      <c r="F6" s="1974"/>
      <c r="G6" s="1974"/>
      <c r="H6" s="1974"/>
      <c r="I6" s="1974"/>
      <c r="J6" s="1974"/>
    </row>
    <row r="7" spans="1:10">
      <c r="A7" s="1974"/>
      <c r="B7" s="1974"/>
      <c r="C7" s="1974"/>
      <c r="D7" s="1974"/>
      <c r="E7" s="1974"/>
      <c r="F7" s="1974"/>
      <c r="G7" s="1974"/>
      <c r="H7" s="1974"/>
      <c r="I7" s="1974"/>
      <c r="J7" s="1974"/>
    </row>
    <row r="8" spans="1:10">
      <c r="A8" s="1974"/>
      <c r="B8" s="1974"/>
      <c r="C8" s="1974"/>
      <c r="D8" s="1974"/>
      <c r="E8" s="1974"/>
      <c r="F8" s="1974"/>
      <c r="G8" s="1974"/>
      <c r="H8" s="1974"/>
      <c r="I8" s="1974"/>
      <c r="J8" s="1974"/>
    </row>
    <row r="9" spans="1:10">
      <c r="A9" s="1974"/>
      <c r="B9" s="1974"/>
      <c r="C9" s="1974"/>
      <c r="D9" s="1974"/>
      <c r="E9" s="1974"/>
      <c r="F9" s="1974"/>
      <c r="G9" s="1974"/>
      <c r="H9" s="1974"/>
      <c r="I9" s="1974"/>
      <c r="J9" s="1974"/>
    </row>
    <row r="10" spans="1:10">
      <c r="A10" s="1974"/>
      <c r="B10" s="1974"/>
      <c r="C10" s="1974"/>
      <c r="D10" s="1974"/>
      <c r="E10" s="1974"/>
      <c r="F10" s="1974"/>
      <c r="G10" s="1974"/>
      <c r="H10" s="1974"/>
      <c r="I10" s="1974"/>
      <c r="J10" s="1974"/>
    </row>
    <row r="11" spans="1:10">
      <c r="A11" s="1974"/>
      <c r="B11" s="1974"/>
      <c r="C11" s="1974"/>
      <c r="D11" s="1974"/>
      <c r="E11" s="1974"/>
      <c r="F11" s="1974"/>
      <c r="G11" s="1974"/>
      <c r="H11" s="1974"/>
      <c r="I11" s="1974"/>
      <c r="J11" s="1974"/>
    </row>
    <row r="12" spans="1:10">
      <c r="A12" s="1974"/>
      <c r="B12" s="1974"/>
      <c r="C12" s="1974"/>
      <c r="D12" s="1974"/>
      <c r="E12" s="1974"/>
      <c r="F12" s="1974"/>
      <c r="G12" s="1974"/>
      <c r="H12" s="1974"/>
      <c r="I12" s="1974"/>
      <c r="J12" s="1974"/>
    </row>
    <row r="13" spans="1:10">
      <c r="A13" s="1974"/>
      <c r="B13" s="1974"/>
      <c r="C13" s="1974"/>
      <c r="D13" s="1974"/>
      <c r="E13" s="1974"/>
      <c r="F13" s="1974"/>
      <c r="G13" s="1974"/>
      <c r="H13" s="1974"/>
      <c r="I13" s="1974"/>
      <c r="J13" s="1974"/>
    </row>
    <row r="14" spans="1:10">
      <c r="A14" s="1974"/>
      <c r="B14" s="1974"/>
      <c r="C14" s="1974"/>
      <c r="D14" s="1974"/>
      <c r="E14" s="1974"/>
      <c r="F14" s="1974"/>
      <c r="G14" s="1974"/>
      <c r="H14" s="1974"/>
      <c r="I14" s="1974"/>
      <c r="J14" s="1974"/>
    </row>
    <row r="15" spans="1:10">
      <c r="A15" s="1974"/>
      <c r="B15" s="1974"/>
      <c r="C15" s="1974"/>
      <c r="D15" s="1974"/>
      <c r="E15" s="1974"/>
      <c r="F15" s="1974"/>
      <c r="G15" s="1974"/>
      <c r="H15" s="1974"/>
      <c r="I15" s="1974"/>
      <c r="J15" s="1974"/>
    </row>
    <row r="16" spans="1:10">
      <c r="A16" s="1974"/>
      <c r="B16" s="1974"/>
      <c r="C16" s="1974"/>
      <c r="D16" s="1974"/>
      <c r="E16" s="1974"/>
      <c r="F16" s="1974"/>
      <c r="G16" s="1974"/>
      <c r="H16" s="1974"/>
      <c r="I16" s="1974"/>
      <c r="J16" s="1974"/>
    </row>
    <row r="17" spans="1:10">
      <c r="A17" s="1974"/>
      <c r="B17" s="1974"/>
      <c r="C17" s="1974"/>
      <c r="D17" s="1974"/>
      <c r="E17" s="1974"/>
      <c r="F17" s="1974"/>
      <c r="G17" s="1974"/>
      <c r="H17" s="1974"/>
      <c r="I17" s="1974"/>
      <c r="J17" s="1974"/>
    </row>
    <row r="18" spans="1:10">
      <c r="A18" s="1974"/>
      <c r="B18" s="1974"/>
      <c r="C18" s="1974"/>
      <c r="D18" s="1974"/>
      <c r="E18" s="1974"/>
      <c r="F18" s="1974"/>
      <c r="G18" s="1974"/>
      <c r="H18" s="1974"/>
      <c r="I18" s="1974"/>
      <c r="J18" s="1974"/>
    </row>
    <row r="19" spans="1:10">
      <c r="A19" s="1974"/>
      <c r="B19" s="1974"/>
      <c r="C19" s="1974"/>
      <c r="D19" s="1974"/>
      <c r="E19" s="1974"/>
      <c r="F19" s="1974"/>
      <c r="G19" s="1974"/>
      <c r="H19" s="1974"/>
      <c r="I19" s="1974"/>
      <c r="J19" s="1974"/>
    </row>
    <row r="20" spans="1:10">
      <c r="A20" s="1974"/>
      <c r="B20" s="1974"/>
      <c r="C20" s="1974"/>
      <c r="D20" s="1974"/>
      <c r="E20" s="1974"/>
      <c r="F20" s="1974"/>
      <c r="G20" s="1974"/>
      <c r="H20" s="1974"/>
      <c r="I20" s="1974"/>
      <c r="J20" s="1974"/>
    </row>
    <row r="21" spans="1:10">
      <c r="A21" s="1974"/>
      <c r="B21" s="1974"/>
      <c r="C21" s="1974"/>
      <c r="D21" s="1974"/>
      <c r="E21" s="1974"/>
      <c r="F21" s="1974"/>
      <c r="G21" s="1974"/>
      <c r="H21" s="1974"/>
      <c r="I21" s="1974"/>
      <c r="J21" s="1974"/>
    </row>
    <row r="22" spans="1:10">
      <c r="A22" s="1974"/>
      <c r="B22" s="1974"/>
      <c r="C22" s="1974"/>
      <c r="D22" s="1974"/>
      <c r="E22" s="1974"/>
      <c r="F22" s="1974"/>
      <c r="G22" s="1974"/>
      <c r="H22" s="1974"/>
      <c r="I22" s="1974"/>
      <c r="J22" s="1974"/>
    </row>
    <row r="23" spans="1:10">
      <c r="A23" s="1974"/>
      <c r="B23" s="1974"/>
      <c r="C23" s="1974"/>
      <c r="D23" s="1974"/>
      <c r="E23" s="1974"/>
      <c r="F23" s="1974"/>
      <c r="G23" s="1974"/>
      <c r="H23" s="1974"/>
      <c r="I23" s="1974"/>
      <c r="J23" s="1974"/>
    </row>
    <row r="24" spans="1:10">
      <c r="A24" s="1974"/>
      <c r="B24" s="1974"/>
      <c r="C24" s="1974"/>
      <c r="D24" s="1974"/>
      <c r="E24" s="1974"/>
      <c r="F24" s="1974"/>
      <c r="G24" s="1974"/>
      <c r="H24" s="1974"/>
      <c r="I24" s="1974"/>
      <c r="J24" s="1974"/>
    </row>
    <row r="25" spans="1:10">
      <c r="A25" s="1974"/>
      <c r="B25" s="1974"/>
      <c r="C25" s="1974"/>
      <c r="D25" s="1974"/>
      <c r="E25" s="1974"/>
      <c r="F25" s="1974"/>
      <c r="G25" s="1974"/>
      <c r="H25" s="1974"/>
      <c r="I25" s="1974"/>
      <c r="J25" s="1974"/>
    </row>
    <row r="26" spans="1:10">
      <c r="A26" s="1974"/>
      <c r="B26" s="1974"/>
      <c r="C26" s="1974"/>
      <c r="D26" s="1974"/>
      <c r="E26" s="1974"/>
      <c r="F26" s="1974"/>
      <c r="G26" s="1974"/>
      <c r="H26" s="1974"/>
      <c r="I26" s="1974"/>
      <c r="J26" s="1974"/>
    </row>
    <row r="27" spans="1:10">
      <c r="A27" s="1974"/>
      <c r="B27" s="1974"/>
      <c r="C27" s="1974"/>
      <c r="D27" s="1974"/>
      <c r="E27" s="1974"/>
      <c r="F27" s="1974"/>
      <c r="G27" s="1974"/>
      <c r="H27" s="1974"/>
      <c r="I27" s="1974"/>
      <c r="J27" s="1974"/>
    </row>
    <row r="28" spans="1:10">
      <c r="A28" s="1974"/>
      <c r="B28" s="1974"/>
      <c r="C28" s="1974"/>
      <c r="D28" s="1974"/>
      <c r="E28" s="1974"/>
      <c r="F28" s="1974"/>
      <c r="G28" s="1974"/>
      <c r="H28" s="1974"/>
      <c r="I28" s="1974"/>
      <c r="J28" s="1974"/>
    </row>
    <row r="29" spans="1:10">
      <c r="A29" s="1974"/>
      <c r="B29" s="1974"/>
      <c r="C29" s="1974"/>
      <c r="D29" s="1974"/>
      <c r="E29" s="1974"/>
      <c r="F29" s="1974"/>
      <c r="G29" s="1974"/>
      <c r="H29" s="1974"/>
      <c r="I29" s="1974"/>
      <c r="J29" s="1974"/>
    </row>
    <row r="30" spans="1:10">
      <c r="A30" s="1974"/>
      <c r="B30" s="1974"/>
      <c r="C30" s="1974"/>
      <c r="D30" s="1974"/>
      <c r="E30" s="1974"/>
      <c r="F30" s="1974"/>
      <c r="G30" s="1974"/>
      <c r="H30" s="1974"/>
      <c r="I30" s="1974"/>
      <c r="J30" s="1974"/>
    </row>
    <row r="31" spans="1:10">
      <c r="A31" s="1974"/>
      <c r="B31" s="1974"/>
      <c r="C31" s="1974"/>
      <c r="D31" s="1974"/>
      <c r="E31" s="1974"/>
      <c r="F31" s="1974"/>
      <c r="G31" s="1974"/>
      <c r="H31" s="1974"/>
      <c r="I31" s="1974"/>
      <c r="J31" s="197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0" customWidth="1"/>
    <col min="2" max="16384" width="14.5" style="1962"/>
  </cols>
  <sheetData>
    <row r="1" spans="1:7" s="1977" customFormat="1" ht="18.75">
      <c r="A1" s="1976" t="s">
        <v>1663</v>
      </c>
    </row>
    <row r="3" spans="1:7">
      <c r="A3" s="1978" t="s">
        <v>82</v>
      </c>
      <c r="B3" s="1962" t="s">
        <v>1664</v>
      </c>
      <c r="G3" s="1979"/>
    </row>
    <row r="4" spans="1:7">
      <c r="G4" s="1979"/>
    </row>
    <row r="5" spans="1:7">
      <c r="A5" s="1981" t="s">
        <v>73</v>
      </c>
      <c r="B5" s="1962" t="s">
        <v>1665</v>
      </c>
      <c r="G5" s="1979"/>
    </row>
    <row r="6" spans="1:7">
      <c r="G6" s="1979"/>
    </row>
    <row r="7" spans="1:7">
      <c r="A7" s="1982" t="s">
        <v>135</v>
      </c>
      <c r="B7" s="1962" t="s">
        <v>1666</v>
      </c>
      <c r="G7" s="1979"/>
    </row>
    <row r="8" spans="1:7">
      <c r="G8" s="1979"/>
    </row>
    <row r="9" spans="1:7">
      <c r="A9" s="1983" t="s">
        <v>74</v>
      </c>
      <c r="B9" s="1962" t="s">
        <v>1667</v>
      </c>
    </row>
    <row r="11" spans="1:7">
      <c r="A11" s="1984" t="s">
        <v>75</v>
      </c>
      <c r="B11" s="1985" t="s">
        <v>72</v>
      </c>
    </row>
    <row r="13" spans="1:7">
      <c r="A13" s="1986" t="s">
        <v>1668</v>
      </c>
    </row>
    <row r="15" spans="1:7" ht="13.5">
      <c r="A15" s="3114" t="s">
        <v>1669</v>
      </c>
      <c r="B15" s="3109" t="s">
        <v>136</v>
      </c>
      <c r="C15" s="3110"/>
    </row>
    <row r="16" spans="1:7" ht="13.5">
      <c r="A16" s="3115"/>
      <c r="B16" s="3109" t="s">
        <v>69</v>
      </c>
      <c r="C16" s="3110"/>
    </row>
    <row r="17" spans="1:3" ht="13.5">
      <c r="A17" s="3115"/>
      <c r="B17" s="3112" t="s">
        <v>1670</v>
      </c>
      <c r="C17" s="1987" t="s">
        <v>1669</v>
      </c>
    </row>
    <row r="18" spans="1:3" ht="13.5">
      <c r="A18" s="3115"/>
      <c r="B18" s="3112"/>
      <c r="C18" s="1987" t="s">
        <v>1671</v>
      </c>
    </row>
    <row r="19" spans="1:3" ht="13.5">
      <c r="A19" s="3115"/>
      <c r="B19" s="3112"/>
      <c r="C19" s="1987" t="s">
        <v>1672</v>
      </c>
    </row>
    <row r="20" spans="1:3" ht="13.5">
      <c r="A20" s="3116"/>
      <c r="B20" s="3111" t="s">
        <v>1673</v>
      </c>
      <c r="C20" s="3110"/>
    </row>
    <row r="21" spans="1:3" ht="13.5">
      <c r="A21" s="1988" t="s">
        <v>1674</v>
      </c>
      <c r="B21" s="1989"/>
      <c r="C21" s="1990"/>
    </row>
    <row r="22" spans="1:3" ht="13.5">
      <c r="A22" s="3113" t="s">
        <v>1675</v>
      </c>
      <c r="B22" s="3111" t="s">
        <v>1676</v>
      </c>
      <c r="C22" s="3110"/>
    </row>
    <row r="23" spans="1:3" ht="13.5">
      <c r="A23" s="3113"/>
      <c r="B23" s="3111" t="s">
        <v>1677</v>
      </c>
      <c r="C23" s="3110"/>
    </row>
    <row r="24" spans="1:3" ht="13.5">
      <c r="A24" s="3113"/>
      <c r="B24" s="3111" t="s">
        <v>1678</v>
      </c>
      <c r="C24" s="3110"/>
    </row>
    <row r="25" spans="1:3" ht="13.5">
      <c r="A25" s="3113"/>
      <c r="B25" s="3112" t="s">
        <v>1679</v>
      </c>
      <c r="C25" s="1987" t="s">
        <v>1680</v>
      </c>
    </row>
    <row r="26" spans="1:3" ht="13.5">
      <c r="A26" s="3113"/>
      <c r="B26" s="3112"/>
      <c r="C26" s="1987" t="s">
        <v>1681</v>
      </c>
    </row>
    <row r="27" spans="1:3" ht="13.5">
      <c r="A27" s="3113"/>
      <c r="B27" s="3112"/>
      <c r="C27" s="1987" t="s">
        <v>1682</v>
      </c>
    </row>
    <row r="28" spans="1:3" ht="13.5">
      <c r="A28" s="3113"/>
      <c r="B28" s="3112"/>
      <c r="C28" s="1987" t="s">
        <v>1683</v>
      </c>
    </row>
    <row r="29" spans="1:3" ht="13.5">
      <c r="A29" s="3113"/>
      <c r="B29" s="3112"/>
      <c r="C29" s="1987" t="s">
        <v>1684</v>
      </c>
    </row>
    <row r="30" spans="1:3" ht="13.5">
      <c r="A30" s="3113"/>
      <c r="B30" s="3112"/>
      <c r="C30" s="1987" t="s">
        <v>1685</v>
      </c>
    </row>
    <row r="31" spans="1:3" ht="13.5">
      <c r="A31" s="3113"/>
      <c r="B31" s="3112"/>
      <c r="C31" s="1987" t="s">
        <v>1686</v>
      </c>
    </row>
    <row r="32" spans="1:3" ht="13.5">
      <c r="A32" s="3113"/>
      <c r="B32" s="3112"/>
      <c r="C32" s="1987" t="s">
        <v>1687</v>
      </c>
    </row>
    <row r="33" spans="1:3" ht="13.5">
      <c r="A33" s="3113"/>
      <c r="B33" s="3112"/>
      <c r="C33" s="1987" t="s">
        <v>1688</v>
      </c>
    </row>
    <row r="34" spans="1:3">
      <c r="A34" s="1991" t="s">
        <v>76</v>
      </c>
    </row>
    <row r="37" spans="1:3">
      <c r="A37" s="1991" t="s">
        <v>1689</v>
      </c>
    </row>
    <row r="38" spans="1:3" ht="13.5">
      <c r="A38" s="1992" t="s">
        <v>77</v>
      </c>
    </row>
    <row r="39" spans="1:3" ht="13.5">
      <c r="A39" s="1992" t="s">
        <v>78</v>
      </c>
    </row>
    <row r="40" spans="1:3" ht="13.5">
      <c r="A40" s="1992" t="s">
        <v>79</v>
      </c>
    </row>
    <row r="41" spans="1:3" ht="13.5">
      <c r="A41" s="1993" t="s">
        <v>80</v>
      </c>
    </row>
    <row r="42" spans="1:3" ht="13.5">
      <c r="A42" s="19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03"/>
    <col min="3" max="3" width="23.625" style="1003" bestFit="1" customWidth="1"/>
    <col min="4" max="5" width="22.625" style="1003"/>
    <col min="6" max="6" width="25.625" style="1003" customWidth="1"/>
    <col min="7" max="16384" width="22.625" style="1003"/>
  </cols>
  <sheetData>
    <row r="2" spans="1:6" ht="24" customHeight="1">
      <c r="A2" s="1005" t="s">
        <v>825</v>
      </c>
      <c r="B2" s="1006">
        <f ca="1">TODAY()</f>
        <v>43524</v>
      </c>
      <c r="C2" s="1007" t="s">
        <v>826</v>
      </c>
      <c r="D2" s="1007"/>
    </row>
    <row r="3" spans="1:6" ht="24" customHeight="1">
      <c r="A3" s="1008" t="s">
        <v>827</v>
      </c>
      <c r="B3" s="1009" t="s">
        <v>828</v>
      </c>
      <c r="C3" s="2334" t="s">
        <v>829</v>
      </c>
      <c r="D3" s="2337" t="s">
        <v>830</v>
      </c>
      <c r="E3" s="1010" t="s">
        <v>831</v>
      </c>
      <c r="F3" s="1009" t="s">
        <v>829</v>
      </c>
    </row>
    <row r="4" spans="1:6" ht="24" customHeight="1">
      <c r="A4" s="1689" t="s">
        <v>832</v>
      </c>
      <c r="B4" s="1010">
        <f ca="1">IF(C4&lt;B2,"已过期",1119970066)</f>
        <v>1119970066</v>
      </c>
      <c r="C4" s="2335">
        <v>43849</v>
      </c>
      <c r="D4" s="2338" t="s">
        <v>832</v>
      </c>
      <c r="E4" s="1010">
        <f ca="1">IF(F4&lt;B2,"已过期",96010014)</f>
        <v>96010014</v>
      </c>
      <c r="F4" s="1018">
        <v>47118</v>
      </c>
    </row>
    <row r="5" spans="1:6" ht="24" customHeight="1">
      <c r="A5" s="1689" t="s">
        <v>833</v>
      </c>
      <c r="B5" s="1010">
        <f ca="1">IF(C5&lt;B2,"已过期",1119970074)</f>
        <v>1119970074</v>
      </c>
      <c r="C5" s="2335">
        <v>43849</v>
      </c>
      <c r="D5" s="2338" t="s">
        <v>833</v>
      </c>
      <c r="E5" s="1010">
        <f ca="1">IF(F5&lt;B2,"已过期",2002110027)</f>
        <v>2002110027</v>
      </c>
      <c r="F5" s="1018">
        <v>46752</v>
      </c>
    </row>
    <row r="6" spans="1:6" ht="24" customHeight="1">
      <c r="A6" s="1689" t="s">
        <v>834</v>
      </c>
      <c r="B6" s="1010">
        <f ca="1">IF(C6&lt;B2,"已过期",1119970111)</f>
        <v>1119970111</v>
      </c>
      <c r="C6" s="2335">
        <v>43849</v>
      </c>
      <c r="D6" s="2338" t="s">
        <v>834</v>
      </c>
      <c r="E6" s="1010">
        <f ca="1">IF(F6&lt;B2,"已过期",94010078)</f>
        <v>94010078</v>
      </c>
      <c r="F6" s="1018">
        <v>46387</v>
      </c>
    </row>
    <row r="7" spans="1:6" ht="24" customHeight="1">
      <c r="A7" s="1689" t="s">
        <v>835</v>
      </c>
      <c r="B7" s="1010">
        <f ca="1">IF(C7&lt;B2,"已过期",1120050019)</f>
        <v>1120050019</v>
      </c>
      <c r="C7" s="2335">
        <v>44395</v>
      </c>
      <c r="D7" s="2338" t="s">
        <v>835</v>
      </c>
      <c r="E7" s="1010">
        <f ca="1">IF(F7&lt;B2,"已过期",2002110030)</f>
        <v>2002110030</v>
      </c>
      <c r="F7" s="1018">
        <v>46387</v>
      </c>
    </row>
    <row r="8" spans="1:6" ht="24" customHeight="1">
      <c r="A8" s="1689" t="s">
        <v>836</v>
      </c>
      <c r="B8" s="1010">
        <f ca="1">IF(C8&lt;B2,"已过期",1120000080)</f>
        <v>1120000080</v>
      </c>
      <c r="C8" s="2335">
        <v>43849</v>
      </c>
      <c r="D8" s="2338" t="s">
        <v>836</v>
      </c>
      <c r="E8" s="1010">
        <f ca="1">IF(F8&lt;B2,"已过期",2000110082)</f>
        <v>2000110082</v>
      </c>
      <c r="F8" s="1018">
        <v>46387</v>
      </c>
    </row>
    <row r="9" spans="1:6" ht="24" customHeight="1">
      <c r="A9" s="1689" t="s">
        <v>837</v>
      </c>
      <c r="B9" s="1010">
        <f ca="1">IF(C9&lt;B2,"已过期",1419970001)</f>
        <v>1419970001</v>
      </c>
      <c r="C9" s="2335">
        <v>43867</v>
      </c>
      <c r="D9" s="2338" t="s">
        <v>837</v>
      </c>
      <c r="E9" s="1010">
        <f ca="1">IF(F9&lt;B2,"已过期",2002110125)</f>
        <v>2002110125</v>
      </c>
      <c r="F9" s="1018">
        <v>47118</v>
      </c>
    </row>
    <row r="10" spans="1:6" ht="24" customHeight="1">
      <c r="A10" s="1689" t="s">
        <v>838</v>
      </c>
      <c r="B10" s="1010" t="str">
        <f ca="1">IF(C10&lt;B2,"已过期",1120060040)</f>
        <v>已过期</v>
      </c>
      <c r="C10" s="2335">
        <v>43483</v>
      </c>
      <c r="D10" s="2338" t="s">
        <v>838</v>
      </c>
      <c r="E10" s="1010">
        <f ca="1">IF(F10&lt;B2,"已过期",2004110096)</f>
        <v>2004110096</v>
      </c>
      <c r="F10" s="1018">
        <v>47118</v>
      </c>
    </row>
    <row r="11" spans="1:6" ht="24" customHeight="1">
      <c r="A11" s="1689" t="s">
        <v>839</v>
      </c>
      <c r="B11" s="1010">
        <f ca="1">IF(C11&lt;B2,"已过期",1120100036)</f>
        <v>1120100036</v>
      </c>
      <c r="C11" s="2335">
        <v>43622</v>
      </c>
      <c r="D11" s="2338" t="s">
        <v>839</v>
      </c>
      <c r="E11" s="1010">
        <f ca="1">IF(F11&lt;B2,"已过期",2010110070)</f>
        <v>2010110070</v>
      </c>
      <c r="F11" s="1018">
        <v>47907</v>
      </c>
    </row>
    <row r="12" spans="1:6" ht="24" customHeight="1">
      <c r="A12" s="1689" t="s">
        <v>3033</v>
      </c>
      <c r="B12" s="1010">
        <v>1120110054</v>
      </c>
      <c r="C12" s="2928">
        <v>43937</v>
      </c>
      <c r="D12" s="1689" t="s">
        <v>3033</v>
      </c>
      <c r="E12" s="1010">
        <v>2008110060</v>
      </c>
      <c r="F12" s="1018">
        <v>47177</v>
      </c>
    </row>
    <row r="13" spans="1:6" ht="24" customHeight="1">
      <c r="A13" s="1689" t="s">
        <v>840</v>
      </c>
      <c r="B13" s="1010">
        <f ca="1">IF(C13&lt;B2,"已过期",1120070131)</f>
        <v>1120070131</v>
      </c>
      <c r="C13" s="2335">
        <v>43814</v>
      </c>
      <c r="D13" s="2338" t="s">
        <v>840</v>
      </c>
      <c r="E13" s="1010">
        <v>2014110011</v>
      </c>
      <c r="F13" s="1018">
        <v>49302</v>
      </c>
    </row>
    <row r="14" spans="1:6" ht="24" customHeight="1">
      <c r="A14" s="1689" t="s">
        <v>841</v>
      </c>
      <c r="B14" s="1010">
        <f ca="1">IF(C14&lt;B2,"已过期",1120130020)</f>
        <v>1120130020</v>
      </c>
      <c r="C14" s="2335">
        <v>43622</v>
      </c>
      <c r="D14" s="2338"/>
      <c r="E14" s="1010"/>
      <c r="F14" s="1010"/>
    </row>
    <row r="15" spans="1:6" ht="24" customHeight="1">
      <c r="A15" s="1690" t="s">
        <v>1149</v>
      </c>
      <c r="B15" s="1010">
        <v>1120070085</v>
      </c>
      <c r="C15" s="2335">
        <v>43814</v>
      </c>
      <c r="D15" s="2339" t="s">
        <v>1149</v>
      </c>
      <c r="E15" s="1010">
        <v>2004110128</v>
      </c>
      <c r="F15" s="1011">
        <v>47118</v>
      </c>
    </row>
    <row r="16" spans="1:6" ht="24" customHeight="1">
      <c r="A16" s="1689" t="s">
        <v>842</v>
      </c>
      <c r="B16" s="1010">
        <f ca="1">IF(C16&lt;B2,"已过期",1120140022)</f>
        <v>1120140022</v>
      </c>
      <c r="C16" s="2335">
        <v>44029</v>
      </c>
      <c r="D16" s="2338" t="s">
        <v>842</v>
      </c>
      <c r="E16" s="1010">
        <f ca="1">IF(F16&lt;B2,"已过期",2008110059)</f>
        <v>2008110059</v>
      </c>
      <c r="F16" s="1018">
        <v>47177</v>
      </c>
    </row>
    <row r="17" spans="1:7" ht="24" customHeight="1">
      <c r="A17" s="1689"/>
      <c r="B17" s="1010"/>
      <c r="C17" s="2335"/>
      <c r="D17" s="2338"/>
      <c r="E17" s="1010"/>
      <c r="F17" s="1018"/>
    </row>
    <row r="18" spans="1:7" ht="24" customHeight="1">
      <c r="A18" s="1689"/>
      <c r="B18" s="1010"/>
      <c r="C18" s="2335"/>
      <c r="D18" s="2338"/>
      <c r="E18" s="1010"/>
      <c r="F18" s="1018"/>
    </row>
    <row r="19" spans="1:7" ht="24" customHeight="1">
      <c r="A19" s="1689"/>
      <c r="B19" s="1010"/>
      <c r="C19" s="2335"/>
      <c r="D19" s="2338"/>
      <c r="E19" s="1010"/>
      <c r="F19" s="1010"/>
    </row>
    <row r="20" spans="1:7" ht="24" customHeight="1">
      <c r="A20" s="1689"/>
      <c r="B20" s="1010"/>
      <c r="C20" s="2335"/>
      <c r="D20" s="2338"/>
      <c r="E20" s="1010"/>
      <c r="F20" s="1010"/>
    </row>
    <row r="21" spans="1:7" ht="24" customHeight="1">
      <c r="A21" s="1689"/>
      <c r="B21" s="1010"/>
      <c r="C21" s="2335"/>
      <c r="D21" s="2338" t="s">
        <v>843</v>
      </c>
      <c r="E21" s="1010">
        <f ca="1">IF(F21&lt;B2,"已过期",2011110090)</f>
        <v>2011110090</v>
      </c>
      <c r="F21" s="1018">
        <v>48302</v>
      </c>
    </row>
    <row r="22" spans="1:7" ht="24" customHeight="1">
      <c r="A22" s="1689" t="s">
        <v>844</v>
      </c>
      <c r="B22" s="1010">
        <f ca="1">IF(C22&lt;B2,"已过期",1120020033)</f>
        <v>1120020033</v>
      </c>
      <c r="C22" s="2928">
        <v>44339</v>
      </c>
      <c r="D22" s="2338" t="s">
        <v>844</v>
      </c>
      <c r="E22" s="1010">
        <f ca="1">IF(F22&lt;B2,"已过期",2000110137)</f>
        <v>2000110137</v>
      </c>
      <c r="F22" s="1018">
        <v>46387</v>
      </c>
    </row>
    <row r="23" spans="1:7" ht="24" customHeight="1">
      <c r="A23" s="1689" t="s">
        <v>845</v>
      </c>
      <c r="B23" s="1010">
        <f ca="1">IF(C23&lt;B2,"已过期",1120130048)</f>
        <v>1120130048</v>
      </c>
      <c r="C23" s="2335">
        <v>43686</v>
      </c>
      <c r="D23" s="2338"/>
      <c r="E23" s="1010"/>
      <c r="F23" s="1010"/>
    </row>
    <row r="24" spans="1:7" s="1012" customFormat="1" ht="24" customHeight="1">
      <c r="A24" s="1690" t="s">
        <v>1333</v>
      </c>
      <c r="B24" s="1690" t="s">
        <v>1333</v>
      </c>
      <c r="C24" s="2336" t="s">
        <v>1333</v>
      </c>
      <c r="D24" s="2339" t="s">
        <v>1333</v>
      </c>
      <c r="E24" s="1690" t="s">
        <v>1333</v>
      </c>
      <c r="F24" s="1690" t="s">
        <v>1333</v>
      </c>
    </row>
    <row r="25" spans="1:7" ht="24" customHeight="1">
      <c r="A25" s="3117" t="s">
        <v>846</v>
      </c>
      <c r="B25" s="3117"/>
      <c r="C25" s="3117"/>
      <c r="D25" s="3117"/>
      <c r="E25" s="3117"/>
      <c r="F25" s="3117"/>
      <c r="G25" s="3117"/>
    </row>
    <row r="26" spans="1:7" s="1013" customFormat="1" ht="24" customHeight="1">
      <c r="A26" s="3118" t="s">
        <v>847</v>
      </c>
      <c r="B26" s="3118"/>
      <c r="C26" s="3119"/>
      <c r="D26" s="3120" t="s">
        <v>848</v>
      </c>
      <c r="E26" s="3118"/>
      <c r="F26" s="3118"/>
    </row>
    <row r="27" spans="1:7" s="1015" customFormat="1" ht="24" customHeight="1">
      <c r="A27" s="1014" t="s">
        <v>849</v>
      </c>
      <c r="B27" s="1009" t="s">
        <v>850</v>
      </c>
      <c r="C27" s="2334" t="s">
        <v>851</v>
      </c>
      <c r="D27" s="2342" t="s">
        <v>849</v>
      </c>
      <c r="E27" s="1009" t="s">
        <v>850</v>
      </c>
      <c r="F27" s="1009" t="s">
        <v>851</v>
      </c>
    </row>
    <row r="28" spans="1:7" s="1015" customFormat="1" ht="24" customHeight="1">
      <c r="A28" s="1016" t="s">
        <v>852</v>
      </c>
      <c r="B28" s="1017" t="s">
        <v>853</v>
      </c>
      <c r="C28" s="2340">
        <v>43725</v>
      </c>
      <c r="D28" s="2343" t="s">
        <v>854</v>
      </c>
      <c r="E28" s="1016" t="s">
        <v>855</v>
      </c>
      <c r="F28" s="1046">
        <v>44377</v>
      </c>
    </row>
    <row r="29" spans="1:7" s="1015" customFormat="1" ht="24" customHeight="1">
      <c r="A29" s="1016"/>
      <c r="B29" s="1016"/>
      <c r="C29" s="2341"/>
      <c r="D29" s="2343" t="s">
        <v>856</v>
      </c>
      <c r="E29" s="1190" t="s">
        <v>1384</v>
      </c>
      <c r="F29" s="1191">
        <v>43281</v>
      </c>
    </row>
    <row r="30" spans="1:7" ht="24" customHeight="1">
      <c r="C30" s="1019"/>
      <c r="D30" s="1019"/>
    </row>
  </sheetData>
  <sheetProtection sheet="1" objects="1" scenarios="1"/>
  <mergeCells count="3">
    <mergeCell ref="A25:G25"/>
    <mergeCell ref="A26:C26"/>
    <mergeCell ref="D26:F26"/>
  </mergeCells>
  <phoneticPr fontId="86" type="noConversion"/>
  <conditionalFormatting sqref="C28">
    <cfRule type="expression" dxfId="203" priority="66">
      <formula>AND($C28-TODAY()&lt;30,TODAY()&lt;$C28)</formula>
    </cfRule>
  </conditionalFormatting>
  <conditionalFormatting sqref="C28 F4">
    <cfRule type="cellIs" dxfId="202" priority="68" stopIfTrue="1" operator="lessThan">
      <formula>$B$2</formula>
    </cfRule>
  </conditionalFormatting>
  <conditionalFormatting sqref="C5">
    <cfRule type="expression" dxfId="201" priority="63">
      <formula>AND($C5-TODAY()&lt;30,TODAY()&lt;$C5)</formula>
    </cfRule>
  </conditionalFormatting>
  <conditionalFormatting sqref="C5 F5">
    <cfRule type="cellIs" dxfId="200" priority="64" stopIfTrue="1" operator="lessThan">
      <formula>$B$2</formula>
    </cfRule>
  </conditionalFormatting>
  <conditionalFormatting sqref="F6 F8 F10">
    <cfRule type="cellIs" dxfId="199" priority="62" stopIfTrue="1" operator="lessThan">
      <formula>$B$2</formula>
    </cfRule>
  </conditionalFormatting>
  <conditionalFormatting sqref="C4:C11 C13:C21 C23">
    <cfRule type="expression" dxfId="198" priority="60">
      <formula>AND($C4-TODAY()&lt;30,TODAY()&lt;$C4)</formula>
    </cfRule>
  </conditionalFormatting>
  <conditionalFormatting sqref="F7 F9 F11 C4:C11 C13:C21 C23">
    <cfRule type="cellIs" dxfId="197" priority="61" stopIfTrue="1" operator="lessThan">
      <formula>$B$2</formula>
    </cfRule>
  </conditionalFormatting>
  <conditionalFormatting sqref="C14">
    <cfRule type="expression" dxfId="196" priority="54">
      <formula>AND($C14-TODAY()&lt;30,TODAY()&lt;$C14)</formula>
    </cfRule>
  </conditionalFormatting>
  <conditionalFormatting sqref="C14">
    <cfRule type="cellIs" dxfId="195" priority="55" stopIfTrue="1" operator="lessThan">
      <formula>$B$2</formula>
    </cfRule>
  </conditionalFormatting>
  <conditionalFormatting sqref="C16">
    <cfRule type="expression" dxfId="194" priority="52">
      <formula>AND($C16-TODAY()&lt;30,TODAY()&lt;$C16)</formula>
    </cfRule>
  </conditionalFormatting>
  <conditionalFormatting sqref="C16">
    <cfRule type="cellIs" dxfId="193" priority="53" stopIfTrue="1" operator="lessThan">
      <formula>$B$2</formula>
    </cfRule>
  </conditionalFormatting>
  <conditionalFormatting sqref="C18">
    <cfRule type="expression" dxfId="192" priority="50">
      <formula>AND($C18-TODAY()&lt;30,TODAY()&lt;$C18)</formula>
    </cfRule>
  </conditionalFormatting>
  <conditionalFormatting sqref="C18">
    <cfRule type="cellIs" dxfId="191" priority="51" stopIfTrue="1" operator="lessThan">
      <formula>$B$2</formula>
    </cfRule>
  </conditionalFormatting>
  <conditionalFormatting sqref="C20">
    <cfRule type="expression" dxfId="190" priority="48">
      <formula>AND($C20-TODAY()&lt;30,TODAY()&lt;$C20)</formula>
    </cfRule>
  </conditionalFormatting>
  <conditionalFormatting sqref="C20">
    <cfRule type="cellIs" dxfId="189" priority="49" stopIfTrue="1" operator="lessThan">
      <formula>$B$2</formula>
    </cfRule>
  </conditionalFormatting>
  <conditionalFormatting sqref="C15">
    <cfRule type="expression" dxfId="188" priority="44">
      <formula>AND($C15-TODAY()&lt;30,TODAY()&lt;$C15)</formula>
    </cfRule>
  </conditionalFormatting>
  <conditionalFormatting sqref="C15">
    <cfRule type="cellIs" dxfId="187" priority="45" stopIfTrue="1" operator="lessThan">
      <formula>$B$2</formula>
    </cfRule>
  </conditionalFormatting>
  <conditionalFormatting sqref="C17">
    <cfRule type="expression" dxfId="186" priority="42">
      <formula>AND($C17-TODAY()&lt;30,TODAY()&lt;$C17)</formula>
    </cfRule>
  </conditionalFormatting>
  <conditionalFormatting sqref="C17">
    <cfRule type="cellIs" dxfId="185" priority="43" stopIfTrue="1" operator="lessThan">
      <formula>$B$2</formula>
    </cfRule>
  </conditionalFormatting>
  <conditionalFormatting sqref="C19">
    <cfRule type="expression" dxfId="184" priority="40">
      <formula>AND($C19-TODAY()&lt;30,TODAY()&lt;$C19)</formula>
    </cfRule>
  </conditionalFormatting>
  <conditionalFormatting sqref="C19">
    <cfRule type="cellIs" dxfId="183" priority="41" stopIfTrue="1" operator="lessThan">
      <formula>$B$2</formula>
    </cfRule>
  </conditionalFormatting>
  <conditionalFormatting sqref="C21">
    <cfRule type="expression" dxfId="182" priority="38">
      <formula>AND($C21-TODAY()&lt;30,TODAY()&lt;$C21)</formula>
    </cfRule>
  </conditionalFormatting>
  <conditionalFormatting sqref="C21">
    <cfRule type="cellIs" dxfId="181" priority="39" stopIfTrue="1" operator="lessThan">
      <formula>$B$2</formula>
    </cfRule>
  </conditionalFormatting>
  <conditionalFormatting sqref="C23">
    <cfRule type="expression" dxfId="180" priority="36">
      <formula>AND($C23-TODAY()&lt;30,TODAY()&lt;$C23)</formula>
    </cfRule>
  </conditionalFormatting>
  <conditionalFormatting sqref="C23">
    <cfRule type="cellIs" dxfId="179" priority="37" stopIfTrue="1" operator="lessThan">
      <formula>$B$2</formula>
    </cfRule>
  </conditionalFormatting>
  <conditionalFormatting sqref="F16">
    <cfRule type="cellIs" dxfId="178" priority="34" stopIfTrue="1" operator="lessThan">
      <formula>$B$2</formula>
    </cfRule>
  </conditionalFormatting>
  <conditionalFormatting sqref="F18">
    <cfRule type="cellIs" dxfId="177" priority="33" stopIfTrue="1" operator="lessThan">
      <formula>$B$2</formula>
    </cfRule>
  </conditionalFormatting>
  <conditionalFormatting sqref="F22">
    <cfRule type="cellIs" dxfId="176" priority="32" stopIfTrue="1" operator="lessThan">
      <formula>$B$2</formula>
    </cfRule>
  </conditionalFormatting>
  <conditionalFormatting sqref="F21">
    <cfRule type="cellIs" dxfId="175" priority="31" stopIfTrue="1" operator="lessThan">
      <formula>$B$2</formula>
    </cfRule>
  </conditionalFormatting>
  <conditionalFormatting sqref="F17">
    <cfRule type="cellIs" dxfId="174" priority="30" stopIfTrue="1" operator="lessThan">
      <formula>$B$2</formula>
    </cfRule>
  </conditionalFormatting>
  <conditionalFormatting sqref="B4:B11 E4:E11 B16:B23 E16:E23 B13:B14 E13:E14">
    <cfRule type="cellIs" dxfId="173" priority="29" stopIfTrue="1" operator="equal">
      <formula>"已过期"</formula>
    </cfRule>
  </conditionalFormatting>
  <conditionalFormatting sqref="A24:F24">
    <cfRule type="cellIs" dxfId="172" priority="25" stopIfTrue="1" operator="equal">
      <formula>"已过期"</formula>
    </cfRule>
  </conditionalFormatting>
  <conditionalFormatting sqref="F28">
    <cfRule type="expression" dxfId="171" priority="23">
      <formula>AND($E28-TODAY()&lt;30,TODAY()&lt;$E28)</formula>
    </cfRule>
  </conditionalFormatting>
  <conditionalFormatting sqref="F28">
    <cfRule type="cellIs" dxfId="170" priority="24" stopIfTrue="1" operator="lessThan">
      <formula>$B$2</formula>
    </cfRule>
  </conditionalFormatting>
  <conditionalFormatting sqref="F29">
    <cfRule type="expression" dxfId="169" priority="19" stopIfTrue="1">
      <formula>AND($E29-TODAY()&lt;30,TODAY()&lt;$E29)</formula>
    </cfRule>
  </conditionalFormatting>
  <conditionalFormatting sqref="F29">
    <cfRule type="cellIs" dxfId="168" priority="20" stopIfTrue="1" operator="lessThan">
      <formula>$B$2</formula>
    </cfRule>
  </conditionalFormatting>
  <conditionalFormatting sqref="B15">
    <cfRule type="cellIs" dxfId="167" priority="17" stopIfTrue="1" operator="equal">
      <formula>"已过期"</formula>
    </cfRule>
  </conditionalFormatting>
  <conditionalFormatting sqref="A15">
    <cfRule type="cellIs" dxfId="166" priority="16" stopIfTrue="1" operator="equal">
      <formula>"已过期"</formula>
    </cfRule>
  </conditionalFormatting>
  <conditionalFormatting sqref="C15">
    <cfRule type="expression" dxfId="165" priority="15">
      <formula>AND($C15-TODAY()&lt;30,TODAY()&lt;$C15)</formula>
    </cfRule>
  </conditionalFormatting>
  <conditionalFormatting sqref="E15">
    <cfRule type="cellIs" dxfId="164" priority="14" stopIfTrue="1" operator="equal">
      <formula>"已过期"</formula>
    </cfRule>
  </conditionalFormatting>
  <conditionalFormatting sqref="D15">
    <cfRule type="cellIs" dxfId="163" priority="13" stopIfTrue="1" operator="equal">
      <formula>"已过期"</formula>
    </cfRule>
  </conditionalFormatting>
  <conditionalFormatting sqref="F13">
    <cfRule type="cellIs" dxfId="162" priority="12" stopIfTrue="1" operator="lessThan">
      <formula>$B$2</formula>
    </cfRule>
  </conditionalFormatting>
  <conditionalFormatting sqref="C12">
    <cfRule type="expression" dxfId="161" priority="10">
      <formula>AND($C12-TODAY()&lt;30,TODAY()&lt;$C12)</formula>
    </cfRule>
  </conditionalFormatting>
  <conditionalFormatting sqref="C12">
    <cfRule type="cellIs" dxfId="160" priority="11" stopIfTrue="1" operator="lessThan">
      <formula>$B$2</formula>
    </cfRule>
  </conditionalFormatting>
  <conditionalFormatting sqref="C12">
    <cfRule type="expression" dxfId="159" priority="8">
      <formula>AND($C12-TODAY()&lt;30,TODAY()&lt;$C12)</formula>
    </cfRule>
  </conditionalFormatting>
  <conditionalFormatting sqref="C12">
    <cfRule type="cellIs" dxfId="158" priority="9" stopIfTrue="1" operator="lessThan">
      <formula>$B$2</formula>
    </cfRule>
  </conditionalFormatting>
  <conditionalFormatting sqref="B12">
    <cfRule type="cellIs" dxfId="157" priority="7" stopIfTrue="1" operator="equal">
      <formula>"已过期"</formula>
    </cfRule>
  </conditionalFormatting>
  <conditionalFormatting sqref="E12">
    <cfRule type="cellIs" dxfId="156" priority="6" stopIfTrue="1" operator="equal">
      <formula>"已过期"</formula>
    </cfRule>
  </conditionalFormatting>
  <conditionalFormatting sqref="F12">
    <cfRule type="cellIs" dxfId="155" priority="5" stopIfTrue="1" operator="lessThan">
      <formula>$B$2</formula>
    </cfRule>
  </conditionalFormatting>
  <conditionalFormatting sqref="C22">
    <cfRule type="expression" dxfId="154" priority="3">
      <formula>AND($C22-TODAY()&lt;30,TODAY()&lt;$C22)</formula>
    </cfRule>
  </conditionalFormatting>
  <conditionalFormatting sqref="C22">
    <cfRule type="cellIs" dxfId="153" priority="4" stopIfTrue="1" operator="lessThan">
      <formula>$B$2</formula>
    </cfRule>
  </conditionalFormatting>
  <conditionalFormatting sqref="C22">
    <cfRule type="expression" dxfId="152" priority="1">
      <formula>AND($C22-TODAY()&lt;30,TODAY()&lt;$C22)</formula>
    </cfRule>
  </conditionalFormatting>
  <conditionalFormatting sqref="C22">
    <cfRule type="cellIs" dxfId="15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137</vt:i4>
      </vt:variant>
    </vt:vector>
  </HeadingPairs>
  <TitlesOfParts>
    <vt:vector size="186" baseType="lpstr">
      <vt:lpstr>致函链接</vt:lpstr>
      <vt:lpstr>预评函-封皮</vt:lpstr>
      <vt:lpstr>预评函-1</vt:lpstr>
      <vt:lpstr>预评函-2</vt:lpstr>
      <vt:lpstr>预评函-3</vt:lpstr>
      <vt:lpstr>预评函-4</vt:lpstr>
      <vt:lpstr>预评函-5</vt:lpstr>
      <vt:lpstr>使用说明</vt:lpstr>
      <vt:lpstr>估价师及机构信息</vt:lpstr>
      <vt:lpstr>抵押物清单</vt:lpstr>
      <vt:lpstr>定义</vt:lpstr>
      <vt:lpstr>项目基本情况</vt:lpstr>
      <vt:lpstr>面积清单</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土地案例</vt:lpstr>
      <vt:lpstr>土地比较法-住宅、综合</vt:lpstr>
      <vt:lpstr>假设开发法</vt:lpstr>
      <vt:lpstr>平层公寓</vt:lpstr>
      <vt:lpstr>地上商业</vt:lpstr>
      <vt:lpstr>地下车库</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市调情况</vt:lpstr>
      <vt:lpstr>地上商业!Print_Area</vt:lpstr>
      <vt:lpstr>地下车库!Print_Area</vt:lpstr>
      <vt:lpstr>估价师及机构信息!Print_Area</vt:lpstr>
      <vt:lpstr>结果表!Print_Area</vt:lpstr>
      <vt:lpstr>'收益法 (元)'!Print_Area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2019-02-28T08:07:13Z</dcterms:modified>
</cp:coreProperties>
</file>