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J49" i="67"/>
  <c r="M47" i="67"/>
  <c r="D46" i="67"/>
  <c r="F34" i="67"/>
  <c r="C34" i="67"/>
  <c r="F33" i="67"/>
  <c r="C33" i="67"/>
  <c r="F32" i="67"/>
  <c r="C32" i="67"/>
  <c r="F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V21" i="1"/>
  <c r="V20" i="1"/>
  <c r="T20" i="1"/>
  <c r="N20" i="1"/>
  <c r="T19" i="1"/>
  <c r="O19" i="1"/>
  <c r="V18" i="1"/>
  <c r="T18" i="1"/>
  <c r="N18" i="1"/>
  <c r="V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10" i="51"/>
  <c r="A7" i="51"/>
  <c r="A4" i="51"/>
  <c r="A3" i="51"/>
  <c r="B49" i="48"/>
  <c r="B46" i="48"/>
  <c r="B4" i="72" s="1"/>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2" i="72"/>
  <c r="B11" i="72"/>
  <c r="B10" i="72"/>
  <c r="B9" i="72"/>
  <c r="B8" i="72"/>
  <c r="B7" i="72"/>
  <c r="B6" i="72"/>
  <c r="B5" i="72"/>
  <c r="B3" i="72"/>
  <c r="B2" i="72"/>
  <c r="B7" i="76"/>
  <c r="F9" i="67"/>
  <c r="F40" i="67"/>
  <c r="F42" i="15"/>
  <c r="F8" i="15"/>
  <c r="AO8" i="1"/>
  <c r="B13" i="76"/>
  <c r="F7" i="67"/>
  <c r="M24" i="67"/>
  <c r="L47" i="15"/>
  <c r="F35" i="15"/>
  <c r="F9" i="15"/>
  <c r="E7" i="76"/>
  <c r="M29" i="67"/>
  <c r="F37" i="67"/>
  <c r="F16" i="15"/>
  <c r="M27" i="15"/>
  <c r="F7" i="15"/>
  <c r="F20" i="31"/>
  <c r="M6" i="67"/>
  <c r="M21" i="67"/>
  <c r="M24" i="15"/>
  <c r="F43" i="67"/>
  <c r="B9" i="76"/>
  <c r="E12" i="76"/>
  <c r="F38" i="67"/>
  <c r="D2" i="36"/>
  <c r="M29" i="15"/>
  <c r="F41" i="15"/>
  <c r="M22" i="15"/>
  <c r="E10" i="76"/>
  <c r="F36" i="67"/>
  <c r="D2" i="21"/>
  <c r="M26" i="15"/>
  <c r="M21" i="15"/>
  <c r="F26" i="15"/>
  <c r="B11" i="76"/>
  <c r="M8" i="67"/>
  <c r="M23" i="67"/>
  <c r="E2" i="68"/>
  <c r="J15" i="15"/>
  <c r="E13" i="76"/>
  <c r="M22" i="67"/>
  <c r="AO7" i="1"/>
  <c r="AO12" i="1"/>
  <c r="B10" i="76"/>
  <c r="F16" i="67"/>
  <c r="M27" i="67"/>
  <c r="M8" i="15"/>
  <c r="M23" i="15"/>
  <c r="AO9" i="1"/>
  <c r="B8" i="76"/>
  <c r="F13" i="67"/>
  <c r="F26" i="67"/>
  <c r="M6" i="15"/>
  <c r="F6" i="15"/>
  <c r="C14" i="15"/>
  <c r="E8" i="76"/>
  <c r="C76" i="67"/>
  <c r="F6" i="67"/>
  <c r="F38" i="15"/>
  <c r="E2" i="69"/>
  <c r="D2" i="33"/>
  <c r="E11" i="76"/>
  <c r="D2" i="37"/>
  <c r="D2" i="34"/>
  <c r="J15" i="67"/>
  <c r="AO10" i="1"/>
  <c r="M9" i="15"/>
  <c r="E9" i="76"/>
  <c r="F42" i="67"/>
  <c r="D2" i="35"/>
  <c r="M9" i="67"/>
  <c r="L48" i="15"/>
  <c r="F40" i="15"/>
  <c r="M28" i="15"/>
  <c r="M28" i="67"/>
  <c r="F8" i="67"/>
  <c r="F43" i="15"/>
  <c r="AO11" i="1"/>
  <c r="F37" i="15"/>
  <c r="B12" i="76"/>
  <c r="M26" i="67"/>
  <c r="F35" i="67"/>
  <c r="F13" i="15"/>
  <c r="AO13" i="1"/>
  <c r="C76" i="15"/>
  <c r="L47" i="67"/>
  <c r="F36" i="15"/>
  <c r="R16" i="1" l="1"/>
  <c r="C1" i="73"/>
  <c r="B2" i="1"/>
  <c r="B3" i="78"/>
  <c r="B3" i="74"/>
  <c r="C53" i="10"/>
  <c r="E15" i="4"/>
  <c r="F6" i="1" s="1"/>
  <c r="C34" i="68"/>
  <c r="C35" i="68" s="1"/>
  <c r="C47" i="68"/>
  <c r="D45" i="68" s="1"/>
  <c r="C29" i="69"/>
  <c r="D27" i="69" s="1"/>
  <c r="C29" i="68"/>
  <c r="D27" i="68" s="1"/>
  <c r="D19" i="69"/>
  <c r="D37" i="69" s="1"/>
  <c r="C37" i="69" s="1"/>
  <c r="F45" i="69"/>
  <c r="C14" i="12"/>
  <c r="D17" i="12"/>
  <c r="C17" i="12" s="1"/>
  <c r="D19" i="68"/>
  <c r="C19" i="68" s="1"/>
  <c r="B9" i="70"/>
  <c r="B13" i="70"/>
  <c r="M7" i="15"/>
  <c r="J6" i="15" s="1"/>
  <c r="F50" i="15"/>
  <c r="F65" i="15"/>
  <c r="F68" i="15"/>
  <c r="B8" i="70"/>
  <c r="B12" i="70"/>
  <c r="F31" i="15"/>
  <c r="C6" i="15"/>
  <c r="C15" i="15"/>
  <c r="C18" i="15"/>
  <c r="J20" i="15"/>
  <c r="C27" i="15"/>
  <c r="F63" i="15"/>
  <c r="F69" i="15"/>
  <c r="B7" i="70"/>
  <c r="B11" i="70"/>
  <c r="F51" i="15"/>
  <c r="F66" i="15"/>
  <c r="I54" i="15"/>
  <c r="J57" i="15"/>
  <c r="J55" i="15" s="1"/>
  <c r="J58" i="15" s="1"/>
  <c r="Q50" i="15" s="1"/>
  <c r="J53" i="15"/>
  <c r="L56" i="15" s="1"/>
  <c r="B10" i="70"/>
  <c r="F64" i="15"/>
  <c r="F71" i="15"/>
  <c r="M59" i="15"/>
  <c r="L59" i="15"/>
  <c r="N59" i="15"/>
  <c r="L58" i="15"/>
  <c r="Q71" i="15"/>
  <c r="C6" i="67"/>
  <c r="F31" i="67"/>
  <c r="J20" i="67"/>
  <c r="C27" i="67"/>
  <c r="F63" i="67"/>
  <c r="F65" i="67"/>
  <c r="F51" i="67"/>
  <c r="F68" i="67"/>
  <c r="F71" i="67"/>
  <c r="Q71" i="67"/>
  <c r="F64" i="67"/>
  <c r="F66" i="67"/>
  <c r="F50" i="67"/>
  <c r="M7" i="67"/>
  <c r="J6" i="67" s="1"/>
  <c r="G4" i="52"/>
  <c r="B52" i="72" s="1"/>
  <c r="F118" i="9"/>
  <c r="D125" i="9"/>
  <c r="D11" i="52" s="1"/>
  <c r="D10" i="52"/>
  <c r="D37" i="68"/>
  <c r="C37" i="68" s="1"/>
  <c r="C18" i="12"/>
  <c r="F4" i="49"/>
  <c r="H4" i="49" s="1"/>
  <c r="F5" i="49"/>
  <c r="H5" i="49" s="1"/>
  <c r="F6" i="49"/>
  <c r="H6" i="49" s="1"/>
  <c r="F7" i="49"/>
  <c r="H7" i="49" s="1"/>
  <c r="F8" i="49"/>
  <c r="H8" i="49" s="1"/>
  <c r="F9" i="49"/>
  <c r="H9" i="49" s="1"/>
  <c r="F10" i="49"/>
  <c r="H10" i="49" s="1"/>
  <c r="F11" i="49"/>
  <c r="H11" i="49" s="1"/>
  <c r="F12" i="49"/>
  <c r="H12" i="49" s="1"/>
  <c r="F13" i="49"/>
  <c r="H13" i="49" s="1"/>
  <c r="F14" i="49"/>
  <c r="H14" i="49" s="1"/>
  <c r="H110" i="9"/>
  <c r="E118" i="9"/>
  <c r="C9" i="69"/>
  <c r="C8" i="69" s="1"/>
  <c r="B4" i="49"/>
  <c r="D4" i="49" s="1"/>
  <c r="B5" i="49"/>
  <c r="D5" i="49" s="1"/>
  <c r="B6" i="49"/>
  <c r="D6" i="49" s="1"/>
  <c r="B7" i="49"/>
  <c r="D7" i="49" s="1"/>
  <c r="B8" i="49"/>
  <c r="D8" i="49" s="1"/>
  <c r="B9" i="49"/>
  <c r="D9" i="49" s="1"/>
  <c r="B10" i="49"/>
  <c r="D10" i="49" s="1"/>
  <c r="B11" i="49"/>
  <c r="D11" i="49" s="1"/>
  <c r="B12" i="49"/>
  <c r="D12" i="49" s="1"/>
  <c r="B13" i="49"/>
  <c r="D13" i="49" s="1"/>
  <c r="B14" i="49"/>
  <c r="D14" i="49" s="1"/>
  <c r="C38" i="69"/>
  <c r="C33" i="69" s="1"/>
  <c r="C15" i="12"/>
  <c r="C17" i="15"/>
  <c r="L48" i="67"/>
  <c r="C16" i="67"/>
  <c r="C16" i="15"/>
  <c r="C14" i="67"/>
  <c r="C17" i="67"/>
  <c r="C38" i="68" l="1"/>
  <c r="C49" i="15"/>
  <c r="M17" i="15"/>
  <c r="L58" i="67"/>
  <c r="L56" i="67"/>
  <c r="G6" i="1"/>
  <c r="G16" i="1" s="1"/>
  <c r="G23" i="43"/>
  <c r="C7" i="40"/>
  <c r="C63" i="40" s="1"/>
  <c r="C7" i="39"/>
  <c r="C67" i="39" s="1"/>
  <c r="C7" i="36"/>
  <c r="C46" i="36" s="1"/>
  <c r="C7" i="35"/>
  <c r="C48" i="35" s="1"/>
  <c r="C7" i="34"/>
  <c r="C59" i="34" s="1"/>
  <c r="M47" i="9"/>
  <c r="C42" i="1"/>
  <c r="C7" i="37"/>
  <c r="C52" i="37" s="1"/>
  <c r="J51" i="67"/>
  <c r="C7" i="33"/>
  <c r="C58" i="33" s="1"/>
  <c r="C7" i="21"/>
  <c r="C58" i="21" s="1"/>
  <c r="M17" i="67"/>
  <c r="J1" i="73"/>
  <c r="L1" i="73"/>
  <c r="C6" i="78"/>
  <c r="D6" i="78" s="1"/>
  <c r="C7" i="78"/>
  <c r="D7" i="78" s="1"/>
  <c r="C5" i="78"/>
  <c r="D5" i="78" s="1"/>
  <c r="C49" i="67"/>
  <c r="C15" i="67"/>
  <c r="C18" i="67"/>
  <c r="J18" i="67"/>
  <c r="J17" i="67"/>
  <c r="J19" i="67"/>
  <c r="C19" i="15"/>
  <c r="C39" i="69"/>
  <c r="C46" i="69" s="1"/>
  <c r="C45" i="69" s="1"/>
  <c r="C20" i="68"/>
  <c r="D118" i="9"/>
  <c r="E4" i="52"/>
  <c r="B48" i="72" s="1"/>
  <c r="F59" i="67"/>
  <c r="F59" i="15"/>
  <c r="C7" i="74"/>
  <c r="D18" i="53"/>
  <c r="B35" i="72" s="1"/>
  <c r="F119" i="9"/>
  <c r="F5" i="52" s="1"/>
  <c r="B53" i="72" s="1"/>
  <c r="F4" i="52"/>
  <c r="B51" i="72" s="1"/>
  <c r="Q73" i="15"/>
  <c r="Q60" i="15"/>
  <c r="J18" i="15"/>
  <c r="J17" i="15"/>
  <c r="J19" i="15"/>
  <c r="C31" i="15"/>
  <c r="Q60" i="67"/>
  <c r="Q73" i="67"/>
  <c r="C31" i="67"/>
  <c r="Q61" i="15"/>
  <c r="Q74" i="15"/>
  <c r="Q52" i="15"/>
  <c r="F1" i="15"/>
  <c r="D5" i="73"/>
  <c r="F3" i="73"/>
  <c r="F6" i="73"/>
  <c r="D7" i="73"/>
  <c r="F5" i="73"/>
  <c r="D6" i="73"/>
  <c r="D4" i="73"/>
  <c r="F4" i="73"/>
  <c r="D3" i="73"/>
  <c r="F7" i="73"/>
  <c r="C59" i="15" l="1"/>
  <c r="G1" i="73"/>
  <c r="B40" i="1" s="1"/>
  <c r="I1" i="73"/>
  <c r="B39" i="1" s="1"/>
  <c r="D58" i="33"/>
  <c r="E58" i="33" s="1"/>
  <c r="F58" i="33" s="1"/>
  <c r="G58" i="33" s="1"/>
  <c r="H58" i="33" s="1"/>
  <c r="I58" i="33" s="1"/>
  <c r="J58" i="33" s="1"/>
  <c r="K58" i="33" s="1"/>
  <c r="L58" i="33" s="1"/>
  <c r="M58" i="33" s="1"/>
  <c r="N58" i="33" s="1"/>
  <c r="O58" i="33" s="1"/>
  <c r="J7" i="33"/>
  <c r="C69" i="39"/>
  <c r="D67" i="39"/>
  <c r="L59" i="67"/>
  <c r="J57" i="67"/>
  <c r="J55" i="67" s="1"/>
  <c r="J58" i="67" s="1"/>
  <c r="Q50" i="67" s="1"/>
  <c r="N59" i="67"/>
  <c r="I54" i="67"/>
  <c r="J53" i="67"/>
  <c r="M59" i="67"/>
  <c r="D59" i="34"/>
  <c r="E59" i="34" s="1"/>
  <c r="F59" i="34" s="1"/>
  <c r="G59" i="34" s="1"/>
  <c r="H59" i="34" s="1"/>
  <c r="I59" i="34" s="1"/>
  <c r="J59" i="34" s="1"/>
  <c r="K59" i="34" s="1"/>
  <c r="L59" i="34" s="1"/>
  <c r="M59" i="34" s="1"/>
  <c r="N59" i="34" s="1"/>
  <c r="O59" i="34" s="1"/>
  <c r="C65" i="40"/>
  <c r="D63" i="40"/>
  <c r="L57" i="67"/>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H7" i="35"/>
  <c r="F7" i="35"/>
  <c r="P27" i="43"/>
  <c r="B70" i="39" s="1"/>
  <c r="P29" i="43"/>
  <c r="P25" i="43"/>
  <c r="O23" i="43"/>
  <c r="C23" i="43"/>
  <c r="A1" i="79"/>
  <c r="P28" i="43"/>
  <c r="B66" i="40" s="1"/>
  <c r="P26" i="43"/>
  <c r="M24" i="43"/>
  <c r="J7" i="21"/>
  <c r="D58" i="21"/>
  <c r="E58" i="21" s="1"/>
  <c r="F58" i="21" s="1"/>
  <c r="G58" i="21" s="1"/>
  <c r="H58" i="21" s="1"/>
  <c r="I58" i="21" s="1"/>
  <c r="J58" i="21" s="1"/>
  <c r="K58" i="21" s="1"/>
  <c r="L58" i="21" s="1"/>
  <c r="M58" i="21" s="1"/>
  <c r="N58" i="21" s="1"/>
  <c r="O58" i="21" s="1"/>
  <c r="H7" i="21"/>
  <c r="C36" i="11"/>
  <c r="C34" i="11"/>
  <c r="C31" i="12"/>
  <c r="C77" i="9"/>
  <c r="C74" i="9" s="1"/>
  <c r="C28" i="15"/>
  <c r="C28" i="67"/>
  <c r="C24" i="12"/>
  <c r="C29" i="12" s="1"/>
  <c r="D28" i="12" s="1"/>
  <c r="C13" i="12"/>
  <c r="C16" i="12" s="1"/>
  <c r="C21" i="12" s="1"/>
  <c r="C48" i="68"/>
  <c r="C48" i="69"/>
  <c r="C30" i="69"/>
  <c r="C30" i="68"/>
  <c r="C36" i="68"/>
  <c r="C33" i="68" s="1"/>
  <c r="C39" i="68" s="1"/>
  <c r="D46" i="36"/>
  <c r="E46" i="36" s="1"/>
  <c r="F46" i="36" s="1"/>
  <c r="G46" i="36" s="1"/>
  <c r="H46" i="36" s="1"/>
  <c r="I46" i="36" s="1"/>
  <c r="J46" i="36" s="1"/>
  <c r="K46" i="36" s="1"/>
  <c r="L46" i="36" s="1"/>
  <c r="M46" i="36" s="1"/>
  <c r="N46" i="36" s="1"/>
  <c r="O46" i="36" s="1"/>
  <c r="J7" i="36"/>
  <c r="F10" i="39"/>
  <c r="J10" i="40"/>
  <c r="H10" i="40"/>
  <c r="J10" i="39"/>
  <c r="F10" i="40"/>
  <c r="H10" i="39"/>
  <c r="L60" i="67"/>
  <c r="C59" i="67"/>
  <c r="C19" i="67"/>
  <c r="C20" i="67" s="1"/>
  <c r="D119" i="9"/>
  <c r="D5" i="52" s="1"/>
  <c r="B49" i="72" s="1"/>
  <c r="D4" i="52"/>
  <c r="B47" i="72" s="1"/>
  <c r="C28" i="68"/>
  <c r="C27" i="68" s="1"/>
  <c r="C20" i="15"/>
  <c r="C26" i="15" s="1"/>
  <c r="AC10" i="39" l="1"/>
  <c r="W10" i="39"/>
  <c r="AC7" i="21"/>
  <c r="V48" i="21" s="1"/>
  <c r="I48" i="21" s="1"/>
  <c r="W7" i="21"/>
  <c r="D65" i="40"/>
  <c r="E63" i="40"/>
  <c r="W7" i="33"/>
  <c r="AC7" i="33"/>
  <c r="V48" i="33" s="1"/>
  <c r="I48" i="33" s="1"/>
  <c r="Q66" i="67"/>
  <c r="Q57" i="67"/>
  <c r="AB10" i="40"/>
  <c r="U10" i="40"/>
  <c r="C22" i="12"/>
  <c r="U7" i="21"/>
  <c r="AB7" i="21"/>
  <c r="T48" i="21" s="1"/>
  <c r="G48" i="21" s="1"/>
  <c r="W7" i="35"/>
  <c r="AC7" i="35"/>
  <c r="V38" i="35" s="1"/>
  <c r="I38" i="35" s="1"/>
  <c r="F7" i="34"/>
  <c r="C46" i="68"/>
  <c r="C45" i="68" s="1"/>
  <c r="AB10" i="39"/>
  <c r="U10" i="39"/>
  <c r="AC10" i="40"/>
  <c r="W10" i="40"/>
  <c r="F7" i="36"/>
  <c r="C41" i="43"/>
  <c r="C39" i="43"/>
  <c r="C37" i="43"/>
  <c r="T15" i="43"/>
  <c r="V15" i="43" s="1"/>
  <c r="T13" i="43"/>
  <c r="V13" i="43" s="1"/>
  <c r="T8" i="43"/>
  <c r="V8" i="43" s="1"/>
  <c r="C33" i="43"/>
  <c r="E33" i="43" s="1"/>
  <c r="T10" i="43"/>
  <c r="V10" i="43" s="1"/>
  <c r="T6" i="43"/>
  <c r="C42" i="43"/>
  <c r="C40" i="43"/>
  <c r="C38" i="43"/>
  <c r="T16" i="43"/>
  <c r="V16" i="43" s="1"/>
  <c r="T14" i="43"/>
  <c r="V14" i="43" s="1"/>
  <c r="T9" i="43"/>
  <c r="V9" i="43" s="1"/>
  <c r="T4" i="43"/>
  <c r="V4" i="43" s="1"/>
  <c r="T2" i="43"/>
  <c r="V2" i="43" s="1"/>
  <c r="T12" i="43"/>
  <c r="V12" i="43" s="1"/>
  <c r="T11" i="43"/>
  <c r="V11" i="43" s="1"/>
  <c r="T7" i="43"/>
  <c r="V7" i="43" s="1"/>
  <c r="T5" i="43"/>
  <c r="V5" i="43" s="1"/>
  <c r="T3" i="43"/>
  <c r="V3" i="43" s="1"/>
  <c r="H7" i="37"/>
  <c r="H7" i="34"/>
  <c r="F7" i="33"/>
  <c r="F11" i="67"/>
  <c r="M11" i="67"/>
  <c r="J10" i="67" s="1"/>
  <c r="J5" i="67" s="1"/>
  <c r="M11" i="15"/>
  <c r="J10" i="15" s="1"/>
  <c r="J5" i="15" s="1"/>
  <c r="F11" i="15"/>
  <c r="W7" i="36"/>
  <c r="AC7" i="36"/>
  <c r="V36" i="36" s="1"/>
  <c r="I36" i="36" s="1"/>
  <c r="AB7" i="35"/>
  <c r="T38" i="35" s="1"/>
  <c r="G38" i="35" s="1"/>
  <c r="U7" i="35"/>
  <c r="D69" i="39"/>
  <c r="E67" i="39"/>
  <c r="F7" i="37"/>
  <c r="AA10" i="40"/>
  <c r="S10" i="40"/>
  <c r="AA10" i="39"/>
  <c r="S10" i="39"/>
  <c r="H7" i="36"/>
  <c r="C35" i="11"/>
  <c r="C38" i="11"/>
  <c r="C33" i="11"/>
  <c r="F7" i="21"/>
  <c r="S7" i="35"/>
  <c r="AA7" i="35"/>
  <c r="R38" i="35" s="1"/>
  <c r="J7" i="37"/>
  <c r="J7" i="34"/>
  <c r="F1" i="67"/>
  <c r="Q52" i="67"/>
  <c r="Q74" i="67"/>
  <c r="Q61" i="67"/>
  <c r="H7" i="33"/>
  <c r="L36" i="43"/>
  <c r="F24" i="15"/>
  <c r="C24" i="15" s="1"/>
  <c r="F22" i="69"/>
  <c r="F22" i="11"/>
  <c r="F25" i="12"/>
  <c r="C26" i="12" s="1"/>
  <c r="D25" i="12" s="1"/>
  <c r="F24" i="67"/>
  <c r="C24" i="67" s="1"/>
  <c r="F22" i="68"/>
  <c r="C26" i="67"/>
  <c r="AE6" i="1"/>
  <c r="C23" i="15" l="1"/>
  <c r="C29" i="15" s="1"/>
  <c r="C13" i="15" s="1"/>
  <c r="C23" i="67"/>
  <c r="AC7" i="34"/>
  <c r="V49" i="34" s="1"/>
  <c r="I49" i="34" s="1"/>
  <c r="W7" i="34"/>
  <c r="S7" i="37"/>
  <c r="AA7" i="37"/>
  <c r="R42" i="37" s="1"/>
  <c r="S7" i="36"/>
  <c r="AA7" i="36"/>
  <c r="R36" i="36" s="1"/>
  <c r="E69" i="39"/>
  <c r="F67" i="39"/>
  <c r="I40" i="36"/>
  <c r="J40" i="36" s="1"/>
  <c r="J26" i="67"/>
  <c r="J24" i="67"/>
  <c r="C42" i="68"/>
  <c r="C23" i="68"/>
  <c r="C26" i="68"/>
  <c r="D22" i="68" s="1"/>
  <c r="C25" i="68"/>
  <c r="C44" i="68"/>
  <c r="D41" i="68" s="1"/>
  <c r="C24" i="68"/>
  <c r="F41" i="68"/>
  <c r="C42" i="69"/>
  <c r="C24" i="69"/>
  <c r="C44" i="69"/>
  <c r="D41" i="69" s="1"/>
  <c r="C43" i="69"/>
  <c r="F41" i="69"/>
  <c r="C26" i="69"/>
  <c r="D22" i="69" s="1"/>
  <c r="AA7" i="21"/>
  <c r="R48" i="21" s="1"/>
  <c r="S7" i="21"/>
  <c r="U7" i="34"/>
  <c r="AB7" i="34"/>
  <c r="T49" i="34" s="1"/>
  <c r="G49" i="34" s="1"/>
  <c r="E38" i="43"/>
  <c r="G38" i="43"/>
  <c r="I38" i="43" s="1"/>
  <c r="C29" i="67"/>
  <c r="J14" i="67" s="1"/>
  <c r="W7" i="37"/>
  <c r="AC7" i="37"/>
  <c r="V42" i="37" s="1"/>
  <c r="I42" i="37" s="1"/>
  <c r="C46" i="11"/>
  <c r="C45" i="11" s="1"/>
  <c r="C39" i="11"/>
  <c r="C43" i="11" s="1"/>
  <c r="C42" i="11"/>
  <c r="U7" i="37"/>
  <c r="AB7" i="37"/>
  <c r="T42" i="37" s="1"/>
  <c r="G42" i="37" s="1"/>
  <c r="E40" i="43"/>
  <c r="G40" i="43"/>
  <c r="I40" i="43" s="1"/>
  <c r="G37" i="43"/>
  <c r="I37" i="43" s="1"/>
  <c r="E37" i="43"/>
  <c r="C30" i="43" s="1"/>
  <c r="S7" i="34"/>
  <c r="AA7" i="34"/>
  <c r="R49" i="34" s="1"/>
  <c r="I52" i="21"/>
  <c r="J52" i="21" s="1"/>
  <c r="L37" i="43"/>
  <c r="Q36" i="43"/>
  <c r="P36" i="43"/>
  <c r="M36" i="43"/>
  <c r="O36" i="43"/>
  <c r="N36" i="43"/>
  <c r="R39" i="35"/>
  <c r="E38" i="35"/>
  <c r="I43" i="35" s="1"/>
  <c r="J43" i="35" s="1"/>
  <c r="C53" i="67"/>
  <c r="C48" i="67" s="1"/>
  <c r="C66" i="67" s="1"/>
  <c r="C10" i="67"/>
  <c r="C5" i="67" s="1"/>
  <c r="C38" i="67" s="1"/>
  <c r="E42" i="43"/>
  <c r="G42" i="43"/>
  <c r="I42" i="43" s="1"/>
  <c r="G39" i="43"/>
  <c r="I39" i="43" s="1"/>
  <c r="E39" i="43"/>
  <c r="I42" i="35"/>
  <c r="J42" i="35" s="1"/>
  <c r="C27" i="12"/>
  <c r="C25" i="12" s="1"/>
  <c r="C32" i="12" s="1"/>
  <c r="B2" i="12" s="1"/>
  <c r="B3" i="12" s="1"/>
  <c r="E65" i="40"/>
  <c r="F63" i="40"/>
  <c r="C43" i="68"/>
  <c r="C57" i="15"/>
  <c r="C64" i="15" s="1"/>
  <c r="C44" i="11"/>
  <c r="D41" i="11" s="1"/>
  <c r="C26" i="11"/>
  <c r="D22" i="11" s="1"/>
  <c r="C24" i="11"/>
  <c r="C23" i="11"/>
  <c r="C25" i="11"/>
  <c r="AB7" i="33"/>
  <c r="T48" i="33" s="1"/>
  <c r="G48" i="33" s="1"/>
  <c r="U7" i="33"/>
  <c r="C53" i="15"/>
  <c r="C48" i="15" s="1"/>
  <c r="C66" i="15" s="1"/>
  <c r="C10" i="15"/>
  <c r="C5" i="15" s="1"/>
  <c r="C38" i="15" s="1"/>
  <c r="AA7" i="33"/>
  <c r="R48" i="33" s="1"/>
  <c r="S7" i="33"/>
  <c r="E34" i="43"/>
  <c r="C31" i="43" s="1"/>
  <c r="C34" i="43"/>
  <c r="V6" i="43"/>
  <c r="C6" i="69"/>
  <c r="G41" i="43"/>
  <c r="I41" i="43" s="1"/>
  <c r="E41" i="43"/>
  <c r="C30" i="12"/>
  <c r="C28" i="12" s="1"/>
  <c r="U7" i="36"/>
  <c r="AB7" i="36"/>
  <c r="T36" i="36" s="1"/>
  <c r="G36" i="36" s="1"/>
  <c r="G43" i="35"/>
  <c r="H43" i="35" s="1"/>
  <c r="G42" i="35"/>
  <c r="H42" i="35" s="1"/>
  <c r="J26" i="15"/>
  <c r="J29" i="15" s="1"/>
  <c r="J24" i="15"/>
  <c r="G53" i="21"/>
  <c r="H53" i="21" s="1"/>
  <c r="G52" i="21"/>
  <c r="H52" i="21" s="1"/>
  <c r="I52" i="33"/>
  <c r="J52" i="33" s="1"/>
  <c r="J59" i="15"/>
  <c r="J60" i="15" s="1"/>
  <c r="L46" i="15" s="1"/>
  <c r="C36" i="15"/>
  <c r="C57" i="67"/>
  <c r="C64" i="67" s="1"/>
  <c r="C36" i="67"/>
  <c r="C13" i="67"/>
  <c r="J59" i="67"/>
  <c r="J60" i="67" s="1"/>
  <c r="F41" i="67"/>
  <c r="E6" i="76"/>
  <c r="C56" i="15" l="1"/>
  <c r="C65" i="15" s="1"/>
  <c r="C75" i="15"/>
  <c r="C37" i="15"/>
  <c r="C30" i="15" s="1"/>
  <c r="C39" i="15" s="1"/>
  <c r="Q70" i="15"/>
  <c r="Q49" i="67"/>
  <c r="C41" i="11"/>
  <c r="C49" i="11" s="1"/>
  <c r="C51" i="11" s="1"/>
  <c r="C41" i="69"/>
  <c r="C49" i="69" s="1"/>
  <c r="C51" i="69" s="1"/>
  <c r="J14" i="15"/>
  <c r="Q49" i="15"/>
  <c r="F69" i="67"/>
  <c r="C58" i="15"/>
  <c r="C67" i="15" s="1"/>
  <c r="C68" i="15" s="1"/>
  <c r="C71" i="15" s="1"/>
  <c r="Q48" i="15"/>
  <c r="J29" i="67"/>
  <c r="E2" i="76"/>
  <c r="B2" i="43"/>
  <c r="C38" i="35"/>
  <c r="C39" i="35"/>
  <c r="M3" i="35" s="1"/>
  <c r="C7" i="69"/>
  <c r="C5" i="69" s="1"/>
  <c r="C22" i="11"/>
  <c r="C31" i="11" s="1"/>
  <c r="E49" i="34"/>
  <c r="R50" i="34"/>
  <c r="G54" i="34"/>
  <c r="H54" i="34" s="1"/>
  <c r="G53" i="34"/>
  <c r="H53" i="34" s="1"/>
  <c r="C22" i="68"/>
  <c r="C31" i="68" s="1"/>
  <c r="E36" i="36"/>
  <c r="R37" i="36"/>
  <c r="Q37" i="43"/>
  <c r="P37" i="43"/>
  <c r="M37" i="43"/>
  <c r="O37" i="43"/>
  <c r="N37" i="43"/>
  <c r="C41" i="68"/>
  <c r="C49" i="68" s="1"/>
  <c r="C51" i="68" s="1"/>
  <c r="I53" i="34"/>
  <c r="J53" i="34" s="1"/>
  <c r="G41" i="36"/>
  <c r="H41" i="36" s="1"/>
  <c r="G40" i="36"/>
  <c r="H40" i="36" s="1"/>
  <c r="G52" i="33"/>
  <c r="H52" i="33" s="1"/>
  <c r="G53" i="33"/>
  <c r="H53" i="33" s="1"/>
  <c r="F65" i="40"/>
  <c r="G63" i="40"/>
  <c r="E42" i="35"/>
  <c r="F42" i="35" s="1"/>
  <c r="E43" i="35"/>
  <c r="F43" i="35" s="1"/>
  <c r="G47" i="37"/>
  <c r="H47" i="37" s="1"/>
  <c r="G46" i="37"/>
  <c r="H46" i="37" s="1"/>
  <c r="F69" i="39"/>
  <c r="G67" i="39"/>
  <c r="E42" i="37"/>
  <c r="R43" i="37"/>
  <c r="R49" i="33"/>
  <c r="E48" i="33"/>
  <c r="I46" i="37"/>
  <c r="J46" i="37" s="1"/>
  <c r="I47" i="37"/>
  <c r="J47" i="37" s="1"/>
  <c r="R49" i="21"/>
  <c r="E48" i="21"/>
  <c r="Q48" i="67"/>
  <c r="L46" i="67"/>
  <c r="C75" i="67"/>
  <c r="Q70" i="67"/>
  <c r="C37" i="67"/>
  <c r="C30" i="67" s="1"/>
  <c r="C39" i="67" s="1"/>
  <c r="C56" i="67"/>
  <c r="C65" i="67" s="1"/>
  <c r="C58" i="67" s="1"/>
  <c r="C67" i="67" s="1"/>
  <c r="C68" i="67" s="1"/>
  <c r="J13" i="67"/>
  <c r="J23" i="67" s="1"/>
  <c r="J22" i="67"/>
  <c r="B6" i="76"/>
  <c r="L51" i="15"/>
  <c r="Q69" i="15" l="1"/>
  <c r="Q68" i="15" s="1"/>
  <c r="C80" i="15"/>
  <c r="C79" i="15" s="1"/>
  <c r="C40" i="15"/>
  <c r="Q65" i="15" s="1"/>
  <c r="J13" i="15"/>
  <c r="J23" i="15" s="1"/>
  <c r="J22" i="15"/>
  <c r="C52" i="68"/>
  <c r="B2" i="68" s="1"/>
  <c r="B3" i="68" s="1"/>
  <c r="B2" i="76"/>
  <c r="B3" i="76" s="1"/>
  <c r="C48" i="21"/>
  <c r="C49" i="21"/>
  <c r="C43" i="37"/>
  <c r="C42" i="37"/>
  <c r="C37" i="36"/>
  <c r="C36" i="36"/>
  <c r="E53" i="34"/>
  <c r="F53" i="34" s="1"/>
  <c r="E54" i="34"/>
  <c r="F54" i="34" s="1"/>
  <c r="E46" i="37"/>
  <c r="F46" i="37" s="1"/>
  <c r="E47" i="37"/>
  <c r="F47" i="37" s="1"/>
  <c r="G65" i="40"/>
  <c r="H63" i="40"/>
  <c r="E40" i="36"/>
  <c r="F40" i="36" s="1"/>
  <c r="E41" i="36"/>
  <c r="F41" i="36" s="1"/>
  <c r="I41" i="36"/>
  <c r="J41" i="36" s="1"/>
  <c r="C52" i="11"/>
  <c r="B2" i="11" s="1"/>
  <c r="B3" i="11" s="1"/>
  <c r="E53" i="33"/>
  <c r="F53" i="33" s="1"/>
  <c r="E52" i="33"/>
  <c r="F52" i="33" s="1"/>
  <c r="I53" i="33"/>
  <c r="J53" i="33" s="1"/>
  <c r="G69" i="39"/>
  <c r="H67" i="39"/>
  <c r="C20" i="69"/>
  <c r="C23" i="69"/>
  <c r="C22" i="69" s="1"/>
  <c r="B3" i="43"/>
  <c r="E52" i="21"/>
  <c r="F52" i="21" s="1"/>
  <c r="E53" i="21"/>
  <c r="F53" i="21" s="1"/>
  <c r="I53" i="21"/>
  <c r="J53" i="21" s="1"/>
  <c r="C48" i="33"/>
  <c r="C49" i="33"/>
  <c r="I54" i="34"/>
  <c r="J54" i="34" s="1"/>
  <c r="C50" i="34"/>
  <c r="C49" i="34"/>
  <c r="Q67" i="15"/>
  <c r="L57" i="15"/>
  <c r="L60" i="15" s="1"/>
  <c r="J16" i="67"/>
  <c r="J25" i="67" s="1"/>
  <c r="C80" i="67"/>
  <c r="C79" i="67" s="1"/>
  <c r="Q47" i="15"/>
  <c r="Q53" i="15" s="1"/>
  <c r="Q69" i="67"/>
  <c r="Q68" i="67" s="1"/>
  <c r="C40" i="67"/>
  <c r="C45" i="67" s="1"/>
  <c r="C46" i="67" s="1"/>
  <c r="C71" i="67"/>
  <c r="L51" i="67"/>
  <c r="C43" i="15" l="1"/>
  <c r="C46" i="15"/>
  <c r="C83" i="15"/>
  <c r="C82" i="15" s="1"/>
  <c r="Q56" i="15"/>
  <c r="B2" i="15"/>
  <c r="B3" i="15" s="1"/>
  <c r="C56" i="11"/>
  <c r="C57" i="11" s="1"/>
  <c r="J16" i="15"/>
  <c r="J25" i="15" s="1"/>
  <c r="C57" i="68"/>
  <c r="C56" i="68" s="1"/>
  <c r="H69" i="39"/>
  <c r="I67" i="39"/>
  <c r="C28" i="69"/>
  <c r="C27" i="69" s="1"/>
  <c r="C31" i="69" s="1"/>
  <c r="C52" i="69" s="1"/>
  <c r="C25" i="69"/>
  <c r="H65" i="40"/>
  <c r="I63" i="40"/>
  <c r="B2" i="34"/>
  <c r="B3" i="34"/>
  <c r="B3" i="33"/>
  <c r="B2" i="33"/>
  <c r="Q67" i="67"/>
  <c r="Q62" i="15"/>
  <c r="Q66" i="15"/>
  <c r="Q57" i="15"/>
  <c r="D2" i="67"/>
  <c r="Q56" i="67"/>
  <c r="Q62" i="67" s="1"/>
  <c r="Q65" i="67"/>
  <c r="Q75" i="67" s="1"/>
  <c r="Q47" i="67"/>
  <c r="Q53" i="67" s="1"/>
  <c r="C43" i="67"/>
  <c r="C83" i="67"/>
  <c r="C82" i="67" s="1"/>
  <c r="Q75" i="15"/>
  <c r="C20" i="9"/>
  <c r="C19" i="9"/>
  <c r="C102" i="9" l="1"/>
  <c r="C21" i="9"/>
  <c r="C103" i="9"/>
  <c r="B2" i="69"/>
  <c r="B3" i="69" s="1"/>
  <c r="C57" i="69"/>
  <c r="C56" i="69" s="1"/>
  <c r="I69" i="39"/>
  <c r="J67" i="39"/>
  <c r="I65" i="40"/>
  <c r="J63" i="40"/>
  <c r="B2" i="67"/>
  <c r="B3" i="67"/>
  <c r="AO6" i="1"/>
  <c r="D19" i="9"/>
  <c r="D20" i="9"/>
  <c r="J69" i="39" l="1"/>
  <c r="K67" i="39"/>
  <c r="J65" i="40"/>
  <c r="K63" i="40"/>
  <c r="D103" i="9"/>
  <c r="G20" i="9"/>
  <c r="D21" i="9"/>
  <c r="D102" i="9"/>
  <c r="D22" i="9"/>
  <c r="G19" i="9"/>
  <c r="B6" i="70"/>
  <c r="B2" i="70" s="1"/>
  <c r="B3" i="70" s="1"/>
  <c r="K65" i="40" l="1"/>
  <c r="L63" i="40"/>
  <c r="K69" i="39"/>
  <c r="L67" i="39"/>
  <c r="D14" i="74"/>
  <c r="G21" i="9"/>
  <c r="C32" i="9"/>
  <c r="G26" i="9"/>
  <c r="L65" i="40" l="1"/>
  <c r="M63" i="40"/>
  <c r="L69" i="39"/>
  <c r="M67" i="39"/>
  <c r="R24" i="31"/>
  <c r="I118" i="9"/>
  <c r="D35" i="9"/>
  <c r="D34" i="9"/>
  <c r="E14" i="74"/>
  <c r="G14" i="74"/>
  <c r="B6" i="74" s="1"/>
  <c r="F14" i="74"/>
  <c r="B5" i="74"/>
  <c r="M69" i="39" l="1"/>
  <c r="N67" i="39"/>
  <c r="M65" i="40"/>
  <c r="N63" i="40"/>
  <c r="D5" i="74"/>
  <c r="D6" i="74"/>
  <c r="H118" i="9"/>
  <c r="C105" i="9"/>
  <c r="I4" i="52"/>
  <c r="H102" i="9"/>
  <c r="D7" i="53" s="1"/>
  <c r="B21" i="72" s="1"/>
  <c r="T24" i="31"/>
  <c r="S24" i="31"/>
  <c r="R25" i="31"/>
  <c r="N65" i="40" l="1"/>
  <c r="O63" i="40"/>
  <c r="O65" i="40" s="1"/>
  <c r="N69" i="39"/>
  <c r="O67" i="39"/>
  <c r="O69" i="39" s="1"/>
  <c r="T25" i="31"/>
  <c r="T22" i="31" s="1"/>
  <c r="S25" i="31"/>
  <c r="S22" i="31" s="1"/>
  <c r="C5" i="74"/>
  <c r="H119" i="9"/>
  <c r="H5" i="52" s="1"/>
  <c r="H101" i="9"/>
  <c r="C104" i="9"/>
  <c r="H4" i="52"/>
  <c r="F7" i="40" l="1"/>
  <c r="H7" i="40"/>
  <c r="J7" i="40"/>
  <c r="H7" i="39"/>
  <c r="F7" i="39"/>
  <c r="J7" i="39"/>
  <c r="R22" i="31"/>
  <c r="B20" i="31"/>
  <c r="B21" i="31" s="1"/>
  <c r="M48" i="9"/>
  <c r="D45" i="9"/>
  <c r="H107" i="9"/>
  <c r="D5" i="53"/>
  <c r="U7" i="39" l="1"/>
  <c r="AB7" i="39"/>
  <c r="T47" i="39" s="1"/>
  <c r="G47" i="39" s="1"/>
  <c r="AC7" i="40"/>
  <c r="V42" i="40" s="1"/>
  <c r="I42" i="40" s="1"/>
  <c r="W7" i="40"/>
  <c r="W7" i="39"/>
  <c r="AC7" i="39"/>
  <c r="V47" i="39" s="1"/>
  <c r="I47" i="39" s="1"/>
  <c r="U7" i="40"/>
  <c r="AB7" i="40"/>
  <c r="T42" i="40" s="1"/>
  <c r="G42" i="40" s="1"/>
  <c r="S7" i="39"/>
  <c r="AA7" i="39"/>
  <c r="R47" i="39" s="1"/>
  <c r="S7" i="40"/>
  <c r="AA7" i="40"/>
  <c r="R42" i="40" s="1"/>
  <c r="C72" i="9"/>
  <c r="C64" i="9"/>
  <c r="C63" i="9" s="1"/>
  <c r="C67" i="9" s="1"/>
  <c r="D53" i="9"/>
  <c r="C78" i="9"/>
  <c r="C73" i="9" s="1"/>
  <c r="D52" i="9"/>
  <c r="C93" i="9"/>
  <c r="C86" i="9" s="1"/>
  <c r="C85" i="9"/>
  <c r="D55" i="9"/>
  <c r="M53" i="9" s="1"/>
  <c r="B20" i="72"/>
  <c r="D6" i="53"/>
  <c r="B22" i="72" s="1"/>
  <c r="D13" i="53"/>
  <c r="D122" i="9"/>
  <c r="H108" i="9"/>
  <c r="M49" i="9"/>
  <c r="R43" i="40" l="1"/>
  <c r="E42" i="40"/>
  <c r="G46" i="40"/>
  <c r="H46" i="40" s="1"/>
  <c r="G47" i="40"/>
  <c r="H47" i="40" s="1"/>
  <c r="I47" i="40"/>
  <c r="J47" i="40" s="1"/>
  <c r="I46" i="40"/>
  <c r="J46" i="40" s="1"/>
  <c r="R48" i="39"/>
  <c r="E47" i="39"/>
  <c r="I51" i="39"/>
  <c r="J51" i="39" s="1"/>
  <c r="G51" i="39"/>
  <c r="H51" i="39" s="1"/>
  <c r="G52" i="39"/>
  <c r="H52" i="39" s="1"/>
  <c r="C95" i="9"/>
  <c r="C96" i="9" s="1"/>
  <c r="E96" i="9" s="1"/>
  <c r="E97" i="9" s="1"/>
  <c r="D123" i="9"/>
  <c r="D9" i="52" s="1"/>
  <c r="D8" i="52"/>
  <c r="D14" i="53"/>
  <c r="B32" i="72" s="1"/>
  <c r="B30" i="72"/>
  <c r="D59" i="9"/>
  <c r="M55" i="9" s="1"/>
  <c r="C68" i="9"/>
  <c r="D54" i="9" s="1"/>
  <c r="L66" i="9"/>
  <c r="M66" i="9" s="1"/>
  <c r="L64" i="9"/>
  <c r="M64" i="9" s="1"/>
  <c r="L68" i="9"/>
  <c r="M68" i="9" s="1"/>
  <c r="L67" i="9"/>
  <c r="M67" i="9" s="1"/>
  <c r="L65" i="9"/>
  <c r="M65" i="9" s="1"/>
  <c r="L63" i="9"/>
  <c r="M63" i="9" s="1"/>
  <c r="D107" i="9"/>
  <c r="D15" i="53"/>
  <c r="B31" i="72" s="1"/>
  <c r="C6" i="74"/>
  <c r="C79" i="9"/>
  <c r="E52" i="39" l="1"/>
  <c r="F52" i="39" s="1"/>
  <c r="E51" i="39"/>
  <c r="F51" i="39" s="1"/>
  <c r="C48" i="39"/>
  <c r="C47" i="39"/>
  <c r="E47" i="40"/>
  <c r="F47" i="40" s="1"/>
  <c r="E46" i="40"/>
  <c r="F46" i="40" s="1"/>
  <c r="M69" i="9"/>
  <c r="N69" i="9" s="1"/>
  <c r="I52" i="39"/>
  <c r="J52" i="39" s="1"/>
  <c r="C43" i="40"/>
  <c r="C42" i="40"/>
  <c r="C80" i="9"/>
  <c r="E80" i="9" s="1"/>
  <c r="E81" i="9" s="1"/>
  <c r="C97" i="9"/>
  <c r="D58" i="9" s="1"/>
  <c r="D56" i="9" s="1"/>
  <c r="M54" i="9" s="1"/>
  <c r="N57" i="9" s="1"/>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58" i="9"/>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<sst xmlns="http://schemas.openxmlformats.org/spreadsheetml/2006/main" count="8078" uniqueCount="2792">
  <si>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</si>
  <si>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</si>
  <si>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</si>
  <si>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</si>
  <si>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</si>
  <si>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</si>
  <si>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</si>
  <si>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</si>
  <si>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</si>
  <si>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</si>
  <si>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</si>
  <si>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</si>
  <si>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</si>
  <si>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</si>
  <si>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</si>
  <si>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</si>
  <si>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</si>
  <si>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</si>
  <si>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</si>
  <si>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</si>
  <si>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</si>
  <si>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</si>
  <si>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</si>
  <si>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</si>
  <si>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</si>
  <si>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</si>
  <si>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</si>
  <si>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</si>
  <si>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</si>
  <si>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</si>
  <si>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</si>
  <si>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</si>
  <si>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</si>
  <si>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</si>
  <si>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</si>
  <si>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</si>
  <si>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</si>
  <si>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</si>
  <si>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</si>
  <si>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</si>
  <si>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</si>
  <si>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</si>
  <si>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</si>
  <si>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</si>
  <si>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</si>
  <si>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</si>
  <si>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</si>
  <si>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</si>
  <si>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</si>
  <si>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</si>
  <si>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</si>
  <si>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</si>
  <si>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</si>
  <si>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</si>
  <si>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</si>
  <si>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</si>
  <si>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</si>
  <si>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</si>
  <si>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</si>
  <si>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</si>
  <si>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</si>
  <si>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</si>
  <si>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</si>
  <si>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</si>
  <si>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</si>
  <si>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</si>
  <si>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</si>
  <si>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</si>
  <si>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</si>
  <si>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</si>
  <si>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</si>
  <si>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</si>
  <si>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</si>
  <si>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</si>
  <si>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</si>
  <si>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</si>
  <si>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</si>
  <si>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</si>
  <si>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</si>
  <si>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</si>
  <si>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</si>
  <si>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</si>
  <si>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</si>
  <si>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</si>
  <si>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</si>
  <si>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</si>
  <si>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</si>
  <si>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</si>
  <si>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</si>
  <si>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</si>
  <si>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</si>
  <si>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</si>
  <si>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</si>
  <si>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</si>
  <si>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</si>
  <si>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</si>
  <si>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</si>
  <si>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</si>
  <si>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</si>
  <si>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</si>
  <si>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</si>
  <si>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</si>
  <si>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</si>
  <si>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</si>
  <si>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</si>
  <si>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</si>
  <si>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</si>
  <si>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</si>
  <si>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</si>
  <si>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</si>
  <si>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</si>
  <si>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</si>
  <si>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</si>
  <si>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</si>
  <si>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</si>
  <si>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</si>
  <si>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</si>
  <si>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</si>
  <si>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</si>
  <si>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</si>
  <si>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</si>
  <si>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</si>
  <si>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</si>
  <si>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</si>
  <si>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</si>
  <si>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</si>
  <si>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</si>
  <si>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</si>
  <si>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</si>
  <si>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</si>
  <si>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</si>
  <si>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</si>
  <si>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</si>
  <si>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</si>
  <si>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</si>
  <si>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</si>
  <si>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</si>
  <si>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</si>
  <si>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</si>
  <si>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</si>
  <si>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</si>
  <si>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</si>
  <si>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</si>
  <si>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</si>
  <si>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</si>
  <si>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</si>
  <si>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</si>
  <si>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</si>
  <si>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</si>
  <si>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</si>
  <si>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</si>
  <si>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</si>
  <si>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</si>
  <si>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</si>
  <si>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</si>
  <si>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</si>
  <si>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</si>
  <si>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</si>
  <si>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</si>
  <si>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</si>
  <si>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</si>
  <si>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</si>
  <si>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</si>
  <si>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</si>
  <si>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</si>
  <si>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</si>
  <si>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</si>
  <si>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</si>
  <si>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</si>
  <si>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</si>
  <si>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</si>
  <si>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</si>
  <si>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</si>
  <si>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</si>
  <si>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</si>
  <si>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</si>
  <si>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</si>
  <si>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</si>
  <si>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</si>
  <si>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</si>
  <si>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</si>
  <si>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</si>
  <si>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</si>
  <si>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</si>
  <si>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</si>
  <si>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</si>
  <si>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</si>
  <si>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</si>
  <si>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</si>
  <si>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</si>
  <si>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</si>
  <si>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</si>
  <si>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</si>
  <si>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</si>
  <si>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</si>
  <si>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</si>
  <si>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</si>
  <si>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</si>
  <si>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</si>
  <si>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</si>
  <si>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</si>
  <si>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</si>
  <si>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</si>
  <si>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</si>
  <si>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</si>
  <si>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</si>
  <si>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</si>
  <si>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</si>
  <si>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</si>
  <si>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</si>
  <si>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</si>
  <si>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</si>
  <si>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</si>
  <si>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</si>
  <si>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</si>
  <si>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</si>
  <si>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</si>
  <si>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</si>
  <si>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</si>
  <si>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</si>
  <si>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</si>
  <si>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</si>
  <si>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</si>
  <si>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</si>
  <si>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</si>
  <si>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</si>
  <si>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</si>
  <si>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</si>
  <si>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</si>
  <si>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</si>
  <si>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</si>
  <si>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</si>
  <si>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</si>
  <si>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</si>
  <si>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</si>
  <si>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</si>
  <si>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</si>
  <si>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</si>
  <si>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</si>
  <si>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</si>
  <si>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</si>
  <si>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</si>
  <si>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</si>
  <si>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</si>
  <si>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</si>
  <si>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</si>
  <si>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</si>
  <si>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</si>
  <si>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</si>
  <si>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</si>
  <si>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</si>
  <si>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</si>
  <si>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</si>
  <si>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</si>
  <si>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</si>
  <si>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</si>
  <si>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</si>
  <si>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</si>
  <si>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</si>
  <si>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</si>
  <si>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</si>
  <si>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</si>
  <si>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</si>
  <si>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</si>
  <si>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</si>
  <si>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</si>
  <si>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</si>
  <si>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</si>
  <si>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</si>
  <si>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</si>
  <si>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</si>
  <si>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</si>
  <si>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</si>
  <si>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</si>
  <si>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</si>
  <si>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</si>
  <si>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</si>
  <si>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</si>
  <si>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</si>
  <si>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</si>
  <si>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</si>
  <si>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</si>
  <si>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</si>
  <si>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</si>
  <si>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</si>
  <si>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</si>
  <si>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</si>
  <si>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</si>
  <si>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</si>
  <si>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</si>
  <si>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</si>
  <si>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</si>
  <si>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</si>
  <si>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</si>
  <si>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</si>
  <si>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</si>
  <si>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</si>
  <si>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</si>
  <si>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</si>
  <si>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</si>
  <si>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</si>
  <si>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</si>
  <si>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</si>
  <si>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</si>
  <si>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</si>
  <si>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</si>
  <si>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</si>
  <si>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</si>
  <si>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</si>
  <si>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</si>
  <si>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</si>
  <si>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</si>
  <si>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</si>
  <si>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</si>
  <si>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</si>
  <si>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</si>
  <si>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</si>
  <si>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</si>
  <si>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</si>
  <si>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</si>
  <si>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</si>
  <si>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</si>
  <si>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</si>
  <si>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</si>
  <si>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</si>
  <si>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</si>
  <si>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</si>
  <si>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</si>
  <si>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</si>
  <si>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</si>
  <si>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</si>
  <si>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</si>
  <si>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</si>
  <si>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</si>
  <si>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</si>
  <si>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</si>
  <si>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</si>
  <si>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</si>
  <si>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</si>
  <si>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</si>
  <si>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</si>
  <si>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</si>
  <si>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</si>
  <si>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</si>
  <si>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</si>
  <si>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</si>
  <si>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</si>
  <si>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</si>
  <si>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</si>
  <si>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</si>
  <si>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</si>
  <si>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</si>
  <si>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</si>
  <si>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</si>
  <si>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</si>
  <si>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</si>
  <si>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</si>
  <si>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</si>
  <si>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</si>
  <si>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</si>
  <si>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</si>
  <si>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</si>
  <si>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</si>
  <si>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</si>
  <si>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</si>
  <si>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</si>
  <si>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</si>
  <si>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</si>
  <si>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</si>
  <si>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</si>
  <si>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</si>
  <si>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</si>
  <si>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</si>
  <si>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</si>
  <si>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</si>
  <si>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</si>
  <si>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</si>
  <si>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</si>
  <si>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</si>
  <si>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</si>
  <si>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</si>
  <si>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</si>
  <si>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</si>
  <si>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</si>
  <si>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</si>
  <si>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</si>
  <si>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</si>
  <si>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</si>
  <si>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</si>
  <si>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</si>
  <si>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</si>
  <si>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</si>
  <si>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</si>
  <si>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</si>
  <si>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</si>
  <si>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</si>
  <si>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</si>
  <si>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</si>
  <si>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</si>
  <si>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</si>
  <si>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</si>
  <si>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</si>
  <si>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</si>
  <si>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</si>
  <si>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</si>
  <si>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</si>
  <si>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</si>
  <si>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</si>
  <si>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</si>
  <si>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</si>
  <si>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</si>
  <si>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</si>
  <si>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</si>
  <si>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</si>
  <si>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</si>
  <si>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</si>
  <si>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</si>
  <si>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</si>
  <si>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</si>
  <si>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</si>
  <si>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</si>
  <si>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</si>
  <si>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</si>
  <si>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</si>
  <si>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</si>
  <si>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</si>
  <si>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</si>
  <si>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</si>
  <si>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</si>
  <si>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</si>
  <si>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</si>
  <si>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</si>
  <si>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</si>
  <si>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</si>
  <si>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</si>
  <si>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</si>
  <si>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</si>
  <si>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</si>
  <si>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</si>
  <si>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</si>
  <si>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</si>
  <si>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</si>
  <si>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</si>
  <si>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</si>
  <si>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</si>
  <si>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</si>
  <si>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</si>
  <si>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</si>
  <si>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</si>
  <si>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</si>
  <si>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</si>
  <si>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</si>
  <si>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</si>
  <si>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</si>
  <si>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</si>
  <si>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</si>
  <si>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</si>
  <si>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</si>
  <si>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</si>
  <si>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</si>
  <si>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</si>
  <si>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</si>
  <si>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</si>
  <si>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</si>
  <si>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</si>
  <si>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</si>
  <si>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</si>
  <si>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</si>
  <si>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</si>
  <si>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</si>
  <si>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</si>
  <si>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</si>
  <si>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</si>
  <si>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</si>
  <si>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</si>
  <si>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</si>
  <si>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</si>
  <si>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</si>
  <si>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</si>
  <si>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</si>
  <si>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</si>
  <si>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</si>
  <si>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</si>
  <si>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</si>
  <si>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</si>
  <si>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</si>
  <si>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</si>
  <si>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</si>
  <si>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</si>
  <si>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</si>
  <si>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</si>
  <si>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</si>
  <si>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</si>
  <si>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</si>
  <si>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</si>
  <si>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</si>
  <si>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</si>
  <si>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</si>
  <si>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</si>
  <si>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</si>
  <si>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</si>
  <si>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</si>
  <si>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</si>
  <si>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</si>
  <si>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</si>
  <si>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</si>
  <si>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</si>
  <si>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</si>
  <si>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</si>
  <si>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</si>
  <si>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</si>
  <si>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</si>
  <si>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</si>
  <si>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</si>
  <si>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</si>
  <si>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</si>
  <si>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</si>
  <si>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</si>
  <si>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</si>
  <si>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</si>
  <si>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</si>
  <si>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</si>
  <si>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</si>
  <si>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</si>
  <si>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</si>
  <si>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</si>
  <si>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</si>
  <si>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</si>
  <si>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</si>
  <si>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</si>
  <si>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</si>
  <si>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</si>
  <si>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</si>
  <si>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</si>
  <si>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</si>
  <si>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</si>
  <si>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</si>
  <si>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</si>
  <si>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</si>
  <si>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</si>
  <si>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</si>
  <si>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</si>
  <si>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</si>
  <si>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</si>
  <si>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</si>
  <si>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</si>
  <si>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</si>
  <si>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</si>
  <si>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</si>
  <si>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</si>
  <si>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</si>
  <si>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</si>
  <si>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</si>
  <si>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</si>
  <si>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</si>
  <si>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</si>
  <si>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</si>
  <si>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</si>
  <si>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</si>
  <si>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</si>
  <si>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</si>
  <si>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</si>
  <si>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</si>
  <si>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</si>
  <si>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</si>
  <si>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</si>
  <si>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</si>
  <si>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</si>
  <si>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</si>
  <si>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</si>
  <si>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</si>
  <si>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</si>
  <si>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</si>
  <si>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</si>
  <si>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</si>
  <si>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</si>
  <si>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</si>
  <si>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</si>
  <si>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</si>
  <si>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</si>
  <si>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</si>
  <si>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</si>
  <si>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</si>
  <si>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</si>
  <si>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</si>
  <si>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</si>
  <si>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</si>
  <si>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</si>
  <si>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</si>
  <si>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</si>
  <si>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</si>
  <si>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</si>
  <si>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</si>
  <si>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</si>
  <si>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</si>
  <si>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</si>
  <si>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</si>
  <si>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</si>
  <si>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</si>
  <si>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</si>
  <si>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</si>
  <si>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</si>
  <si>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</si>
  <si>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</si>
  <si>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</si>
  <si>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</si>
  <si>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</si>
  <si>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</si>
  <si>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</si>
  <si>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</si>
  <si>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</si>
  <si>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</si>
  <si>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</si>
  <si>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</si>
  <si>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</si>
  <si>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</si>
  <si>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</si>
  <si>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</si>
  <si>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</si>
  <si>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</si>
  <si>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</si>
  <si>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</si>
  <si>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</si>
  <si>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</si>
  <si>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</si>
  <si>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</si>
  <si>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</si>
  <si>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</si>
  <si>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</si>
  <si>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</si>
  <si>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</si>
  <si>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</si>
  <si>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</si>
  <si>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</si>
  <si>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</si>
  <si>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</si>
  <si>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</si>
  <si>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</si>
  <si>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</si>
  <si>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</si>
  <si>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</si>
  <si>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</si>
  <si>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</si>
  <si>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</si>
  <si>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</si>
  <si>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</si>
  <si>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</si>
  <si>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</si>
  <si>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</si>
  <si>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</si>
  <si>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</si>
  <si>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</si>
  <si>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</si>
  <si>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</si>
  <si>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</si>
  <si>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</si>
  <si>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</si>
  <si>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</si>
  <si>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</si>
  <si>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</si>
  <si>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</si>
  <si>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</si>
  <si>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</si>
  <si>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</si>
  <si>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</si>
  <si>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</si>
  <si>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</si>
  <si>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</si>
  <si>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</si>
  <si>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</si>
  <si>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</si>
  <si>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</si>
  <si>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</si>
  <si>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</si>
  <si>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</si>
  <si>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</si>
  <si>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</si>
  <si>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</si>
  <si>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</si>
  <si>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</si>
  <si>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</si>
  <si>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</si>
  <si>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</si>
  <si>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</si>
  <si>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</si>
  <si>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</si>
  <si>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</si>
  <si>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</si>
  <si>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</si>
  <si>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</si>
  <si>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</si>
  <si>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</si>
  <si>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</si>
  <si>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</si>
  <si>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</si>
  <si>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</si>
  <si>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</si>
  <si>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</si>
  <si>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</si>
  <si>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</si>
  <si>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</si>
  <si>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</si>
  <si>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</si>
  <si>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</si>
  <si>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</si>
  <si>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</si>
  <si>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</si>
  <si>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</si>
  <si>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</si>
  <si>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</si>
  <si>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</si>
  <si>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</si>
  <si>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</si>
  <si>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</si>
  <si>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</si>
  <si>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</si>
  <si>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</si>
  <si>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</si>
  <si>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</si>
  <si>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</si>
  <si>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</si>
  <si>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</si>
  <si>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</si>
  <si>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</si>
  <si>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</si>
  <si>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</si>
  <si>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</si>
  <si>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</si>
  <si>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</si>
  <si>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</si>
  <si>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</si>
  <si>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</si>
  <si>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</si>
  <si>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</si>
  <si>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</si>
  <si>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</si>
  <si>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</si>
  <si>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</si>
  <si>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</si>
  <si>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</si>
  <si>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</si>
  <si>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</si>
  <si>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</si>
  <si>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</si>
  <si>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</si>
  <si>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</si>
  <si>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</si>
  <si>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</si>
  <si>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</si>
  <si>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</si>
  <si>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</si>
  <si>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</si>
  <si>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</si>
  <si>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</si>
  <si>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</si>
  <si>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</si>
  <si>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</si>
  <si>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</si>
  <si>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</si>
  <si>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</si>
  <si>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</si>
  <si>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</si>
  <si>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</si>
  <si>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</si>
  <si>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</si>
  <si>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</si>
  <si>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</si>
  <si>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</si>
  <si>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</si>
  <si>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</si>
  <si>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</si>
  <si>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</si>
  <si>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</si>
  <si>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</si>
  <si>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</si>
  <si>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</si>
  <si>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</si>
  <si>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</si>
  <si>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</si>
  <si>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</si>
  <si>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</si>
  <si>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</si>
  <si>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</si>
  <si>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</si>
  <si>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</si>
  <si>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</si>
  <si>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</si>
  <si>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</si>
  <si>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</si>
  <si>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</si>
  <si>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</si>
  <si>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</si>
  <si>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</si>
  <si>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</si>
  <si>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</si>
  <si>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</si>
  <si>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</si>
  <si>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</si>
  <si>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</si>
  <si>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</si>
  <si>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</si>
  <si>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</si>
  <si>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</si>
  <si>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</si>
  <si>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</si>
  <si>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</si>
  <si>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</si>
  <si>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</si>
  <si>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</si>
  <si>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</si>
  <si>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</si>
  <si>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</si>
  <si>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</si>
  <si>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</si>
  <si>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</si>
  <si>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</si>
  <si>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</si>
  <si>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</si>
  <si>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</si>
  <si>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</si>
  <si>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</si>
  <si>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</si>
  <si>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</si>
  <si>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</si>
  <si>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</si>
  <si>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</si>
  <si>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</si>
  <si>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</si>
  <si>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</si>
  <si>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</si>
  <si>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</si>
  <si>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</si>
  <si>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</si>
  <si>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</si>
  <si>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</si>
  <si>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</si>
  <si>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</si>
  <si>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</si>
  <si>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</si>
  <si>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</si>
  <si>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</si>
  <si>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</si>
  <si>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</si>
  <si>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</si>
  <si>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</si>
  <si>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</si>
  <si>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</si>
  <si>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</si>
  <si>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</si>
  <si>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</si>
  <si>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</si>
  <si>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</si>
  <si>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</si>
  <si>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</si>
  <si>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</si>
  <si>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</si>
  <si>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</si>
  <si>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</si>
  <si>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</si>
  <si>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</si>
  <si>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</si>
  <si>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</si>
  <si>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</si>
  <si>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</si>
  <si>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</si>
  <si>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</si>
  <si>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</si>
  <si>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</si>
  <si>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</si>
  <si>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</si>
  <si>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</si>
  <si>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</si>
  <si>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</si>
  <si>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</si>
  <si>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</si>
  <si>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</si>
  <si>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</si>
  <si>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</si>
  <si>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</si>
  <si>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</si>
  <si>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</si>
  <si>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</si>
  <si>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</si>
  <si>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</si>
  <si>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</si>
  <si>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</si>
  <si>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</si>
  <si>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</si>
  <si>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</si>
  <si>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</si>
  <si>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</si>
  <si>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</si>
  <si>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</si>
  <si>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</si>
  <si>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</si>
  <si>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</si>
  <si>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</si>
  <si>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</si>
  <si>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</si>
  <si>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</si>
  <si>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</si>
  <si>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</si>
  <si>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</si>
  <si>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</si>
  <si>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</si>
  <si>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</si>
  <si>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</si>
  <si>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</si>
  <si>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</si>
  <si>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</si>
  <si>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</si>
  <si>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</si>
  <si>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</si>
  <si>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</si>
  <si>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</si>
  <si>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</si>
  <si>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</si>
  <si>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</si>
  <si>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</si>
  <si>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</si>
  <si>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</si>
  <si>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</si>
  <si>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</si>
  <si>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</si>
  <si>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</si>
  <si>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</si>
  <si>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</si>
  <si>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</si>
  <si>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</si>
  <si>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</si>
  <si>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</si>
  <si>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</si>
  <si>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</si>
  <si>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</si>
  <si>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</si>
  <si>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</si>
  <si>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</si>
  <si>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</si>
  <si>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</si>
  <si>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</si>
  <si>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</si>
  <si>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</si>
  <si>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</si>
  <si>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</si>
  <si>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</si>
  <si>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</si>
  <si>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</si>
  <si>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</si>
  <si>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</si>
  <si>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</si>
  <si>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</si>
  <si>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</si>
  <si>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</si>
  <si>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</si>
  <si>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</si>
  <si>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</si>
  <si>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</si>
  <si>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</si>
  <si>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</si>
  <si>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</si>
  <si>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</si>
  <si>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</si>
  <si>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</si>
  <si>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</si>
  <si>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</si>
  <si>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</si>
  <si>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</si>
  <si>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</si>
  <si>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</si>
  <si>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</si>
  <si>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</si>
  <si>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</si>
  <si>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</si>
  <si>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</si>
  <si>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</si>
  <si>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</si>
  <si>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</si>
  <si>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</si>
  <si>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</si>
  <si>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</si>
  <si>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</si>
  <si>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</si>
  <si>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</si>
  <si>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</si>
  <si>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</si>
  <si>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</si>
  <si>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</si>
  <si>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</si>
  <si>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</si>
  <si>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</si>
  <si>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</si>
  <si>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</si>
  <si>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</si>
  <si>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</si>
  <si>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</si>
  <si>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</si>
  <si>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</si>
  <si>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</si>
  <si>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</si>
  <si>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</si>
  <si>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</si>
  <si>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</si>
  <si>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</si>
  <si>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</si>
  <si>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</si>
  <si>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</si>
  <si>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</si>
  <si>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</si>
  <si>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</si>
  <si>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</si>
  <si>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</si>
  <si>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</si>
  <si>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</si>
  <si>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</si>
  <si>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</si>
  <si>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</si>
  <si>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</si>
  <si>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</si>
  <si>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</si>
  <si>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</si>
  <si>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</si>
  <si>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</si>
  <si>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</si>
  <si>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</si>
  <si>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</si>
  <si>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</si>
  <si>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</si>
  <si>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</si>
  <si>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</si>
  <si>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</si>
  <si>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</si>
  <si>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</si>
  <si>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</si>
  <si>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</si>
  <si>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</si>
  <si>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</si>
  <si>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</si>
  <si>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</si>
  <si>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</si>
  <si>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</si>
  <si>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</si>
  <si>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</si>
  <si>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</si>
  <si>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</si>
  <si>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</si>
  <si>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</si>
  <si>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</si>
  <si>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</si>
  <si>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</si>
  <si>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</si>
  <si>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</si>
  <si>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</si>
  <si>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</si>
  <si>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</si>
  <si>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</si>
  <si>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</si>
  <si>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</si>
  <si>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</si>
  <si>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</si>
  <si>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</si>
  <si>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</si>
  <si>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</si>
  <si>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</si>
  <si>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</si>
  <si>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</si>
  <si>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</si>
  <si>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</si>
  <si>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</si>
  <si>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</si>
  <si>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</si>
  <si>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</si>
  <si>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</si>
  <si>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</si>
  <si>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</si>
  <si>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</si>
  <si>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</si>
  <si>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</si>
  <si>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</si>
  <si>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</si>
  <si>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</si>
  <si>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</si>
  <si>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</si>
  <si>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</si>
  <si>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</si>
  <si>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</si>
  <si>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</si>
  <si>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</si>
  <si>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</si>
  <si>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</si>
  <si>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</si>
  <si>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</si>
  <si>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</si>
  <si>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</si>
  <si>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</si>
  <si>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</si>
  <si>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</si>
  <si>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</si>
  <si>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</si>
  <si>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</si>
  <si>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</si>
  <si>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</si>
  <si>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</si>
  <si>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</si>
  <si>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</si>
  <si>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</si>
  <si>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</si>
  <si>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</si>
  <si>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</si>
  <si>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</si>
  <si>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</si>
  <si>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</si>
  <si>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</si>
  <si>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</si>
  <si>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</si>
  <si>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</si>
  <si>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</si>
  <si>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</si>
  <si>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</si>
  <si>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</si>
  <si>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</si>
  <si>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</si>
  <si>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</si>
  <si>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</si>
  <si>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</si>
  <si>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</si>
  <si>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</si>
  <si>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</si>
  <si>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</si>
  <si>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</si>
  <si>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</si>
  <si>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</si>
  <si>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</si>
  <si>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</si>
  <si>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</si>
  <si>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</si>
  <si>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</si>
  <si>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</si>
  <si>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</si>
  <si>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</si>
  <si>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</si>
  <si>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</si>
  <si>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</si>
  <si>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</si>
  <si>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</si>
  <si>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</si>
  <si>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</si>
  <si>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</si>
  <si>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</si>
  <si>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</si>
  <si>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</si>
  <si>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</si>
  <si>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</si>
  <si>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</si>
  <si>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</si>
  <si>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</si>
  <si>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</si>
  <si>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</si>
  <si>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</si>
  <si>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</si>
  <si>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</si>
  <si>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</si>
  <si>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</si>
  <si>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</si>
  <si>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</si>
  <si>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</si>
  <si>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</si>
  <si>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</si>
  <si>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</si>
  <si>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</si>
  <si>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</si>
  <si>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</si>
  <si>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</si>
  <si>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</si>
  <si>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</si>
  <si>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</si>
  <si>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</si>
  <si>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</si>
  <si>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</si>
  <si>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</si>
  <si>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</si>
  <si>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</si>
  <si>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</si>
  <si>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</si>
  <si>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</si>
  <si>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</si>
  <si>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</si>
  <si>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</si>
  <si>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</si>
  <si>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</si>
  <si>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</si>
  <si>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</si>
  <si>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</si>
  <si>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</si>
  <si>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</si>
  <si>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</si>
  <si>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</si>
  <si>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</si>
  <si>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</si>
  <si>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</si>
  <si>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</si>
  <si>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</si>
  <si>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</si>
  <si>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</si>
  <si>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</si>
  <si>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</si>
  <si>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</si>
  <si>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</si>
  <si>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</si>
  <si>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</si>
  <si>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</si>
  <si>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</si>
  <si>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</si>
  <si>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</si>
  <si>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</si>
  <si>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</si>
  <si>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</si>
  <si>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</si>
  <si>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</si>
  <si>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</si>
  <si>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</si>
  <si>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</si>
  <si>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</si>
  <si>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</si>
  <si>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</si>
  <si>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</si>
  <si>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</si>
  <si>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</si>
  <si>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</si>
  <si>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</si>
  <si>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</si>
  <si>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</si>
  <si>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</si>
  <si>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</si>
  <si>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</si>
  <si>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</si>
  <si>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</si>
  <si>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</si>
  <si>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</si>
  <si>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</si>
  <si>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</si>
  <si>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</si>
  <si>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</si>
  <si>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</si>
  <si>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</si>
  <si>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</si>
  <si>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</si>
  <si>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</si>
  <si>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</si>
  <si>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</si>
  <si>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</si>
  <si>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</si>
  <si>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</si>
  <si>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</si>
  <si>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</si>
  <si>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</si>
  <si>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</si>
  <si>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</si>
  <si>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</si>
  <si>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</si>
  <si>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</si>
  <si>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</si>
  <si>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</si>
  <si>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</si>
  <si>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</si>
  <si>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</si>
  <si>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</si>
  <si>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</si>
  <si>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</si>
  <si>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</si>
  <si>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</si>
  <si>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</si>
  <si>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</si>
  <si>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</si>
  <si>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</si>
  <si>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</si>
  <si>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</si>
  <si>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</si>
  <si>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</si>
  <si>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</si>
  <si>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</si>
  <si>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</si>
  <si>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</si>
  <si>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</si>
  <si>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</si>
  <si>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</si>
  <si>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</si>
  <si>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</si>
  <si>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</si>
  <si>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</si>
  <si>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</si>
  <si>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</si>
  <si>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</si>
  <si>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</si>
  <si>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</si>
  <si>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</si>
  <si>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</si>
  <si>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</si>
  <si>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</si>
  <si>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</si>
  <si>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</si>
  <si>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</si>
  <si>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</si>
  <si>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</si>
  <si>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</si>
  <si>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</si>
  <si>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</si>
  <si>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</si>
  <si>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</si>
  <si>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</si>
  <si>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</si>
  <si>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</si>
  <si>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</si>
  <si>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</si>
  <si>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</si>
  <si>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</si>
  <si>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</si>
  <si>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</si>
  <si>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</si>
  <si>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</si>
  <si>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</si>
  <si>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</si>
  <si>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</si>
  <si>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</si>
  <si>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</si>
  <si>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</si>
  <si>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</si>
  <si>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</si>
  <si>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</si>
  <si>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</si>
  <si>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</si>
  <si>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</si>
  <si>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</si>
  <si>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</si>
  <si>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</si>
  <si>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</si>
  <si>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</si>
  <si>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</si>
  <si>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</si>
  <si>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</si>
  <si>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</si>
  <si>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</si>
  <si>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</si>
  <si>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</si>
  <si>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</si>
  <si>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</si>
  <si>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</si>
  <si>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</si>
  <si>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</si>
  <si>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</si>
  <si>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</si>
  <si>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</si>
  <si>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</si>
  <si>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</si>
  <si>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</si>
  <si>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</si>
  <si>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</si>
  <si>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</si>
  <si>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</si>
  <si>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</si>
  <si>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</si>
  <si>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</si>
  <si>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</si>
  <si>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</si>
  <si>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</si>
  <si>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</si>
  <si>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</si>
  <si>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</si>
  <si>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</si>
  <si>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</si>
  <si>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</si>
  <si>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</si>
  <si>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</si>
  <si>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</si>
  <si>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</si>
  <si>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</si>
  <si>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</si>
  <si>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</si>
  <si>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</si>
  <si>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</si>
  <si>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</si>
  <si>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</si>
  <si>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</si>
  <si>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</si>
  <si>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</si>
  <si>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</si>
  <si>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</si>
  <si>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</si>
  <si>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</si>
  <si>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</si>
  <si>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</si>
  <si>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</si>
  <si>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</si>
  <si>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</si>
  <si>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北京密码</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</si>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</sst>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9"/>
      <color indexed="8"/>
      <name val="宋体"/>
      <family val="3"/>
      <charset val="134"/>
    </font>
    <font>
      <b/>
      <sz val="11"/>
      <name val="宋体"/>
      <family val="3"/>
      <charset val="134"/>
    </font>
    <font>
      <b/>
      <sz val="16"/>
      <color indexed="10"/>
      <name val="宋体"/>
      <family val="3"/>
      <charset val="134"/>
    </font>
    <font>
      <b/>
      <vertAlign val="subscript"/>
      <sz val="10"/>
      <name val="楷体_GB2312"/>
      <family val="3"/>
      <charset val="134"/>
    </font>
    <font>
      <vertAlign val="subscript"/>
      <sz val="10"/>
      <color theme="1"/>
      <name val="Arial"/>
      <family val="2"/>
    </font>
    <font>
      <b/>
      <sz val="11"/>
      <color theme="1"/>
      <name val="宋体"/>
      <family val="3"/>
      <charset val="134"/>
    </font>
    <font>
      <b/>
      <vertAlign val="subscript"/>
      <sz val="10"/>
      <name val="Arial"/>
      <family val="2"/>
    </font>
    <font>
      <sz val="10"/>
      <color theme="9" tint="-0.249977111117893"/>
      <name val="宋体"/>
      <family val="3"/>
      <charset val="134"/>
    </font>
    <font>
      <sz val="10"/>
      <color indexed="8"/>
      <name val="楷体_GB2312"/>
      <family val="3"/>
      <charset val="134"/>
    </font>
    <font>
      <b/>
      <sz val="10"/>
      <color indexed="8"/>
      <name val="宋体"/>
      <family val="3"/>
      <charset val="134"/>
    </font>
    <font>
      <b/>
      <sz val="14"/>
      <color rgb="FFFF0000"/>
      <name val="宋体"/>
      <family val="3"/>
      <charset val="134"/>
    </font>
    <font>
      <b/>
      <sz val="18"/>
      <color indexed="10"/>
      <name val="΢ȭхڬˎ̥"/>
      <charset val="134"/>
    </font>
    <font>
      <i/>
      <sz val="14"/>
      <color theme="3" tint="0.39988402966399123"/>
      <name val="宋体"/>
      <family val="3"/>
      <charset val="134"/>
    </font>
    <font>
      <sz val="10"/>
      <color indexed="53"/>
      <name val="宋体"/>
      <family val="3"/>
      <charset val="134"/>
    </font>
    <font>
      <sz val="12"/>
      <color rgb="FF000000"/>
      <name val="宋体"/>
      <family val="3"/>
      <charset val="134"/>
    </font>
    <font>
      <b/>
      <sz val="14"/>
      <color theme="1"/>
      <name val="宋体"/>
      <family val="3"/>
      <charset val="134"/>
    </font>
    <font>
      <sz val="9"/>
      <color indexed="8"/>
      <name val="仿宋_GB2312"/>
      <charset val="134"/>
    </font>
    <font>
      <b/>
      <sz val="10"/>
      <color indexed="10"/>
      <name val="楷体_GB2312"/>
      <family val="3"/>
      <charset val="134"/>
    </font>
    <font>
      <sz val="8"/>
      <color indexed="8"/>
      <name val="仿宋_GB2312"/>
      <charset val="134"/>
    </font>
    <font>
      <b/>
      <sz val="11"/>
      <color rgb="FFFF0000"/>
      <name val="宋体"/>
      <family val="3"/>
      <charset val="134"/>
    </font>
    <font>
      <sz val="10"/>
      <color rgb="FFFF0000"/>
      <name val="楷体_GB2312"/>
      <family val="3"/>
      <charset val="134"/>
    </font>
    <font>
      <sz val="14"/>
      <color theme="1"/>
      <name val="宋体"/>
      <family val="3"/>
      <charset val="134"/>
    </font>
    <font>
      <sz val="14"/>
      <color rgb="FF000000"/>
      <name val="宋体"/>
      <family val="3"/>
      <charset val="134"/>
    </font>
    <font>
      <b/>
      <sz val="14"/>
      <color rgb="FF000000"/>
      <name val="宋体"/>
      <family val="3"/>
      <charset val="134"/>
    </font>
    <font>
      <sz val="14"/>
      <color theme="9" tint="-0.249977111117893"/>
      <name val="宋体"/>
      <family val="3"/>
      <charset val="134"/>
    </font>
    <font>
      <b/>
      <i/>
      <sz val="11"/>
      <color theme="3" tint="0.39988402966399123"/>
      <name val="宋体"/>
      <family val="3"/>
      <charset val="134"/>
    </font>
    <font>
      <b/>
      <i/>
      <sz val="14"/>
      <color theme="3" tint="0.39988402966399123"/>
      <name val="宋体"/>
      <family val="3"/>
      <charset val="134"/>
    </font>
    <font>
      <sz val="10"/>
      <color rgb="FF000000"/>
      <name val="宋体"/>
      <family val="3"/>
      <charset val="134"/>
    </font>
    <font>
      <sz val="12"/>
      <color theme="1"/>
      <name val="宋体"/>
      <family val="3"/>
      <charset val="134"/>
    </font>
    <font>
      <sz val="11"/>
      <color indexed="53"/>
      <name val="宋体"/>
      <family val="3"/>
      <charset val="134"/>
    </font>
    <font>
      <b/>
      <sz val="11"/>
      <color indexed="10"/>
      <name val="宋体"/>
      <family val="3"/>
      <charset val="134"/>
    </font>
    <font>
      <sz val="8"/>
      <color indexed="8"/>
      <name val="宋体"/>
      <family val="3"/>
      <charset val="134"/>
    </font>
    <font>
      <vertAlign val="superscript"/>
      <sz val="10"/>
      <color theme="1"/>
      <name val="宋体"/>
      <family val="3"/>
      <charset val="134"/>
    </font>
    <font>
      <b/>
      <sz val="10"/>
      <color indexed="10"/>
      <name val="宋体"/>
      <family val="3"/>
      <charset val="134"/>
    </font>
    <font>
      <sz val="12"/>
      <color theme="9" tint="-0.249977111117893"/>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i/>
      <sz val="11"/>
      <color theme="3" tint="0.39988402966399123"/>
      <name val="宋体"/>
      <family val="3"/>
      <charset val="134"/>
    </font>
    <font>
      <b/>
      <sz val="18"/>
      <color theme="1"/>
      <name val="宋体"/>
      <family val="3"/>
      <charset val="134"/>
    </font>
    <font>
      <b/>
      <sz val="12"/>
      <color indexed="8"/>
      <name val="宋体"/>
      <family val="3"/>
      <charset val="134"/>
    </font>
    <font>
      <sz val="10"/>
      <color rgb="FF707070"/>
      <name val="宋体"/>
      <family val="3"/>
      <charset val="134"/>
    </font>
    <font>
      <vertAlign val="superscript"/>
      <sz val="10"/>
      <color theme="1"/>
      <name val="Arial"/>
      <family val="2"/>
    </font>
    <font>
      <vertAlign val="subscript"/>
      <sz val="10"/>
      <color indexed="8"/>
      <name val="宋体"/>
      <family val="3"/>
      <charset val="134"/>
    </font>
    <font>
      <i/>
      <sz val="10"/>
      <name val="楷体_GB2312"/>
      <family val="3"/>
      <charset val="134"/>
    </font>
    <font>
      <i/>
      <sz val="10"/>
      <name val="宋体"/>
      <family val="3"/>
      <charset val="134"/>
    </font>
    <font>
      <b/>
      <sz val="10"/>
      <color indexed="53"/>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6"/>
      <color indexed="10"/>
      <name val="楷体_GB2312"/>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7"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2"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9" fontId="54" fillId="17" borderId="7" xfId="0" applyNumberFormat="1" applyFont="1" applyFill="1" applyBorder="1" applyAlignment="1" applyProtection="1">
      <alignment horizontal="center" vertical="center" shrinkToFi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5870"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6745"/>
          <a:ext cx="6591300" cy="3404870"/>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0855" cy="4366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估价对象为北京市房地产，为所有。根据《国有土地使用证》[]，估价对象（分摊）出让国有建设用地使用权面积为0平方米，建筑面积为62.23平方米。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2025年11月5日（评估专业人员实地查勘之日）</v>
      </c>
    </row>
    <row r="13" spans="1:2">
      <c r="A13" s="3167" t="s">
        <v>13</v>
      </c>
      <c r="B13" s="3168"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58</v>
      </c>
    </row>
    <row r="21" spans="1:2">
      <c r="A21" s="3167" t="s">
        <v>21</v>
      </c>
      <c r="B21" s="3168">
        <f ca="1">'预评函-2'!D7</f>
        <v>9267</v>
      </c>
    </row>
    <row r="22" spans="1:2">
      <c r="A22" s="3167" t="s">
        <v>22</v>
      </c>
      <c r="B22" s="3168" t="str">
        <f ca="1">'预评函-2'!D6</f>
        <v>伍拾捌万元整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58</v>
      </c>
    </row>
    <row r="31" spans="1:2">
      <c r="A31" s="3167" t="s">
        <v>31</v>
      </c>
      <c r="B31" s="3168">
        <f ca="1">'预评函-2'!D15</f>
        <v>9267</v>
      </c>
    </row>
    <row r="32" spans="1:2">
      <c r="A32" s="3167" t="s">
        <v>32</v>
      </c>
      <c r="B32" s="3168" t="str">
        <f ca="1">'预评函-2'!D14</f>
        <v>伍拾捌万元整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62.23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'预评函-3'!D4</f>
        <v>0</v>
      </c>
    </row>
    <row r="48" spans="1:2">
      <c r="A48" s="3167" t="s">
        <v>48</v>
      </c>
      <c r="B48" s="3168">
        <f>'预评函-3'!E4</f>
        <v>0</v>
      </c>
    </row>
    <row r="49" spans="1:2">
      <c r="A49" s="3167" t="s">
        <v>49</v>
      </c>
      <c r="B49" s="3168" t="str">
        <f>'预评函-3'!D5</f>
        <v>零元整</v>
      </c>
    </row>
    <row r="50" spans="1:2">
      <c r="A50" s="3167" t="s">
        <v>50</v>
      </c>
      <c r="B50" s="3168" t="str">
        <f>'预评函-3'!F2</f>
        <v>在建建筑物价值</v>
      </c>
    </row>
    <row r="51" spans="1:2">
      <c r="A51" s="3167" t="s">
        <v>51</v>
      </c>
      <c r="B51" s="3168">
        <f>'预评函-3'!F4</f>
        <v>0</v>
      </c>
    </row>
    <row r="52" spans="1:2">
      <c r="A52" s="3167" t="s">
        <v>52</v>
      </c>
      <c r="B52" s="3168">
        <f>'预评函-3'!G4</f>
        <v>0</v>
      </c>
    </row>
    <row r="53" spans="1:2">
      <c r="A53" s="3167" t="s">
        <v>53</v>
      </c>
      <c r="B53" s="3168" t="str">
        <f>'预评函-3'!F5</f>
        <v>零元整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17" t="s">
        <v>353</v>
      </c>
      <c r="C19" s="3061"/>
    </row>
    <row r="20" spans="1:3">
      <c r="A20" s="3017" t="s">
        <v>354</v>
      </c>
      <c r="B20" s="3017" t="s">
        <v>353</v>
      </c>
      <c r="C20" s="3061"/>
    </row>
    <row r="21" spans="1:3">
      <c r="A21" s="3017" t="s">
        <v>276</v>
      </c>
      <c r="B21" s="3017" t="s">
        <v>353</v>
      </c>
      <c r="C21" s="3061"/>
    </row>
    <row r="22" spans="1:3">
      <c r="A22" s="3017" t="s">
        <v>355</v>
      </c>
      <c r="B22" s="3017" t="s">
        <v>353</v>
      </c>
      <c r="C22" s="3061"/>
    </row>
    <row r="23" spans="1:3">
      <c r="A23" s="3017" t="s">
        <v>356</v>
      </c>
      <c r="B23" s="3017" t="s">
        <v>353</v>
      </c>
      <c r="C23" s="3061"/>
    </row>
    <row r="24" spans="1:3">
      <c r="A24" s="3017" t="s">
        <v>357</v>
      </c>
      <c r="B24" s="3017" t="s">
        <v>353</v>
      </c>
      <c r="C24" s="3061"/>
    </row>
    <row r="25" spans="1:3">
      <c r="A25" s="3017" t="s">
        <v>358</v>
      </c>
      <c r="B25" s="3017" t="s">
        <v>353</v>
      </c>
      <c r="C25" s="3061"/>
    </row>
    <row r="26" spans="1:3">
      <c r="A26" s="3017" t="s">
        <v>359</v>
      </c>
      <c r="B26" s="3017" t="s">
        <v>353</v>
      </c>
      <c r="C26" s="3061"/>
    </row>
    <row r="27" spans="1:3">
      <c r="A27" s="3017" t="s">
        <v>353</v>
      </c>
      <c r="B27" s="3017" t="s">
        <v>353</v>
      </c>
      <c r="C27" s="3061"/>
    </row>
    <row r="28" spans="1:3">
      <c r="A28" s="3017" t="s">
        <v>353</v>
      </c>
      <c r="B28" s="3017" t="s">
        <v>353</v>
      </c>
      <c r="C28" s="3061"/>
    </row>
    <row r="29" spans="1:3">
      <c r="A29" s="3017" t="s">
        <v>353</v>
      </c>
      <c r="B29" s="3017" t="s">
        <v>353</v>
      </c>
      <c r="C29" s="3061"/>
    </row>
    <row r="30" spans="1:3">
      <c r="A30" s="3017" t="s">
        <v>353</v>
      </c>
      <c r="B30" s="3017" t="s">
        <v>353</v>
      </c>
      <c r="C30" s="3061"/>
    </row>
    <row r="31" spans="1:3">
      <c r="A31" s="3017" t="s">
        <v>353</v>
      </c>
      <c r="B31" s="3017" t="s">
        <v>353</v>
      </c>
      <c r="C31" s="3061"/>
    </row>
    <row r="32" spans="1:3">
      <c r="A32" s="3017" t="s">
        <v>353</v>
      </c>
      <c r="B32" s="3017" t="s">
        <v>353</v>
      </c>
      <c r="C32" s="3061"/>
    </row>
    <row r="33" spans="1:3">
      <c r="A33" s="3017" t="s">
        <v>353</v>
      </c>
      <c r="B33" s="3017" t="s">
        <v>353</v>
      </c>
      <c r="C33" s="3061"/>
    </row>
    <row r="34" spans="1:3">
      <c r="A34" s="3017" t="s">
        <v>353</v>
      </c>
      <c r="B34" s="3017" t="s">
        <v>353</v>
      </c>
      <c r="C34" s="3061"/>
    </row>
    <row r="35" spans="1:3">
      <c r="A35" s="3017" t="s">
        <v>353</v>
      </c>
      <c r="B35" s="3017" t="s">
        <v>353</v>
      </c>
      <c r="C35" s="3061"/>
    </row>
    <row r="36" spans="1:3">
      <c r="A36" s="3017" t="s">
        <v>353</v>
      </c>
      <c r="B36" s="3017" t="s">
        <v>353</v>
      </c>
      <c r="C36" s="3061"/>
    </row>
    <row r="37" spans="1:3">
      <c r="A37" s="3017" t="s">
        <v>353</v>
      </c>
      <c r="B37" s="3017" t="s">
        <v>353</v>
      </c>
      <c r="C37" s="3061"/>
    </row>
    <row r="38" spans="1:3">
      <c r="A38" s="3017" t="s">
        <v>353</v>
      </c>
      <c r="B38" s="3017" t="s">
        <v>353</v>
      </c>
      <c r="C38" s="3061"/>
    </row>
    <row r="39" spans="1:3">
      <c r="A39" s="3017" t="s">
        <v>353</v>
      </c>
      <c r="B39" s="3017" t="s">
        <v>353</v>
      </c>
      <c r="C39" s="3061"/>
    </row>
    <row r="40" spans="1:3">
      <c r="A40" s="3017" t="s">
        <v>353</v>
      </c>
      <c r="B40" s="3017" t="s">
        <v>353</v>
      </c>
      <c r="C40" s="3061"/>
    </row>
    <row r="41" spans="1:3">
      <c r="A41" s="3017" t="s">
        <v>353</v>
      </c>
      <c r="B41" s="3017" t="s">
        <v>353</v>
      </c>
      <c r="C41" s="3061"/>
    </row>
    <row r="42" spans="1:3">
      <c r="A42" s="3017" t="s">
        <v>353</v>
      </c>
      <c r="B42" s="3017" t="s">
        <v>353</v>
      </c>
      <c r="C42" s="3061"/>
    </row>
    <row r="43" spans="1:3">
      <c r="A43" s="3017" t="s">
        <v>353</v>
      </c>
      <c r="B43" s="3017" t="s">
        <v>353</v>
      </c>
      <c r="C43" s="3061"/>
    </row>
    <row r="44" spans="1:3">
      <c r="A44" s="3017" t="s">
        <v>353</v>
      </c>
      <c r="B44" s="3017" t="s">
        <v>353</v>
      </c>
      <c r="C44" s="3061"/>
    </row>
    <row r="45" spans="1:3">
      <c r="A45" s="3017" t="s">
        <v>353</v>
      </c>
      <c r="B45" s="3017" t="s">
        <v>353</v>
      </c>
      <c r="C45" s="3061"/>
    </row>
    <row r="46" spans="1:3">
      <c r="A46" s="3017" t="s">
        <v>353</v>
      </c>
      <c r="B46" s="3017" t="s">
        <v>353</v>
      </c>
      <c r="C46" s="3061"/>
    </row>
    <row r="47" spans="1:3">
      <c r="A47" s="3017" t="s">
        <v>353</v>
      </c>
      <c r="B47" s="3017" t="s">
        <v>353</v>
      </c>
      <c r="C47" s="3061"/>
    </row>
    <row r="48" spans="1:3">
      <c r="A48" s="3017" t="s">
        <v>353</v>
      </c>
      <c r="B48" s="3017" t="s">
        <v>353</v>
      </c>
      <c r="C48" s="3061"/>
    </row>
    <row r="49" spans="1:4">
      <c r="A49" s="3017" t="s">
        <v>353</v>
      </c>
      <c r="B49" s="3017" t="s">
        <v>353</v>
      </c>
      <c r="C49" s="3061"/>
    </row>
    <row r="50" spans="1:4">
      <c r="A50" s="3017" t="s">
        <v>353</v>
      </c>
      <c r="B50" s="3017" t="s">
        <v>353</v>
      </c>
      <c r="C50" s="306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5" t="s">
        <v>364</v>
      </c>
      <c r="D52" s="3055" t="s">
        <v>365</v>
      </c>
    </row>
    <row r="53" spans="1:4">
      <c r="A53" s="3215" t="s">
        <v>366</v>
      </c>
      <c r="B53" s="296"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55" t="s">
        <v>369</v>
      </c>
    </row>
    <row r="55" spans="1:4">
      <c r="A55" s="3215"/>
      <c r="B55" s="296" t="s">
        <v>370</v>
      </c>
      <c r="C55" s="3055" t="s">
        <v>371</v>
      </c>
    </row>
    <row r="56" spans="1:4">
      <c r="A56" s="3215"/>
      <c r="B56" s="296" t="s">
        <v>372</v>
      </c>
      <c r="C56" s="3055" t="s">
        <v>373</v>
      </c>
    </row>
    <row r="57" spans="1:4">
      <c r="A57" s="3215"/>
      <c r="B57" s="296"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376</v>
      </c>
      <c r="B1" s="3006"/>
      <c r="C1" s="3006"/>
      <c r="D1" s="3006"/>
      <c r="E1" s="3006"/>
      <c r="F1" s="3007"/>
      <c r="I1" s="3008" t="s">
        <v>377</v>
      </c>
      <c r="J1" s="73"/>
      <c r="K1" s="73"/>
      <c r="L1" s="73"/>
      <c r="M1" s="73"/>
      <c r="N1" s="296"/>
      <c r="O1" s="296"/>
      <c r="P1" s="296"/>
      <c r="Q1" s="296"/>
      <c r="R1" s="296"/>
    </row>
    <row r="2" spans="1:18">
      <c r="A2" s="3009"/>
      <c r="B2" s="3010"/>
      <c r="C2" s="3010"/>
      <c r="D2" s="3010"/>
      <c r="E2" s="3010"/>
      <c r="F2" s="3011"/>
      <c r="I2" s="3216" t="s">
        <v>378</v>
      </c>
      <c r="J2" s="3216"/>
      <c r="K2" s="3216"/>
      <c r="L2" s="3216"/>
      <c r="M2" s="3216"/>
      <c r="N2" s="3216"/>
      <c r="O2" s="3216"/>
      <c r="P2" s="3216"/>
      <c r="Q2" s="3216"/>
      <c r="R2" s="3216"/>
    </row>
    <row r="3" spans="1:18">
      <c r="A3" s="446" t="s">
        <v>379</v>
      </c>
      <c r="B3" s="3012">
        <f>项目基本情况!D3</f>
        <v>45966</v>
      </c>
      <c r="C3" s="447"/>
      <c r="D3" s="447"/>
      <c r="E3" s="447"/>
      <c r="F3" s="3011"/>
      <c r="I3" s="3013"/>
      <c r="J3" s="3013" t="s">
        <v>380</v>
      </c>
      <c r="K3" s="3013" t="s">
        <v>381</v>
      </c>
      <c r="L3" s="3013" t="s">
        <v>382</v>
      </c>
      <c r="M3" s="3013" t="s">
        <v>383</v>
      </c>
      <c r="N3" s="447" t="s">
        <v>384</v>
      </c>
      <c r="O3" s="447" t="s">
        <v>385</v>
      </c>
      <c r="P3" s="447" t="s">
        <v>386</v>
      </c>
      <c r="Q3" s="447" t="s">
        <v>387</v>
      </c>
      <c r="R3" s="447" t="s">
        <v>388</v>
      </c>
    </row>
    <row r="4" spans="1:18">
      <c r="A4" s="446" t="s">
        <v>389</v>
      </c>
      <c r="B4" s="447" t="s">
        <v>390</v>
      </c>
      <c r="C4" s="447" t="s">
        <v>391</v>
      </c>
      <c r="D4" s="447" t="s">
        <v>392</v>
      </c>
      <c r="E4" s="447" t="s">
        <v>393</v>
      </c>
      <c r="F4" s="3011"/>
      <c r="I4" s="3013" t="s">
        <v>394</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395</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396</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397</v>
      </c>
      <c r="B9" s="447"/>
      <c r="C9" s="447"/>
      <c r="D9" s="447"/>
      <c r="E9" s="447"/>
      <c r="F9" s="449"/>
    </row>
    <row r="10" spans="1:18">
      <c r="A10" s="446" t="s">
        <v>398</v>
      </c>
      <c r="B10" s="447"/>
      <c r="C10" s="447"/>
      <c r="D10" s="447" t="s">
        <v>393</v>
      </c>
      <c r="E10" s="447"/>
      <c r="F10" s="449" t="s">
        <v>392</v>
      </c>
    </row>
    <row r="11" spans="1:18">
      <c r="A11" s="446" t="s">
        <v>399</v>
      </c>
      <c r="B11" s="3017">
        <v>70</v>
      </c>
      <c r="C11" s="447" t="s">
        <v>400</v>
      </c>
      <c r="D11" s="3017">
        <v>4.4999999999999998E-2</v>
      </c>
      <c r="E11" s="447" t="s">
        <v>401</v>
      </c>
      <c r="F11" s="3018">
        <f>ROUND(1-(1/(POWER(1+D11,B11))),4)</f>
        <v>0.95409999999999995</v>
      </c>
    </row>
    <row r="12" spans="1:18">
      <c r="A12" s="446" t="s">
        <v>402</v>
      </c>
      <c r="B12" s="3017">
        <v>40</v>
      </c>
      <c r="C12" s="447" t="s">
        <v>403</v>
      </c>
      <c r="D12" s="3017">
        <v>4.4999999999999998E-2</v>
      </c>
      <c r="E12" s="447" t="s">
        <v>404</v>
      </c>
      <c r="F12" s="3018">
        <f>ROUND(1-(1/(POWER(1+D12,B12))),4)</f>
        <v>0.82809999999999995</v>
      </c>
    </row>
    <row r="13" spans="1:18">
      <c r="A13" s="446" t="s">
        <v>405</v>
      </c>
      <c r="B13" s="447"/>
      <c r="C13" s="447"/>
      <c r="D13" s="3010"/>
      <c r="E13" s="3010"/>
      <c r="F13" s="3011"/>
    </row>
    <row r="14" spans="1:18">
      <c r="A14" s="446" t="s">
        <v>406</v>
      </c>
      <c r="B14" s="3017">
        <v>5000</v>
      </c>
      <c r="C14" s="3019"/>
      <c r="D14" s="3010"/>
      <c r="E14" s="3010"/>
      <c r="F14" s="3011"/>
    </row>
    <row r="15" spans="1:18">
      <c r="A15" s="446" t="s">
        <v>407</v>
      </c>
      <c r="B15" s="447">
        <f>ROUND(B14*F12/F11,2)</f>
        <v>4339.6899999999996</v>
      </c>
      <c r="C15" s="447">
        <f>ROUND(F12/F11,4)</f>
        <v>0.8679</v>
      </c>
      <c r="D15" s="3010"/>
      <c r="E15" s="3010"/>
      <c r="F15" s="3011"/>
    </row>
    <row r="16" spans="1:18">
      <c r="A16" s="446" t="s">
        <v>408</v>
      </c>
      <c r="B16" s="447"/>
      <c r="C16" s="447"/>
      <c r="D16" s="3010"/>
      <c r="E16" s="3010"/>
      <c r="F16" s="3011"/>
    </row>
    <row r="17" spans="1:14">
      <c r="A17" s="446" t="s">
        <v>407</v>
      </c>
      <c r="B17" s="3017">
        <v>4810</v>
      </c>
      <c r="C17" s="3019"/>
      <c r="D17" s="3010"/>
      <c r="E17" s="3010"/>
      <c r="F17" s="3011"/>
    </row>
    <row r="18" spans="1:14">
      <c r="A18" s="454" t="s">
        <v>406</v>
      </c>
      <c r="B18" s="456">
        <f>ROUND(B17*F11/F12,2)</f>
        <v>5541.87</v>
      </c>
      <c r="C18" s="456">
        <f>ROUND(F11/F12,4)</f>
        <v>1.1521999999999999</v>
      </c>
      <c r="D18" s="3020"/>
      <c r="E18" s="3020"/>
      <c r="F18" s="3021"/>
    </row>
    <row r="20" spans="1:14" s="3002" customFormat="1">
      <c r="A20" s="3022" t="s">
        <v>409</v>
      </c>
      <c r="B20" s="3023"/>
      <c r="C20" s="3023"/>
      <c r="D20" s="3023"/>
      <c r="E20" s="3023"/>
      <c r="F20" s="3023"/>
      <c r="G20" s="3024"/>
      <c r="I20" s="3025" t="s">
        <v>410</v>
      </c>
      <c r="J20" s="3025" t="s">
        <v>411</v>
      </c>
      <c r="K20" s="3025"/>
      <c r="L20" s="3025"/>
      <c r="M20" s="3025"/>
    </row>
    <row r="21" spans="1:14">
      <c r="A21" s="3026"/>
      <c r="B21" s="3013" t="s">
        <v>412</v>
      </c>
      <c r="C21" s="3013" t="s">
        <v>391</v>
      </c>
      <c r="D21" s="3013" t="s">
        <v>413</v>
      </c>
      <c r="E21" s="3013" t="s">
        <v>392</v>
      </c>
      <c r="F21" s="3013" t="s">
        <v>414</v>
      </c>
      <c r="G21" s="3027" t="s">
        <v>415</v>
      </c>
      <c r="I21" s="3004">
        <v>5</v>
      </c>
      <c r="J21" s="3004">
        <v>54.2</v>
      </c>
    </row>
    <row r="22" spans="1:14">
      <c r="A22" s="3026" t="s">
        <v>416</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417</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418</v>
      </c>
      <c r="N23" s="3030" t="s">
        <v>419</v>
      </c>
    </row>
    <row r="24" spans="1:14">
      <c r="A24" s="3026" t="s">
        <v>420</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421</v>
      </c>
      <c r="N24" s="3030">
        <v>10</v>
      </c>
    </row>
    <row r="25" spans="1:14">
      <c r="A25" s="3026" t="s">
        <v>422</v>
      </c>
      <c r="B25" s="3028">
        <v>70</v>
      </c>
      <c r="C25" s="3028">
        <v>60</v>
      </c>
      <c r="D25" s="3029">
        <v>0.04</v>
      </c>
      <c r="E25" s="3013">
        <f t="shared" si="0"/>
        <v>0.96699999999999997</v>
      </c>
      <c r="F25" s="3029">
        <f>F24</f>
        <v>0.7</v>
      </c>
      <c r="G25" s="3027">
        <f t="shared" si="1"/>
        <v>97.7</v>
      </c>
      <c r="I25" s="3004">
        <v>25</v>
      </c>
      <c r="J25" s="3004">
        <v>86.3</v>
      </c>
      <c r="K25" s="3004">
        <f t="shared" si="2"/>
        <v>5.3</v>
      </c>
      <c r="L25" s="3004" t="s">
        <v>423</v>
      </c>
      <c r="N25" s="3030">
        <v>8</v>
      </c>
    </row>
    <row r="26" spans="1:14">
      <c r="A26" s="72"/>
      <c r="B26" s="73"/>
      <c r="C26" s="73"/>
      <c r="D26" s="73"/>
      <c r="E26" s="73"/>
      <c r="F26" s="73"/>
      <c r="G26" s="3031"/>
      <c r="I26" s="3004">
        <v>30</v>
      </c>
      <c r="J26" s="3004">
        <v>90.5</v>
      </c>
      <c r="K26" s="3004">
        <f t="shared" si="2"/>
        <v>4.2</v>
      </c>
      <c r="L26" s="3004" t="s">
        <v>424</v>
      </c>
      <c r="N26" s="3030">
        <v>5</v>
      </c>
    </row>
    <row r="27" spans="1:14">
      <c r="A27" s="72" t="s">
        <v>425</v>
      </c>
      <c r="B27" s="73"/>
      <c r="C27" s="73"/>
      <c r="D27" s="73"/>
      <c r="E27" s="73"/>
      <c r="F27" s="73"/>
      <c r="G27" s="3031"/>
      <c r="I27" s="3004">
        <v>35</v>
      </c>
      <c r="J27" s="3004">
        <v>93.8</v>
      </c>
      <c r="K27" s="3004">
        <f t="shared" si="2"/>
        <v>3.3</v>
      </c>
      <c r="L27" s="3004" t="s">
        <v>426</v>
      </c>
      <c r="N27" s="3030">
        <v>3</v>
      </c>
    </row>
    <row r="28" spans="1:14">
      <c r="A28" s="72" t="s">
        <v>427</v>
      </c>
      <c r="B28" s="73"/>
      <c r="C28" s="73"/>
      <c r="D28" s="73"/>
      <c r="E28" s="73"/>
      <c r="F28" s="73"/>
      <c r="G28" s="3031"/>
      <c r="I28" s="3004">
        <v>40</v>
      </c>
      <c r="J28" s="3004">
        <v>96.4</v>
      </c>
      <c r="K28" s="3004">
        <f t="shared" si="2"/>
        <v>2.6000000000000099</v>
      </c>
      <c r="L28" s="3004" t="s">
        <v>428</v>
      </c>
      <c r="N28" s="3030">
        <v>2</v>
      </c>
    </row>
    <row r="29" spans="1:14">
      <c r="A29" s="72" t="s">
        <v>429</v>
      </c>
      <c r="B29" s="73"/>
      <c r="C29" s="73"/>
      <c r="D29" s="73"/>
      <c r="E29" s="73"/>
      <c r="F29" s="73"/>
      <c r="G29" s="3031"/>
      <c r="I29" s="3004">
        <v>45</v>
      </c>
      <c r="J29" s="3004">
        <v>98.4</v>
      </c>
      <c r="K29" s="3004">
        <f t="shared" si="2"/>
        <v>2</v>
      </c>
    </row>
    <row r="30" spans="1:14">
      <c r="A30" s="72" t="s">
        <v>430</v>
      </c>
      <c r="B30" s="73"/>
      <c r="C30" s="73"/>
      <c r="D30" s="73"/>
      <c r="E30" s="73"/>
      <c r="F30" s="73"/>
      <c r="G30" s="3031"/>
      <c r="I30" s="3004">
        <v>50</v>
      </c>
      <c r="J30" s="3004">
        <v>100</v>
      </c>
      <c r="K30" s="3004">
        <f t="shared" si="2"/>
        <v>1.5999999999999901</v>
      </c>
    </row>
    <row r="31" spans="1:14">
      <c r="A31" s="72" t="s">
        <v>431</v>
      </c>
      <c r="B31" s="73"/>
      <c r="C31" s="73"/>
      <c r="D31" s="73"/>
      <c r="E31" s="73"/>
      <c r="F31" s="73"/>
      <c r="G31" s="3031"/>
      <c r="I31" s="3004" t="s">
        <v>432</v>
      </c>
    </row>
    <row r="32" spans="1:14">
      <c r="A32" s="72" t="s">
        <v>433</v>
      </c>
      <c r="B32" s="73"/>
      <c r="C32" s="73"/>
      <c r="D32" s="73"/>
      <c r="E32" s="73"/>
      <c r="F32" s="73"/>
      <c r="G32" s="3031"/>
    </row>
    <row r="33" spans="1:14">
      <c r="A33" s="72" t="s">
        <v>434</v>
      </c>
      <c r="B33" s="73"/>
      <c r="C33" s="73"/>
      <c r="D33" s="73"/>
      <c r="E33" s="73"/>
      <c r="F33" s="73"/>
      <c r="G33" s="3031"/>
      <c r="I33" s="3004" t="s">
        <v>410</v>
      </c>
      <c r="J33" s="3004" t="s">
        <v>435</v>
      </c>
    </row>
    <row r="34" spans="1:14">
      <c r="A34" s="72" t="s">
        <v>436</v>
      </c>
      <c r="B34" s="73"/>
      <c r="C34" s="73"/>
      <c r="D34" s="73"/>
      <c r="E34" s="73"/>
      <c r="F34" s="73"/>
      <c r="G34" s="3031"/>
      <c r="I34" s="3004">
        <v>5</v>
      </c>
      <c r="J34" s="3004">
        <v>55.1</v>
      </c>
    </row>
    <row r="35" spans="1:14">
      <c r="A35" s="72" t="s">
        <v>437</v>
      </c>
      <c r="B35" s="73"/>
      <c r="C35" s="73"/>
      <c r="D35" s="73"/>
      <c r="E35" s="73"/>
      <c r="F35" s="73"/>
      <c r="G35" s="3031"/>
      <c r="I35" s="3004">
        <v>10</v>
      </c>
      <c r="J35" s="3004">
        <v>67</v>
      </c>
      <c r="K35" s="3004">
        <f>J35-J34</f>
        <v>11.9</v>
      </c>
    </row>
    <row r="36" spans="1:14">
      <c r="A36" s="72" t="s">
        <v>438</v>
      </c>
      <c r="B36" s="73"/>
      <c r="C36" s="73"/>
      <c r="D36" s="73"/>
      <c r="E36" s="73"/>
      <c r="F36" s="73"/>
      <c r="G36" s="3031"/>
      <c r="I36" s="3004">
        <v>15</v>
      </c>
      <c r="J36" s="3004">
        <v>76.3</v>
      </c>
      <c r="K36" s="3004">
        <f t="shared" ref="K36:K41" si="3">J36-J35</f>
        <v>9.3000000000000007</v>
      </c>
      <c r="L36" s="3004" t="s">
        <v>418</v>
      </c>
      <c r="N36" s="3030" t="s">
        <v>419</v>
      </c>
    </row>
    <row r="37" spans="1:14">
      <c r="A37" s="72" t="s">
        <v>439</v>
      </c>
      <c r="B37" s="73"/>
      <c r="C37" s="73"/>
      <c r="D37" s="73"/>
      <c r="E37" s="73"/>
      <c r="F37" s="73"/>
      <c r="G37" s="3031"/>
      <c r="I37" s="3004">
        <v>20</v>
      </c>
      <c r="J37" s="3004">
        <v>83.6</v>
      </c>
      <c r="K37" s="3004">
        <f t="shared" si="3"/>
        <v>7.3</v>
      </c>
      <c r="L37" s="3004" t="s">
        <v>421</v>
      </c>
      <c r="N37" s="3030">
        <v>10</v>
      </c>
    </row>
    <row r="38" spans="1:14">
      <c r="A38" s="72" t="s">
        <v>440</v>
      </c>
      <c r="B38" s="73"/>
      <c r="C38" s="73"/>
      <c r="D38" s="73"/>
      <c r="E38" s="73"/>
      <c r="F38" s="73"/>
      <c r="G38" s="3031"/>
      <c r="I38" s="3004">
        <v>25</v>
      </c>
      <c r="J38" s="3004">
        <v>89.3</v>
      </c>
      <c r="K38" s="3004">
        <f t="shared" si="3"/>
        <v>5.7</v>
      </c>
      <c r="L38" s="3004" t="s">
        <v>423</v>
      </c>
      <c r="N38" s="3030">
        <v>8</v>
      </c>
    </row>
    <row r="39" spans="1:14">
      <c r="A39" s="72"/>
      <c r="B39" s="73"/>
      <c r="C39" s="73"/>
      <c r="D39" s="73"/>
      <c r="E39" s="73"/>
      <c r="F39" s="73"/>
      <c r="G39" s="3031"/>
      <c r="I39" s="3004">
        <v>30</v>
      </c>
      <c r="J39" s="3004">
        <v>93.8</v>
      </c>
      <c r="K39" s="3004">
        <f t="shared" si="3"/>
        <v>4.5</v>
      </c>
      <c r="L39" s="3004" t="s">
        <v>424</v>
      </c>
      <c r="N39" s="3030">
        <v>6</v>
      </c>
    </row>
    <row r="40" spans="1:14">
      <c r="A40" s="3032" t="s">
        <v>441</v>
      </c>
      <c r="B40" s="3033"/>
      <c r="C40" s="3033"/>
      <c r="D40" s="3033"/>
      <c r="E40" s="3033"/>
      <c r="F40" s="3033"/>
      <c r="G40" s="3034"/>
      <c r="I40" s="3004">
        <v>35</v>
      </c>
      <c r="J40" s="3004">
        <v>97.2</v>
      </c>
      <c r="K40" s="3004">
        <f t="shared" si="3"/>
        <v>3.4000000000000101</v>
      </c>
      <c r="L40" s="3004" t="s">
        <v>426</v>
      </c>
      <c r="N40" s="3030">
        <v>3</v>
      </c>
    </row>
    <row r="41" spans="1:14">
      <c r="A41" s="3035" t="s">
        <v>442</v>
      </c>
      <c r="B41" s="3036" t="s">
        <v>443</v>
      </c>
      <c r="C41" s="3037" t="s">
        <v>444</v>
      </c>
      <c r="D41" s="3037" t="s">
        <v>445</v>
      </c>
      <c r="E41" s="3038"/>
      <c r="F41" s="3039"/>
      <c r="G41" s="3040"/>
      <c r="I41" s="3004">
        <v>40</v>
      </c>
      <c r="J41" s="3004">
        <v>100</v>
      </c>
      <c r="K41" s="3004">
        <f t="shared" si="3"/>
        <v>2.8</v>
      </c>
    </row>
    <row r="42" spans="1:14">
      <c r="A42" s="3035" t="s">
        <v>233</v>
      </c>
      <c r="B42" s="3036" t="s">
        <v>446</v>
      </c>
      <c r="C42" s="3037" t="s">
        <v>446</v>
      </c>
      <c r="D42" s="3041" t="s">
        <v>447</v>
      </c>
      <c r="E42" s="3033" t="s">
        <v>448</v>
      </c>
      <c r="F42" s="3033"/>
      <c r="G42" s="3034"/>
    </row>
    <row r="43" spans="1:14">
      <c r="A43" s="3035" t="s">
        <v>232</v>
      </c>
      <c r="B43" s="3036" t="s">
        <v>449</v>
      </c>
      <c r="C43" s="3037" t="s">
        <v>450</v>
      </c>
      <c r="D43" s="3037" t="s">
        <v>451</v>
      </c>
      <c r="E43" s="3038" t="s">
        <v>452</v>
      </c>
      <c r="F43" s="3039"/>
      <c r="G43" s="3040"/>
      <c r="I43" s="3004" t="s">
        <v>410</v>
      </c>
      <c r="J43" s="3004" t="s">
        <v>453</v>
      </c>
    </row>
    <row r="44" spans="1:14">
      <c r="A44" s="3035" t="s">
        <v>454</v>
      </c>
      <c r="B44" s="3036" t="s">
        <v>455</v>
      </c>
      <c r="C44" s="3037" t="s">
        <v>456</v>
      </c>
      <c r="D44" s="3041">
        <v>0.5</v>
      </c>
      <c r="E44" s="3038" t="s">
        <v>457</v>
      </c>
      <c r="F44" s="3039"/>
      <c r="G44" s="3040"/>
      <c r="I44" s="3004">
        <v>30</v>
      </c>
      <c r="J44" s="3004">
        <v>81.7</v>
      </c>
    </row>
    <row r="45" spans="1:14">
      <c r="A45" s="3042" t="s">
        <v>458</v>
      </c>
      <c r="B45" s="3043" t="s">
        <v>446</v>
      </c>
      <c r="C45" s="3044" t="s">
        <v>446</v>
      </c>
      <c r="D45" s="3044" t="s">
        <v>459</v>
      </c>
      <c r="E45" s="3045" t="s">
        <v>460</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461</v>
      </c>
    </row>
    <row r="50" spans="1:4">
      <c r="A50" s="3019" t="s">
        <v>462</v>
      </c>
      <c r="B50" s="3019" t="s">
        <v>463</v>
      </c>
      <c r="C50" s="3019" t="s">
        <v>464</v>
      </c>
      <c r="D50" s="3019" t="s">
        <v>465</v>
      </c>
    </row>
    <row r="51" spans="1:4">
      <c r="A51" s="3019" t="s">
        <v>466</v>
      </c>
      <c r="B51" s="3019">
        <f>B52+B53</f>
        <v>15000</v>
      </c>
      <c r="C51" s="3047">
        <f>D51/B51</f>
        <v>2666.6666666666702</v>
      </c>
      <c r="D51" s="3019">
        <f>D52+D53</f>
        <v>40000000</v>
      </c>
    </row>
    <row r="52" spans="1:4">
      <c r="A52" s="3048" t="s">
        <v>467</v>
      </c>
      <c r="B52" s="3049">
        <v>10000</v>
      </c>
      <c r="C52" s="3049">
        <v>1500</v>
      </c>
      <c r="D52" s="3048">
        <f>C52*B52</f>
        <v>15000000</v>
      </c>
    </row>
    <row r="53" spans="1:4">
      <c r="A53" s="3048" t="s">
        <v>468</v>
      </c>
      <c r="B53" s="3049">
        <v>5000</v>
      </c>
      <c r="C53" s="3049">
        <v>5000</v>
      </c>
      <c r="D53" s="3048">
        <f>C53*B53</f>
        <v>25000000</v>
      </c>
    </row>
    <row r="54" spans="1:4">
      <c r="A54" s="3019" t="s">
        <v>469</v>
      </c>
      <c r="B54" s="3019">
        <f>B51</f>
        <v>15000</v>
      </c>
      <c r="C54" s="3017">
        <v>700</v>
      </c>
      <c r="D54" s="3019">
        <f t="shared" ref="D54:D55" si="5">C54*B54</f>
        <v>10500000</v>
      </c>
    </row>
    <row r="55" spans="1:4">
      <c r="A55" s="3019" t="s">
        <v>470</v>
      </c>
      <c r="B55" s="3019">
        <f>B51</f>
        <v>15000</v>
      </c>
      <c r="C55" s="3017">
        <v>1500</v>
      </c>
      <c r="D55" s="3019">
        <f t="shared" si="5"/>
        <v>22500000</v>
      </c>
    </row>
    <row r="56" spans="1:4">
      <c r="A56" s="3019" t="s">
        <v>471</v>
      </c>
      <c r="B56" s="3019">
        <f>B51</f>
        <v>15000</v>
      </c>
      <c r="C56" s="3050">
        <f>C51+C54+C55</f>
        <v>4866.6666666666697</v>
      </c>
      <c r="D56" s="3019">
        <f>D51+D54+D55</f>
        <v>73000000</v>
      </c>
    </row>
    <row r="58" spans="1:4">
      <c r="A58" s="3019" t="s">
        <v>472</v>
      </c>
      <c r="B58" s="3051">
        <v>0.05</v>
      </c>
      <c r="C58" s="3019">
        <f>C56*(1+B58)</f>
        <v>5110</v>
      </c>
      <c r="D58" s="3019">
        <f>D56*B58</f>
        <v>3650000</v>
      </c>
    </row>
    <row r="60" spans="1:4">
      <c r="A60" s="3019" t="s">
        <v>473</v>
      </c>
      <c r="B60" s="3017">
        <v>3500</v>
      </c>
      <c r="C60" s="3017">
        <f>C53</f>
        <v>5000</v>
      </c>
      <c r="D60" s="3019">
        <f>C60*B60</f>
        <v>17500000</v>
      </c>
    </row>
    <row r="62" spans="1:4">
      <c r="A62" s="3019" t="s">
        <v>388</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10" sqref="G10"/>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474</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27"/>
      <c r="K1" s="2890"/>
      <c r="L1" s="2891"/>
      <c r="M1" s="2891"/>
      <c r="N1" s="2892"/>
      <c r="O1" s="2377"/>
      <c r="P1" s="2892"/>
      <c r="Q1" s="2892"/>
      <c r="R1" s="2892"/>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475</v>
      </c>
      <c r="B2" s="897"/>
      <c r="D2" s="2893"/>
      <c r="E2" s="2894"/>
      <c r="F2" s="2894"/>
      <c r="G2" s="2740"/>
      <c r="H2" s="2740"/>
      <c r="I2" s="2740"/>
      <c r="J2" s="2527"/>
      <c r="K2" s="2890"/>
      <c r="L2" s="2891"/>
      <c r="M2" s="2891"/>
      <c r="N2" s="2892"/>
      <c r="O2" s="2377"/>
      <c r="P2" s="2892"/>
      <c r="Q2" s="2892"/>
      <c r="R2" s="2892"/>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5">
        <v>45966</v>
      </c>
      <c r="C3" s="2896" t="s">
        <v>477</v>
      </c>
      <c r="D3" s="2895">
        <f>B3</f>
        <v>45966</v>
      </c>
      <c r="E3" s="2740"/>
      <c r="F3" s="2740"/>
      <c r="G3" s="2740"/>
      <c r="H3" s="2740"/>
      <c r="I3" s="2740"/>
      <c r="J3" s="2527"/>
      <c r="K3" s="2890"/>
      <c r="L3" s="2891"/>
      <c r="M3" s="2891"/>
      <c r="N3" s="2892"/>
      <c r="O3" s="2377"/>
      <c r="P3" s="2892"/>
      <c r="Q3" s="2892"/>
      <c r="R3" s="2892"/>
      <c r="S3" s="2226"/>
      <c r="T3" s="2564"/>
      <c r="U3" s="2564"/>
      <c r="V3" s="2564"/>
      <c r="W3" s="2564"/>
      <c r="X3" s="2564"/>
      <c r="Y3" s="2564"/>
      <c r="Z3" s="2564"/>
      <c r="AA3" s="2564"/>
      <c r="AB3" s="2564"/>
    </row>
    <row r="4" spans="1:30">
      <c r="A4" s="1863" t="s">
        <v>478</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41" t="str">
        <f>CONCATENATE(B4,"（注册号：",C4,")、",D4,"（注册号：",E4,")")</f>
        <v>（注册号：0)、（注册号：0)</v>
      </c>
      <c r="L4" s="2891"/>
      <c r="M4" s="2891"/>
      <c r="N4" s="2892"/>
      <c r="O4" s="2377"/>
      <c r="P4" s="2892"/>
      <c r="Q4" s="2892"/>
      <c r="R4" s="2892"/>
      <c r="S4" s="2226"/>
      <c r="T4" s="2564"/>
      <c r="U4" s="2564"/>
      <c r="V4" s="2564"/>
      <c r="W4" s="2564"/>
      <c r="X4" s="2564"/>
      <c r="Y4" s="2564"/>
      <c r="Z4" s="2564"/>
      <c r="AA4" s="2564"/>
      <c r="AB4" s="2564"/>
    </row>
    <row r="5" spans="1:30">
      <c r="A5" s="2899" t="s">
        <v>479</v>
      </c>
      <c r="B5" s="2900"/>
      <c r="C5" s="2901"/>
      <c r="D5" s="2902"/>
      <c r="E5" s="2740"/>
      <c r="F5" s="2740"/>
      <c r="G5" s="2740"/>
      <c r="H5" s="2740"/>
      <c r="I5" s="2740"/>
      <c r="J5" s="2527"/>
      <c r="K5" s="2341" t="str">
        <f>IF(F4="——","",IF(H4="——",F4&amp;"（注册号："&amp;G4&amp;")",CONCATENATE(F4,"（注册号：",G4,")、",H4,"（注册号：",I4,")")))</f>
        <v>（注册号：0)、（注册号：0)</v>
      </c>
      <c r="L5" s="2891"/>
      <c r="M5" s="2891"/>
      <c r="N5" s="2892"/>
      <c r="O5" s="2377"/>
      <c r="P5" s="2892"/>
      <c r="Q5" s="2892"/>
      <c r="R5" s="2892"/>
      <c r="S5" s="2564"/>
      <c r="T5" s="2564"/>
      <c r="U5" s="2564"/>
      <c r="V5" s="2564"/>
      <c r="W5" s="2564"/>
      <c r="X5" s="2564"/>
      <c r="Y5" s="2564"/>
      <c r="Z5" s="2564"/>
      <c r="AA5" s="2564"/>
      <c r="AB5" s="2564"/>
    </row>
    <row r="6" spans="1:30">
      <c r="A6" s="2903" t="s">
        <v>480</v>
      </c>
      <c r="B6" s="2904"/>
      <c r="C6" s="2905"/>
      <c r="D6" s="2906"/>
      <c r="E6" s="2894"/>
      <c r="F6" s="2740"/>
      <c r="G6" s="2740"/>
      <c r="H6" s="2740"/>
      <c r="I6" s="2740"/>
      <c r="J6" s="2527"/>
      <c r="K6" s="2907" t="str">
        <f>IF(COUNTIF(B6,"*上海银行*"),"上海银行","")</f>
        <v/>
      </c>
      <c r="L6" s="2908"/>
      <c r="M6" s="2908"/>
      <c r="N6" s="2527"/>
      <c r="O6" s="2357"/>
      <c r="P6" s="2527"/>
      <c r="Q6" s="2527"/>
      <c r="R6" s="2527"/>
    </row>
    <row r="7" spans="1:30">
      <c r="A7" s="2903" t="s">
        <v>481</v>
      </c>
      <c r="B7" s="2909"/>
      <c r="C7" s="2905"/>
      <c r="D7" s="2906"/>
      <c r="E7" s="2894"/>
      <c r="F7" s="2740"/>
      <c r="G7" s="2740"/>
      <c r="H7" s="2740"/>
      <c r="I7" s="2740"/>
      <c r="J7" s="2527"/>
      <c r="K7" s="2910"/>
      <c r="L7" s="2908"/>
      <c r="M7" s="2908"/>
      <c r="N7" s="2527"/>
      <c r="O7" s="2357"/>
      <c r="P7" s="2527"/>
      <c r="Q7" s="2527"/>
      <c r="R7" s="2527"/>
    </row>
    <row r="8" spans="1:30">
      <c r="A8" s="2911" t="s">
        <v>482</v>
      </c>
      <c r="B8" s="2912" t="s">
        <v>363</v>
      </c>
      <c r="C8" s="2913"/>
      <c r="D8" s="3236" t="s">
        <v>483</v>
      </c>
      <c r="E8" s="2914" t="s">
        <v>368</v>
      </c>
      <c r="F8" s="2915"/>
      <c r="G8" s="2740"/>
      <c r="H8" s="2740"/>
      <c r="I8" s="2740"/>
      <c r="J8" s="2527"/>
      <c r="K8" s="2916"/>
      <c r="L8" s="2908"/>
      <c r="M8" s="2908"/>
      <c r="N8" s="2527"/>
      <c r="O8" s="2357"/>
      <c r="P8" s="2527"/>
      <c r="Q8" s="2527"/>
      <c r="R8" s="2527"/>
    </row>
    <row r="9" spans="1:30">
      <c r="A9" s="2917" t="s">
        <v>484</v>
      </c>
      <c r="B9" s="2918" t="s">
        <v>368</v>
      </c>
      <c r="C9" s="2919"/>
      <c r="D9" s="3237"/>
      <c r="E9" s="2918"/>
      <c r="F9" s="2920"/>
      <c r="G9" s="2921"/>
      <c r="H9" s="2921"/>
      <c r="I9" s="2921"/>
      <c r="J9" s="2527"/>
      <c r="K9" s="2910"/>
      <c r="L9" s="2908"/>
      <c r="M9" s="2908"/>
      <c r="N9" s="2527"/>
      <c r="O9" s="2357"/>
      <c r="P9" s="2527"/>
      <c r="Q9" s="2527"/>
      <c r="R9" s="2527"/>
    </row>
    <row r="10" spans="1:30">
      <c r="A10" s="2922" t="s">
        <v>485</v>
      </c>
      <c r="B10" s="2923" t="s">
        <v>486</v>
      </c>
      <c r="C10" s="2924"/>
      <c r="D10" s="2902"/>
      <c r="E10" s="2925" t="s">
        <v>487</v>
      </c>
      <c r="F10" s="2926"/>
      <c r="G10" s="2927"/>
      <c r="H10" s="2928"/>
      <c r="I10" s="2929"/>
      <c r="J10" s="2527"/>
      <c r="K10" s="2910"/>
      <c r="L10" s="2908"/>
      <c r="M10" s="2908"/>
      <c r="N10" s="2527"/>
      <c r="O10" s="2357"/>
      <c r="P10" s="2527"/>
      <c r="Q10" s="2527"/>
      <c r="R10" s="2527"/>
    </row>
    <row r="11" spans="1:30">
      <c r="A11" s="2930" t="s">
        <v>488</v>
      </c>
      <c r="B11" s="2931" t="s">
        <v>489</v>
      </c>
      <c r="C11" s="2932"/>
      <c r="D11" s="2933"/>
      <c r="E11" s="2892"/>
      <c r="F11" s="2892"/>
      <c r="G11" s="2892"/>
      <c r="H11" s="2892"/>
      <c r="I11" s="2892"/>
      <c r="J11" s="2934"/>
      <c r="K11" s="2908"/>
      <c r="L11" s="2908"/>
      <c r="M11" s="2908"/>
      <c r="N11" s="2527"/>
      <c r="O11" s="2357"/>
      <c r="P11" s="2527"/>
      <c r="Q11" s="2527"/>
      <c r="R11" s="2527"/>
    </row>
    <row r="12" spans="1:30">
      <c r="A12" s="2935" t="s">
        <v>490</v>
      </c>
      <c r="B12" s="1899" t="s">
        <v>491</v>
      </c>
      <c r="C12" s="2936" t="s">
        <v>492</v>
      </c>
      <c r="D12" s="2936" t="s">
        <v>493</v>
      </c>
      <c r="E12" s="2936" t="s">
        <v>494</v>
      </c>
      <c r="F12" s="2936" t="s">
        <v>495</v>
      </c>
      <c r="G12" s="2936" t="s">
        <v>496</v>
      </c>
      <c r="H12" s="2936" t="s">
        <v>497</v>
      </c>
      <c r="I12" s="2937" t="s">
        <v>231</v>
      </c>
      <c r="J12" s="2938"/>
      <c r="K12" s="2908"/>
      <c r="L12" s="2908"/>
      <c r="M12" s="2527"/>
      <c r="N12" s="2357"/>
      <c r="O12" s="2527"/>
      <c r="P12" s="2527"/>
      <c r="Q12" s="2527"/>
      <c r="AD12" s="2564"/>
    </row>
    <row r="13" spans="1:30">
      <c r="A13" s="2939" t="s">
        <v>498</v>
      </c>
      <c r="B13" s="2940" t="s">
        <v>499</v>
      </c>
      <c r="C13" s="2941"/>
      <c r="D13" s="2941"/>
      <c r="E13" s="3513">
        <v>59739</v>
      </c>
      <c r="F13" s="2941"/>
      <c r="G13" s="2941"/>
      <c r="H13" s="2941"/>
      <c r="I13" s="2941"/>
      <c r="J13" s="2938"/>
      <c r="K13" s="2908"/>
      <c r="L13" s="2908"/>
      <c r="M13" s="2527"/>
      <c r="N13" s="2357"/>
      <c r="O13" s="2527"/>
      <c r="P13" s="2527"/>
      <c r="Q13" s="2527"/>
      <c r="AD13" s="2564"/>
    </row>
    <row r="14" spans="1:30">
      <c r="A14" s="1870"/>
      <c r="B14" s="2940" t="s">
        <v>500</v>
      </c>
      <c r="C14" s="2942"/>
      <c r="D14" s="2942"/>
      <c r="E14" s="2942">
        <v>50</v>
      </c>
      <c r="F14" s="2942"/>
      <c r="G14" s="2942"/>
      <c r="H14" s="2942"/>
      <c r="I14" s="2942"/>
      <c r="J14" s="2943"/>
      <c r="K14" s="2908"/>
      <c r="L14" s="2908"/>
      <c r="M14" s="2527"/>
      <c r="N14" s="2357"/>
      <c r="O14" s="2527"/>
      <c r="P14" s="2527"/>
      <c r="Q14" s="2527"/>
      <c r="AD14" s="2564"/>
    </row>
    <row r="15" spans="1:30">
      <c r="A15" s="1884"/>
      <c r="B15" s="2944" t="s">
        <v>501</v>
      </c>
      <c r="C15" s="2945" t="str">
        <f>IF(A13="出让",IF(C13="","",ROUNDDOWN(MIN((C13-$D$3)/365,C14),2)),C14)</f>
        <v/>
      </c>
      <c r="D15" s="2945" t="str">
        <f>IF(A13="出让",IF(D13="","",ROUNDDOWN(MIN((D13-$D$3)/365,D14),2)),D14)</f>
        <v/>
      </c>
      <c r="E15" s="2945">
        <f>IF(A13="出让",IF(E13="","",ROUNDDOWN(MIN((E13-$D$3)/365,E14),2)),E14)</f>
        <v>37.729999999999997</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357"/>
      <c r="L15" s="2357"/>
      <c r="M15" s="2527"/>
      <c r="N15" s="2357"/>
      <c r="O15" s="2527"/>
      <c r="P15" s="2527"/>
      <c r="Q15" s="2527"/>
      <c r="AD15" s="2564"/>
    </row>
    <row r="16" spans="1:30">
      <c r="A16" s="2925" t="s">
        <v>502</v>
      </c>
      <c r="B16" s="3224"/>
      <c r="C16" s="3225"/>
      <c r="D16" s="3226"/>
      <c r="E16" s="2947" t="s">
        <v>503</v>
      </c>
      <c r="F16" s="3227"/>
      <c r="G16" s="3228"/>
      <c r="H16" s="3228"/>
      <c r="I16" s="3229"/>
      <c r="J16" s="2527"/>
      <c r="K16" s="2948"/>
      <c r="L16" s="2357"/>
      <c r="M16" s="2357"/>
      <c r="N16" s="2527"/>
      <c r="O16" s="2357"/>
      <c r="P16" s="2527"/>
      <c r="Q16" s="2527"/>
      <c r="R16" s="2527"/>
    </row>
    <row r="17" spans="1:28">
      <c r="A17" s="1847" t="s">
        <v>504</v>
      </c>
      <c r="B17" s="1836" t="s">
        <v>505</v>
      </c>
      <c r="C17" s="997">
        <f>'数据-汇总表'!E3</f>
        <v>62.23</v>
      </c>
      <c r="D17" s="1895" t="s">
        <v>506</v>
      </c>
      <c r="E17" s="3230" t="s">
        <v>507</v>
      </c>
      <c r="F17" s="3231"/>
      <c r="G17" s="3231"/>
      <c r="H17" s="3231"/>
      <c r="I17" s="3232"/>
      <c r="J17" s="2527"/>
      <c r="K17" s="2949"/>
      <c r="L17" s="2357"/>
      <c r="M17" s="2357"/>
      <c r="N17" s="2527"/>
      <c r="O17" s="2357"/>
      <c r="P17" s="2527"/>
      <c r="Q17" s="2527"/>
      <c r="R17" s="2527"/>
      <c r="S17" s="2527"/>
      <c r="T17" s="2527"/>
      <c r="U17" s="2527"/>
      <c r="V17" s="2527"/>
    </row>
    <row r="18" spans="1:28" ht="24">
      <c r="A18" s="2950" t="s">
        <v>508</v>
      </c>
      <c r="B18" s="1863" t="s">
        <v>509</v>
      </c>
      <c r="C18" s="2951">
        <f>'数据-汇总表'!D3</f>
        <v>0</v>
      </c>
      <c r="D18" s="1911" t="s">
        <v>506</v>
      </c>
      <c r="E18" s="3233" t="s">
        <v>510</v>
      </c>
      <c r="F18" s="3234"/>
      <c r="G18" s="3234"/>
      <c r="H18" s="3234"/>
      <c r="I18" s="3235"/>
      <c r="J18" s="2527"/>
      <c r="K18" s="2949"/>
      <c r="L18" s="2357"/>
      <c r="M18" s="2357"/>
      <c r="N18" s="2527"/>
      <c r="O18" s="2357"/>
      <c r="P18" s="2527"/>
      <c r="Q18" s="2527"/>
      <c r="R18" s="2527"/>
      <c r="S18" s="2527"/>
      <c r="T18" s="2527"/>
      <c r="U18" s="2527"/>
      <c r="V18" s="2527"/>
    </row>
    <row r="19" spans="1:28" ht="36">
      <c r="A19" s="1906" t="s">
        <v>511</v>
      </c>
      <c r="B19" s="1842" t="s">
        <v>512</v>
      </c>
      <c r="C19" s="2952"/>
      <c r="D19" s="2953" t="s">
        <v>513</v>
      </c>
      <c r="E19" s="2954"/>
      <c r="F19" s="2955" t="str">
        <f>IF(AND(C19="是",E19="否"),"是否提供他项权证或相关说明","")</f>
        <v/>
      </c>
      <c r="G19" s="2956"/>
      <c r="H19" s="2740"/>
      <c r="I19" s="2740"/>
      <c r="J19" s="2527"/>
      <c r="K19" s="2910"/>
      <c r="L19" s="2908"/>
      <c r="M19" s="2908"/>
      <c r="N19" s="2527"/>
      <c r="O19" s="2357"/>
      <c r="P19" s="2527"/>
      <c r="Q19" s="2527"/>
      <c r="R19" s="2527"/>
      <c r="S19" s="2527"/>
      <c r="T19" s="2527"/>
      <c r="U19" s="2527"/>
      <c r="V19" s="2527"/>
    </row>
    <row r="20" spans="1:28">
      <c r="A20" s="2957" t="s">
        <v>514</v>
      </c>
      <c r="B20" s="3240" t="s">
        <v>515</v>
      </c>
      <c r="C20" s="3241"/>
      <c r="D20" s="3242" t="s">
        <v>516</v>
      </c>
      <c r="E20" s="3243"/>
      <c r="F20" s="2958" t="s">
        <v>517</v>
      </c>
      <c r="G20" s="2740"/>
      <c r="H20" s="2740"/>
      <c r="I20" s="2740"/>
      <c r="J20" s="2527"/>
      <c r="K20" s="3238"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377"/>
      <c r="P20" s="2892"/>
      <c r="Q20" s="2892"/>
      <c r="R20" s="2892"/>
      <c r="S20" s="2892"/>
      <c r="T20" s="2892"/>
      <c r="U20" s="2892"/>
      <c r="V20" s="2892"/>
      <c r="W20" s="2564"/>
      <c r="X20" s="2564"/>
      <c r="Y20" s="2564"/>
      <c r="Z20" s="2564"/>
      <c r="AA20" s="2564"/>
      <c r="AB20" s="2564"/>
    </row>
    <row r="21" spans="1:28" ht="24">
      <c r="A21" s="2957"/>
      <c r="B21" s="2959" t="s">
        <v>519</v>
      </c>
      <c r="C21" s="2556" t="s">
        <v>520</v>
      </c>
      <c r="D21" s="2960" t="s">
        <v>521</v>
      </c>
      <c r="E21" s="2961" t="s">
        <v>520</v>
      </c>
      <c r="F21" s="2962"/>
      <c r="G21" s="2740"/>
      <c r="H21" s="2740"/>
      <c r="I21" s="2740"/>
      <c r="J21" s="2527"/>
      <c r="K21" s="3238"/>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377"/>
      <c r="P21" s="2892"/>
      <c r="Q21" s="2892"/>
      <c r="R21" s="2892"/>
      <c r="S21" s="2892"/>
      <c r="T21" s="2892"/>
      <c r="U21" s="2892"/>
      <c r="V21" s="2892"/>
      <c r="W21" s="2564"/>
      <c r="X21" s="2564"/>
      <c r="Y21" s="2564"/>
      <c r="Z21" s="2564"/>
      <c r="AA21" s="2564"/>
      <c r="AB21" s="2564"/>
    </row>
    <row r="22" spans="1:28" ht="24">
      <c r="A22" s="2957"/>
      <c r="B22" s="2963" t="s">
        <v>522</v>
      </c>
      <c r="C22" s="2556" t="s">
        <v>523</v>
      </c>
      <c r="D22" s="2740"/>
      <c r="E22" s="2740"/>
      <c r="F22" s="2740"/>
      <c r="G22" s="2740">
        <v>2007</v>
      </c>
      <c r="H22" s="2740"/>
      <c r="I22" s="2740"/>
      <c r="J22" s="2527"/>
      <c r="K22" s="3238"/>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377"/>
      <c r="P22" s="2892"/>
      <c r="Q22" s="2892"/>
      <c r="R22" s="2892"/>
      <c r="S22" s="2892"/>
      <c r="T22" s="2892"/>
      <c r="U22" s="2892"/>
      <c r="V22" s="2892"/>
      <c r="W22" s="2564"/>
      <c r="X22" s="2564"/>
      <c r="Y22" s="2564"/>
      <c r="Z22" s="2564"/>
      <c r="AA22" s="2564"/>
      <c r="AB22" s="2564"/>
    </row>
    <row r="23" spans="1:28">
      <c r="A23" s="2964" t="s">
        <v>524</v>
      </c>
      <c r="B23" s="2553" t="s">
        <v>525</v>
      </c>
      <c r="C23" s="2965"/>
      <c r="D23" s="2966" t="s">
        <v>525</v>
      </c>
      <c r="E23" s="2967"/>
      <c r="F23" s="2740"/>
      <c r="G23" s="2740">
        <f>2025-G22</f>
        <v>18</v>
      </c>
      <c r="H23" s="2740"/>
      <c r="I23" s="2740"/>
      <c r="J23" s="2527"/>
      <c r="K23" s="2907"/>
      <c r="L23" s="982"/>
      <c r="M23" s="2908"/>
      <c r="N23" s="2527"/>
      <c r="O23" s="2357"/>
      <c r="P23" s="2527"/>
      <c r="Q23" s="2527"/>
      <c r="R23" s="2527"/>
      <c r="S23" s="2527"/>
      <c r="T23" s="2527"/>
      <c r="U23" s="2527"/>
      <c r="V23" s="2527"/>
    </row>
    <row r="24" spans="1:28">
      <c r="A24" s="2964"/>
      <c r="B24" s="2553" t="s">
        <v>526</v>
      </c>
      <c r="C24" s="2526"/>
      <c r="D24" s="2964" t="s">
        <v>526</v>
      </c>
      <c r="E24" s="2968"/>
      <c r="F24" s="2740"/>
      <c r="G24" s="2740">
        <f>40-(G23+2)</f>
        <v>20</v>
      </c>
      <c r="H24" s="2740"/>
      <c r="I24" s="2740"/>
      <c r="J24" s="2527"/>
      <c r="K24" s="2907"/>
      <c r="L24" s="982"/>
      <c r="M24" s="2908"/>
      <c r="N24" s="2527"/>
      <c r="O24" s="2357"/>
      <c r="P24" s="2527"/>
      <c r="Q24" s="2527"/>
      <c r="R24" s="2527"/>
      <c r="S24" s="2527"/>
      <c r="T24" s="2527"/>
      <c r="U24" s="2527"/>
      <c r="V24" s="2527"/>
    </row>
    <row r="25" spans="1:28">
      <c r="A25" s="2964"/>
      <c r="B25" s="2553" t="s">
        <v>527</v>
      </c>
      <c r="C25" s="2526"/>
      <c r="D25" s="2964" t="s">
        <v>527</v>
      </c>
      <c r="E25" s="2968"/>
      <c r="F25" s="2740"/>
      <c r="G25" s="2740"/>
      <c r="H25" s="2740"/>
      <c r="I25" s="2740"/>
      <c r="J25" s="2527"/>
      <c r="K25" s="2910"/>
      <c r="L25" s="2908"/>
      <c r="M25" s="2908"/>
      <c r="N25" s="2527"/>
      <c r="O25" s="2357"/>
      <c r="P25" s="2527"/>
      <c r="Q25" s="2527"/>
      <c r="R25" s="2527"/>
      <c r="S25" s="2527"/>
      <c r="T25" s="2527"/>
      <c r="U25" s="2527"/>
      <c r="V25" s="2527"/>
    </row>
    <row r="26" spans="1:28">
      <c r="A26" s="2969"/>
      <c r="B26" s="2970" t="s">
        <v>528</v>
      </c>
      <c r="C26" s="2971"/>
      <c r="D26" s="2969" t="s">
        <v>528</v>
      </c>
      <c r="E26" s="2972"/>
      <c r="F26" s="2921"/>
      <c r="G26" s="2921"/>
      <c r="H26" s="2921"/>
      <c r="I26" s="2921"/>
      <c r="J26" s="2527"/>
      <c r="K26" s="2910"/>
      <c r="L26" s="2908"/>
      <c r="M26" s="2908"/>
      <c r="N26" s="2527"/>
      <c r="O26" s="2357"/>
      <c r="P26" s="2527"/>
      <c r="Q26" s="2527"/>
      <c r="R26" s="2527"/>
      <c r="S26" s="2527"/>
      <c r="T26" s="2527"/>
      <c r="U26" s="2527"/>
      <c r="V26" s="2527"/>
    </row>
    <row r="27" spans="1:28">
      <c r="A27" s="3217" t="s">
        <v>529</v>
      </c>
      <c r="B27" s="1884" t="s">
        <v>530</v>
      </c>
      <c r="C27" s="2973" t="s">
        <v>531</v>
      </c>
      <c r="D27" s="2974"/>
      <c r="E27" s="2740"/>
      <c r="F27" s="2740"/>
      <c r="G27" s="2740"/>
      <c r="H27" s="2740"/>
      <c r="I27" s="2740"/>
      <c r="J27" s="2527"/>
      <c r="K27" s="2948"/>
      <c r="L27" s="2357"/>
      <c r="M27" s="2357"/>
      <c r="N27" s="2527"/>
      <c r="O27" s="2357"/>
      <c r="P27" s="2527"/>
      <c r="Q27" s="2527"/>
      <c r="R27" s="2527"/>
      <c r="S27" s="2527"/>
      <c r="T27" s="2527"/>
      <c r="U27" s="2527"/>
      <c r="V27" s="2527"/>
    </row>
    <row r="28" spans="1:28">
      <c r="A28" s="3217"/>
      <c r="B28" s="1836" t="s">
        <v>532</v>
      </c>
      <c r="C28" s="2975" t="s">
        <v>533</v>
      </c>
      <c r="D28" s="2976"/>
      <c r="E28" s="2740"/>
      <c r="F28" s="2740"/>
      <c r="G28" s="2740"/>
      <c r="H28" s="2740"/>
      <c r="I28" s="2740"/>
      <c r="J28" s="2527"/>
      <c r="K28" s="2910"/>
      <c r="L28" s="2908"/>
      <c r="M28" s="2908"/>
      <c r="N28" s="2527"/>
      <c r="O28" s="2357"/>
      <c r="P28" s="2527"/>
      <c r="Q28" s="2527"/>
      <c r="R28" s="2527"/>
      <c r="S28" s="2527"/>
      <c r="T28" s="2527"/>
      <c r="U28" s="2527"/>
      <c r="V28" s="2527"/>
    </row>
    <row r="29" spans="1:28">
      <c r="A29" s="3217"/>
      <c r="B29" s="1836" t="s">
        <v>534</v>
      </c>
      <c r="C29" s="2977" t="s">
        <v>535</v>
      </c>
      <c r="D29" s="2978"/>
      <c r="E29" s="2740"/>
      <c r="F29" s="2740"/>
      <c r="G29" s="2740"/>
      <c r="H29" s="2740"/>
      <c r="I29" s="2740"/>
      <c r="J29" s="2527"/>
      <c r="K29" s="2910"/>
      <c r="L29" s="2908"/>
      <c r="M29" s="2908"/>
      <c r="N29" s="2527"/>
      <c r="O29" s="2357"/>
      <c r="P29" s="2527"/>
      <c r="Q29" s="2527"/>
      <c r="R29" s="2527"/>
      <c r="S29" s="2527"/>
      <c r="T29" s="2527"/>
      <c r="U29" s="2527"/>
      <c r="V29" s="2527"/>
    </row>
    <row r="30" spans="1:28">
      <c r="A30" s="3218"/>
      <c r="B30" s="1836" t="s">
        <v>536</v>
      </c>
      <c r="C30" s="3244"/>
      <c r="D30" s="3245"/>
      <c r="E30" s="2740"/>
      <c r="F30" s="2740"/>
      <c r="G30" s="2740"/>
      <c r="H30" s="2740"/>
      <c r="I30" s="2740"/>
      <c r="J30" s="2527"/>
      <c r="K30" s="2910"/>
      <c r="L30" s="2908"/>
      <c r="M30" s="2908"/>
      <c r="N30" s="2527"/>
      <c r="O30" s="2357"/>
      <c r="P30" s="2527"/>
      <c r="Q30" s="2527"/>
      <c r="R30" s="2527"/>
      <c r="S30" s="2527"/>
      <c r="T30" s="2527"/>
      <c r="U30" s="2527"/>
      <c r="V30" s="2527"/>
    </row>
    <row r="31" spans="1:28">
      <c r="A31" s="3219" t="s">
        <v>537</v>
      </c>
      <c r="B31" s="2979" t="s">
        <v>538</v>
      </c>
      <c r="C31" s="1881" t="str">
        <f>IF(B31="现房","成新及维护状况正常否",IF(B31="在建","工程状态是否正常",IF(B31="土地","是否闲置","-")))</f>
        <v>成新及维护状况正常否</v>
      </c>
      <c r="D31" s="2118"/>
      <c r="E31" s="2980"/>
      <c r="F31" s="2740"/>
      <c r="G31" s="2740"/>
      <c r="H31" s="2740"/>
      <c r="I31" s="2740"/>
      <c r="J31" s="2527"/>
      <c r="K31" s="2907"/>
      <c r="L31" s="2908"/>
      <c r="M31" s="2908"/>
      <c r="N31" s="2527"/>
      <c r="O31" s="2357"/>
      <c r="P31" s="2527"/>
      <c r="Q31" s="2527"/>
      <c r="R31" s="2527"/>
      <c r="S31" s="2527"/>
      <c r="T31" s="2527"/>
      <c r="U31" s="2527"/>
      <c r="V31" s="2527"/>
    </row>
    <row r="32" spans="1:28">
      <c r="A32" s="3220"/>
      <c r="B32" s="2979"/>
      <c r="C32" s="1881" t="str">
        <f>IF(B32="现房","成新及维护状况是否正常",IF(B32="在建","工程状态是否正常",IF(B32="土地","是否闲置","-")))</f>
        <v>-</v>
      </c>
      <c r="D32" s="2118"/>
      <c r="E32" s="2980"/>
      <c r="F32" s="2740"/>
      <c r="G32" s="2740"/>
      <c r="H32" s="2740"/>
      <c r="I32" s="2740"/>
      <c r="J32" s="2527"/>
      <c r="K32" s="2910"/>
      <c r="L32" s="2908"/>
      <c r="M32" s="2908"/>
      <c r="N32" s="2527"/>
      <c r="O32" s="2357"/>
      <c r="P32" s="2527"/>
      <c r="Q32" s="2527"/>
      <c r="R32" s="2527"/>
      <c r="S32" s="2527"/>
      <c r="T32" s="2527"/>
      <c r="U32" s="2527"/>
      <c r="V32" s="2527"/>
    </row>
    <row r="33" spans="1:30">
      <c r="A33" s="3220"/>
      <c r="B33" s="2981"/>
      <c r="C33" s="2336" t="str">
        <f>IF(B33="现房","成新及维护状况是否正常",IF(B33="在建","工程状态是否正常",IF(B33="土地","是否闲置","-")))</f>
        <v>-</v>
      </c>
      <c r="D33" s="1849"/>
      <c r="E33" s="2982"/>
      <c r="F33" s="2740"/>
      <c r="G33" s="2740"/>
      <c r="H33" s="2740"/>
      <c r="I33" s="2740"/>
      <c r="J33" s="2527"/>
      <c r="K33" s="2910"/>
      <c r="L33" s="2908"/>
      <c r="M33" s="2908"/>
      <c r="N33" s="2527"/>
      <c r="O33" s="2357"/>
      <c r="P33" s="2527"/>
      <c r="Q33" s="2527"/>
      <c r="R33" s="2527"/>
      <c r="S33" s="2527"/>
      <c r="T33" s="2527"/>
      <c r="U33" s="2527"/>
      <c r="V33" s="2527"/>
    </row>
    <row r="34" spans="1:30">
      <c r="A34" s="1836" t="s">
        <v>539</v>
      </c>
      <c r="B34" s="564"/>
      <c r="C34" s="564"/>
      <c r="D34" s="564"/>
      <c r="E34" s="564"/>
      <c r="F34" s="564"/>
      <c r="G34" s="564"/>
      <c r="H34" s="564"/>
      <c r="I34" s="2740"/>
      <c r="J34" s="2527"/>
      <c r="K34" s="997">
        <f>COUNTIF(B34:H34,"——")</f>
        <v>0</v>
      </c>
      <c r="L34" s="1899" t="s">
        <v>540</v>
      </c>
      <c r="M34" s="1899" t="s">
        <v>541</v>
      </c>
      <c r="N34" s="1899" t="s">
        <v>542</v>
      </c>
      <c r="O34" s="1899" t="s">
        <v>543</v>
      </c>
      <c r="P34" s="1899" t="s">
        <v>544</v>
      </c>
      <c r="Q34" s="1899" t="s">
        <v>545</v>
      </c>
      <c r="R34" s="1899" t="s">
        <v>546</v>
      </c>
      <c r="S34" s="3239" t="s">
        <v>547</v>
      </c>
      <c r="T34" s="1899" t="str">
        <f>NUMBERSTRING(7-K34,1)&amp;"通"</f>
        <v>七通</v>
      </c>
      <c r="U34" s="2527"/>
      <c r="V34" s="2527"/>
    </row>
    <row r="35" spans="1:30">
      <c r="A35" s="2983"/>
      <c r="B35" s="3239" t="s">
        <v>548</v>
      </c>
      <c r="C35" s="3239"/>
      <c r="D35" s="3239"/>
      <c r="E35" s="3239"/>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9"/>
      <c r="T35" s="899" t="str">
        <f>IF(T34="一通",L35,IF(T34="二通",M35,IF(T34="三通",N35,IF(T34="四通",O35,IF(T34="五通",P35,IF(T34="六通",Q35,R35))))))</f>
        <v>、、、、、、</v>
      </c>
      <c r="U35" s="2527"/>
      <c r="V35" s="2527"/>
    </row>
    <row r="36" spans="1:30">
      <c r="A36" s="2890"/>
      <c r="B36" s="997" t="s">
        <v>493</v>
      </c>
      <c r="C36" s="997" t="s">
        <v>494</v>
      </c>
      <c r="D36" s="997" t="s">
        <v>492</v>
      </c>
      <c r="E36" s="997" t="s">
        <v>497</v>
      </c>
      <c r="F36" s="2937" t="s">
        <v>231</v>
      </c>
      <c r="G36" s="2740"/>
      <c r="H36" s="2740"/>
      <c r="I36" s="2740"/>
      <c r="J36" s="2527"/>
      <c r="K36" s="2910"/>
      <c r="L36" s="2908"/>
      <c r="M36" s="2908"/>
      <c r="N36" s="2527"/>
      <c r="O36" s="2357"/>
      <c r="P36" s="2527"/>
      <c r="Q36" s="2527"/>
      <c r="R36" s="2527"/>
      <c r="S36" s="2527"/>
      <c r="T36" s="2527"/>
      <c r="U36" s="2527"/>
      <c r="V36" s="2527"/>
    </row>
    <row r="37" spans="1:30">
      <c r="A37" s="2984" t="s">
        <v>549</v>
      </c>
      <c r="B37" s="2985" t="s">
        <v>275</v>
      </c>
      <c r="C37" s="2985" t="s">
        <v>251</v>
      </c>
      <c r="D37" s="2985"/>
      <c r="E37" s="2985"/>
      <c r="F37" s="2985"/>
      <c r="G37" s="2740"/>
      <c r="H37" s="2740"/>
      <c r="I37" s="2740"/>
      <c r="J37" s="2527"/>
      <c r="K37" s="2910"/>
      <c r="L37" s="2908"/>
      <c r="M37" s="2908"/>
      <c r="N37" s="2527"/>
      <c r="O37" s="2357"/>
      <c r="P37" s="2527"/>
      <c r="Q37" s="2527"/>
      <c r="R37" s="2527"/>
      <c r="S37" s="2527"/>
      <c r="T37" s="2527"/>
      <c r="U37" s="2527"/>
      <c r="V37" s="2527"/>
    </row>
    <row r="38" spans="1:30">
      <c r="A38" s="2986" t="s">
        <v>550</v>
      </c>
      <c r="B38" s="2987" t="s">
        <v>551</v>
      </c>
      <c r="C38" s="2987" t="s">
        <v>552</v>
      </c>
      <c r="D38" s="2987"/>
      <c r="E38" s="2987"/>
      <c r="F38" s="2987"/>
      <c r="G38" s="2921"/>
      <c r="H38" s="2921"/>
      <c r="I38" s="2921"/>
      <c r="J38" s="2527"/>
      <c r="K38" s="2910"/>
      <c r="L38" s="2908"/>
      <c r="M38" s="2908"/>
      <c r="N38" s="2527"/>
      <c r="O38" s="2357"/>
      <c r="P38" s="2527"/>
      <c r="Q38" s="2527"/>
      <c r="R38" s="2527"/>
      <c r="S38" s="2527"/>
      <c r="T38" s="2527"/>
      <c r="U38" s="2527"/>
      <c r="V38" s="2527"/>
    </row>
    <row r="39" spans="1:30" s="2886" customFormat="1">
      <c r="A39" s="2988" t="s">
        <v>553</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377"/>
      <c r="J40" s="2527"/>
      <c r="K40" s="2907"/>
      <c r="L40" s="2357"/>
      <c r="M40" s="2357"/>
      <c r="N40" s="2527"/>
      <c r="O40" s="2357"/>
      <c r="P40" s="2527"/>
      <c r="Q40" s="2527"/>
      <c r="R40" s="2527"/>
      <c r="S40" s="2527"/>
      <c r="T40" s="2527"/>
      <c r="U40" s="2527"/>
      <c r="V40" s="2527"/>
    </row>
    <row r="41" spans="1:30">
      <c r="A41" s="2994" t="s">
        <v>554</v>
      </c>
      <c r="B41" s="2239"/>
      <c r="C41" s="2118"/>
      <c r="D41" s="2892"/>
      <c r="E41" s="2892"/>
      <c r="F41" s="2892"/>
      <c r="G41" s="2892"/>
      <c r="H41" s="2892"/>
      <c r="I41" s="2377"/>
      <c r="J41" s="2527"/>
      <c r="K41" s="2910"/>
      <c r="L41" s="2908"/>
      <c r="M41" s="2908"/>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5" t="s">
        <v>564</v>
      </c>
      <c r="K42" s="2996" t="s">
        <v>565</v>
      </c>
      <c r="L42" s="2996" t="s">
        <v>566</v>
      </c>
      <c r="M42" s="2996" t="s">
        <v>567</v>
      </c>
      <c r="N42" s="2997" t="s">
        <v>568</v>
      </c>
      <c r="O42" s="2997" t="s">
        <v>569</v>
      </c>
      <c r="P42" s="2997" t="s">
        <v>570</v>
      </c>
      <c r="Q42" s="2998" t="s">
        <v>571</v>
      </c>
      <c r="R42" s="2998" t="s">
        <v>572</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8" t="s">
        <v>573</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574</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2" t="s">
        <v>576</v>
      </c>
      <c r="AZ2" s="2813"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6" customFormat="1" ht="12.75">
      <c r="A3" s="2814"/>
      <c r="B3" s="2815">
        <f>IF(C3="否",G5-AT5,G5)</f>
        <v>62.23</v>
      </c>
      <c r="C3" s="2816"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7"/>
      <c r="AZ3" s="911"/>
      <c r="BA3" s="2818"/>
      <c r="BB3" s="2377"/>
      <c r="BC3" s="2377"/>
      <c r="BD3" s="2377"/>
      <c r="BE3" s="2377"/>
      <c r="BF3" s="2377"/>
      <c r="BG3" s="2377"/>
      <c r="BH3" s="2377"/>
      <c r="BI3" s="2377"/>
      <c r="BJ3" s="2377"/>
      <c r="BK3" s="2377"/>
      <c r="BL3" s="2377"/>
      <c r="BM3" s="2377"/>
      <c r="BN3" s="2377"/>
      <c r="BO3" s="2377"/>
      <c r="BP3" s="2377"/>
      <c r="BQ3" s="2377"/>
      <c r="BR3" s="2377"/>
      <c r="BS3" s="2377"/>
      <c r="BT3" s="2377"/>
    </row>
    <row r="4" spans="1:72" s="2806" customFormat="1" ht="12.75">
      <c r="A4" s="611"/>
      <c r="B4" s="2819"/>
      <c r="C4" s="2820"/>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1"/>
      <c r="BB4" s="2377"/>
      <c r="BC4" s="2377"/>
      <c r="BD4" s="2377"/>
      <c r="BE4" s="2377"/>
      <c r="BF4" s="2377"/>
      <c r="BG4" s="2377"/>
      <c r="BH4" s="2377"/>
      <c r="BI4" s="2377"/>
      <c r="BJ4" s="2377"/>
      <c r="BK4" s="2377"/>
      <c r="BL4" s="2377"/>
      <c r="BM4" s="2377"/>
      <c r="BN4" s="2377"/>
      <c r="BO4" s="2377"/>
      <c r="BP4" s="2377"/>
      <c r="BQ4" s="2377"/>
      <c r="BR4" s="2377"/>
      <c r="BS4" s="2377"/>
      <c r="BT4" s="2377"/>
    </row>
    <row r="5" spans="1:72" s="2806" customFormat="1" ht="12.75">
      <c r="A5" s="1881" t="s">
        <v>580</v>
      </c>
      <c r="B5" s="2236"/>
      <c r="C5" s="2236"/>
      <c r="D5" s="2237"/>
      <c r="E5" s="2822" t="s">
        <v>124</v>
      </c>
      <c r="F5" s="2822">
        <f>SUM(F13:F587)</f>
        <v>0</v>
      </c>
      <c r="G5" s="2822">
        <f>SUM(G13:G587)</f>
        <v>62.23</v>
      </c>
      <c r="H5" s="2822">
        <f t="shared" ref="H5:AT5" si="0">SUM(H13:H656)</f>
        <v>62.23</v>
      </c>
      <c r="I5" s="2822">
        <f t="shared" si="0"/>
        <v>62.23</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5"/>
      <c r="AV5" s="1881" t="s">
        <v>580</v>
      </c>
      <c r="AW5" s="2236"/>
      <c r="AX5" s="2236"/>
      <c r="AY5" s="903" t="s">
        <v>124</v>
      </c>
      <c r="AZ5" s="2823">
        <f t="shared" ref="AZ5:BT5" si="1">SUM(AZ13:AZ656)</f>
        <v>62.23</v>
      </c>
      <c r="BA5" s="2823">
        <f t="shared" si="1"/>
        <v>62.23</v>
      </c>
      <c r="BB5" s="2823">
        <f t="shared" si="1"/>
        <v>62.23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581</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581</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582</v>
      </c>
      <c r="B7" s="2831" t="s">
        <v>583</v>
      </c>
      <c r="C7" s="2831" t="s">
        <v>556</v>
      </c>
      <c r="D7" s="2831" t="s">
        <v>584</v>
      </c>
      <c r="E7" s="2831" t="s">
        <v>581</v>
      </c>
      <c r="F7" s="2831" t="s">
        <v>585</v>
      </c>
      <c r="G7" s="2336"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237"/>
      <c r="AU7" s="2832" t="s">
        <v>587</v>
      </c>
      <c r="AV7" s="2833" t="s">
        <v>582</v>
      </c>
      <c r="AW7" s="2377" t="s">
        <v>583</v>
      </c>
      <c r="AX7" s="2833" t="s">
        <v>556</v>
      </c>
      <c r="AY7" s="2236" t="s">
        <v>588</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589</v>
      </c>
      <c r="H8" s="2838" t="s">
        <v>590</v>
      </c>
      <c r="I8" s="2839"/>
      <c r="J8" s="995"/>
      <c r="K8" s="995"/>
      <c r="L8" s="995"/>
      <c r="M8" s="995"/>
      <c r="N8" s="995"/>
      <c r="O8" s="995"/>
      <c r="P8" s="995"/>
      <c r="Q8" s="995"/>
      <c r="R8" s="995"/>
      <c r="S8" s="995"/>
      <c r="T8" s="995"/>
      <c r="U8" s="995"/>
      <c r="V8" s="2840"/>
      <c r="W8" s="995"/>
      <c r="X8" s="995"/>
      <c r="Y8" s="995"/>
      <c r="Z8" s="995"/>
      <c r="AA8" s="2840"/>
      <c r="AB8" s="2841"/>
      <c r="AC8" s="2173" t="s">
        <v>591</v>
      </c>
      <c r="AD8" s="2842"/>
      <c r="AE8" s="2834"/>
      <c r="AF8" s="995"/>
      <c r="AG8" s="995"/>
      <c r="AH8" s="995"/>
      <c r="AI8" s="995"/>
      <c r="AJ8" s="995"/>
      <c r="AK8" s="995"/>
      <c r="AL8" s="995"/>
      <c r="AM8" s="995"/>
      <c r="AN8" s="995"/>
      <c r="AO8" s="995"/>
      <c r="AP8" s="995"/>
      <c r="AQ8" s="995"/>
      <c r="AR8" s="995"/>
      <c r="AS8" s="995"/>
      <c r="AT8" s="1829" t="s">
        <v>592</v>
      </c>
      <c r="AU8" s="2836"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594</v>
      </c>
      <c r="I9" s="2844" t="s">
        <v>467</v>
      </c>
      <c r="J9" s="2173"/>
      <c r="K9" s="2844"/>
      <c r="L9" s="2173"/>
      <c r="M9" s="2844"/>
      <c r="N9" s="2173"/>
      <c r="O9" s="2844"/>
      <c r="P9" s="2173"/>
      <c r="Q9" s="2844"/>
      <c r="R9" s="2173"/>
      <c r="S9" s="2844"/>
      <c r="T9" s="2173"/>
      <c r="U9" s="2844"/>
      <c r="V9" s="2173"/>
      <c r="W9" s="2844"/>
      <c r="X9" s="2845"/>
      <c r="Y9" s="2844"/>
      <c r="Z9" s="2173"/>
      <c r="AA9" s="2844"/>
      <c r="AB9" s="2173"/>
      <c r="AC9" s="2837"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6"/>
      <c r="AT9" s="2836"/>
      <c r="AU9" s="2836" t="s">
        <v>597</v>
      </c>
      <c r="AV9" s="1829"/>
      <c r="AW9" s="2315"/>
      <c r="AX9" s="1829"/>
      <c r="AY9" s="2847"/>
      <c r="AZ9" s="2847" t="s">
        <v>589</v>
      </c>
      <c r="BA9" s="2848" t="s">
        <v>598</v>
      </c>
      <c r="BB9" s="2849"/>
      <c r="BC9" s="1892"/>
      <c r="BD9" s="1892"/>
      <c r="BE9" s="1892"/>
      <c r="BF9" s="1892"/>
      <c r="BG9" s="1892"/>
      <c r="BH9" s="1892"/>
      <c r="BI9" s="1892"/>
      <c r="BJ9" s="1892"/>
      <c r="BK9" s="2850"/>
      <c r="BL9" s="1881" t="s">
        <v>599</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173"/>
      <c r="K10" s="2851"/>
      <c r="L10" s="2173"/>
      <c r="M10" s="2851"/>
      <c r="N10" s="2173"/>
      <c r="O10" s="2851"/>
      <c r="P10" s="2173"/>
      <c r="Q10" s="2851"/>
      <c r="R10" s="2173"/>
      <c r="S10" s="2851"/>
      <c r="T10" s="2173"/>
      <c r="U10" s="2851"/>
      <c r="V10" s="2173"/>
      <c r="W10" s="2851"/>
      <c r="X10" s="2173"/>
      <c r="Y10" s="2851"/>
      <c r="Z10" s="2173"/>
      <c r="AA10" s="2851"/>
      <c r="AB10" s="2173"/>
      <c r="AC10" s="1829"/>
      <c r="AD10" s="1881" t="s">
        <v>600</v>
      </c>
      <c r="AE10" s="2852"/>
      <c r="AF10" s="1881" t="s">
        <v>600</v>
      </c>
      <c r="AG10" s="2852"/>
      <c r="AH10" s="1881" t="s">
        <v>601</v>
      </c>
      <c r="AI10" s="2852"/>
      <c r="AJ10" s="1881" t="s">
        <v>601</v>
      </c>
      <c r="AK10" s="2852"/>
      <c r="AL10" s="1881" t="s">
        <v>602</v>
      </c>
      <c r="AM10" s="1843"/>
      <c r="AN10" s="1881" t="s">
        <v>602</v>
      </c>
      <c r="AO10" s="1843"/>
      <c r="AP10" s="1881" t="s">
        <v>603</v>
      </c>
      <c r="AQ10" s="1843"/>
      <c r="AR10" s="1881" t="s">
        <v>603</v>
      </c>
      <c r="AS10" s="1843"/>
      <c r="AT10" s="2836"/>
      <c r="AU10" s="2836"/>
      <c r="AV10" s="1829"/>
      <c r="AW10" s="2315"/>
      <c r="AX10" s="1829"/>
      <c r="AY10" s="2847"/>
      <c r="AZ10" s="2847"/>
      <c r="BA10" s="2853" t="s">
        <v>594</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604</v>
      </c>
      <c r="AE11" s="996"/>
      <c r="AF11" s="2858" t="s">
        <v>604</v>
      </c>
      <c r="AG11" s="996"/>
      <c r="AH11" s="2858" t="s">
        <v>605</v>
      </c>
      <c r="AI11" s="2859"/>
      <c r="AJ11" s="2858" t="s">
        <v>605</v>
      </c>
      <c r="AK11" s="996"/>
      <c r="AL11" s="994"/>
      <c r="AM11" s="996"/>
      <c r="AN11" s="994"/>
      <c r="AO11" s="996"/>
      <c r="AP11" s="994"/>
      <c r="AQ11" s="996"/>
      <c r="AR11" s="994"/>
      <c r="AS11" s="996"/>
      <c r="AT11" s="2315"/>
      <c r="AU11" s="2836"/>
      <c r="AV11" s="1829"/>
      <c r="AW11" s="2315"/>
      <c r="AX11" s="1829"/>
      <c r="AY11" s="2847"/>
      <c r="AZ11" s="2847"/>
      <c r="BA11" s="2847"/>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3"/>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61" t="s">
        <v>607</v>
      </c>
      <c r="AT12" s="2864"/>
      <c r="AU12" s="2861"/>
      <c r="AV12" s="2865"/>
      <c r="AW12" s="2377"/>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415</v>
      </c>
      <c r="D13" s="2868" t="s">
        <v>608</v>
      </c>
      <c r="E13" s="2822">
        <f>IF($C$3="是",ROUND($A$3*G13/$B$3,2),ROUND($A$3*(G13-AT13)/$B$3,2))</f>
        <v>0</v>
      </c>
      <c r="F13" s="2869"/>
      <c r="G13" s="2870">
        <f>H13+AC13+AT13</f>
        <v>62.23</v>
      </c>
      <c r="H13" s="2827">
        <f>SUMIF(I$12:AB$12,"总值",I13:AB13)</f>
        <v>62.23</v>
      </c>
      <c r="I13" s="2871">
        <v>62.23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415</v>
      </c>
      <c r="AY13" s="2237">
        <f>ROUND($AY$6*AZ13/$AZ$5,2)</f>
        <v>0</v>
      </c>
      <c r="AZ13" s="2822">
        <f>BA13+BL13</f>
        <v>62.23</v>
      </c>
      <c r="BA13" s="2822">
        <f>SUM(BB13:BK13)</f>
        <v>62.23</v>
      </c>
      <c r="BB13" s="2822">
        <f>IF($D13="是",I13-J13,0)</f>
        <v>62.23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237">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237">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237">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237">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5" t="s">
        <v>610</v>
      </c>
      <c r="B2" s="3255"/>
      <c r="C2" s="3255"/>
      <c r="D2" s="2156" t="s">
        <v>611</v>
      </c>
      <c r="E2" s="2744" t="s">
        <v>612</v>
      </c>
      <c r="F2" s="2572"/>
      <c r="G2" s="2745"/>
      <c r="H2" s="2746"/>
      <c r="I2" s="2447" t="s">
        <v>613</v>
      </c>
      <c r="J2" s="2572"/>
      <c r="K2" s="2572"/>
      <c r="L2" s="2572"/>
      <c r="M2" s="2572"/>
      <c r="N2" s="1062"/>
      <c r="O2" s="2572"/>
      <c r="P2" s="2572"/>
    </row>
    <row r="3" spans="1:16" ht="15">
      <c r="A3" s="3256" t="s">
        <v>614</v>
      </c>
      <c r="B3" s="3256"/>
      <c r="C3" s="3256"/>
      <c r="D3" s="2747">
        <f>'数据-基础表'!AY6</f>
        <v>0</v>
      </c>
      <c r="E3" s="2747">
        <f>'数据-基础表'!AZ5</f>
        <v>62.23</v>
      </c>
      <c r="F3" s="2572"/>
      <c r="G3" s="2748"/>
      <c r="H3" s="2251" t="s">
        <v>615</v>
      </c>
      <c r="I3" s="2102" t="e">
        <f>ROUND('数据-基础表'!B3/'数据-基础表'!A3,2)</f>
        <v>#DIV/0!</v>
      </c>
      <c r="J3" s="2572"/>
      <c r="K3" s="2572"/>
      <c r="L3" s="2572"/>
      <c r="M3" s="2572"/>
      <c r="N3" s="1062"/>
      <c r="O3" s="2572"/>
      <c r="P3" s="2572"/>
    </row>
    <row r="4" spans="1:16" ht="15">
      <c r="A4" s="3257"/>
      <c r="B4" s="3258"/>
      <c r="C4" s="3259"/>
      <c r="D4" s="2749" t="s">
        <v>611</v>
      </c>
      <c r="E4" s="2750" t="s">
        <v>612</v>
      </c>
      <c r="F4" s="2572"/>
      <c r="G4" s="2751" t="s">
        <v>616</v>
      </c>
      <c r="H4" s="2251" t="s">
        <v>617</v>
      </c>
      <c r="I4" s="2102" t="e">
        <f>ROUND(SUMIF('数据-基础表'!I9:AS9,"地上",'数据-基础表'!I5:AS5)/'数据-基础表'!A3,2)</f>
        <v>#DIV/0!</v>
      </c>
      <c r="J4" s="2572"/>
      <c r="K4" s="2572"/>
      <c r="L4" s="2572"/>
      <c r="M4" s="2572"/>
      <c r="N4" s="1062"/>
      <c r="O4" s="2572"/>
      <c r="P4" s="2572"/>
    </row>
    <row r="5" spans="1:16">
      <c r="A5" s="2748" t="s">
        <v>618</v>
      </c>
      <c r="B5" s="3260" t="s">
        <v>619</v>
      </c>
      <c r="C5" s="3260"/>
      <c r="D5" s="2251">
        <f>ROUND($D$3*E5/$E$3,2)</f>
        <v>0</v>
      </c>
      <c r="E5" s="2752">
        <f>SUMIF('数据-基础表'!$11:$11,"住宅",'数据-基础表'!$5:$5)</f>
        <v>0</v>
      </c>
      <c r="F5" s="2572"/>
      <c r="G5" s="2748"/>
      <c r="H5" s="2251" t="s">
        <v>615</v>
      </c>
      <c r="I5" s="2102" t="e">
        <f>ROUND(E31/D31,2)</f>
        <v>#DIV/0!</v>
      </c>
      <c r="J5" s="2572"/>
      <c r="K5" s="2572"/>
      <c r="L5" s="2572"/>
      <c r="M5" s="2572"/>
      <c r="N5" s="2572"/>
      <c r="O5" s="2572"/>
      <c r="P5" s="2572"/>
    </row>
    <row r="6" spans="1:16">
      <c r="A6" s="2753"/>
      <c r="B6" s="3260" t="s">
        <v>620</v>
      </c>
      <c r="C6" s="3260"/>
      <c r="D6" s="2251">
        <f>ROUND($D$3*E6/$E$3,2)</f>
        <v>0</v>
      </c>
      <c r="E6" s="2752">
        <f>E3-E5</f>
        <v>62.23</v>
      </c>
      <c r="F6" s="2572"/>
      <c r="G6" s="2754" t="s">
        <v>621</v>
      </c>
      <c r="H6" s="2755" t="s">
        <v>617</v>
      </c>
      <c r="I6" s="2756" t="e">
        <f>ROUND(F31/D31,2)</f>
        <v>#DIV/0!</v>
      </c>
      <c r="J6" s="2572"/>
      <c r="K6" s="2572"/>
      <c r="L6" s="2572"/>
      <c r="M6" s="2572"/>
      <c r="N6" s="2572"/>
      <c r="O6" s="2572"/>
      <c r="P6" s="2572"/>
    </row>
    <row r="7" spans="1:16" ht="15">
      <c r="A7" s="3246"/>
      <c r="B7" s="3247"/>
      <c r="C7" s="3248"/>
      <c r="D7" s="2749" t="s">
        <v>611</v>
      </c>
      <c r="E7" s="2757" t="s">
        <v>622</v>
      </c>
      <c r="F7" s="2572"/>
      <c r="G7" s="2758" t="s">
        <v>623</v>
      </c>
      <c r="H7" s="2673"/>
      <c r="I7" s="2759">
        <v>3.5</v>
      </c>
      <c r="J7" s="2572"/>
      <c r="K7" s="2572"/>
      <c r="L7" s="2572"/>
      <c r="M7" s="2572"/>
      <c r="N7" s="2572"/>
      <c r="O7" s="2572"/>
      <c r="P7" s="2572"/>
    </row>
    <row r="8" spans="1:16">
      <c r="A8" s="2748" t="s">
        <v>624</v>
      </c>
      <c r="B8" s="2755" t="s">
        <v>625</v>
      </c>
      <c r="C8" s="2251" t="s">
        <v>626</v>
      </c>
      <c r="D8" s="2251">
        <f t="shared" ref="D8:D15" si="0">ROUND($D$3*E8/$E$3,2)</f>
        <v>0</v>
      </c>
      <c r="E8" s="2760">
        <f>SUMIF('数据-基础表'!BB10:BK10,"地上",'数据-基础表'!BB5:BK5)</f>
        <v>62.23</v>
      </c>
      <c r="F8" s="2572"/>
      <c r="G8" s="2572"/>
      <c r="H8" s="2572"/>
      <c r="I8" s="2572"/>
      <c r="J8" s="2572"/>
      <c r="K8" s="2572"/>
      <c r="L8" s="2572"/>
      <c r="M8" s="2572"/>
      <c r="N8" s="2572"/>
      <c r="O8" s="2572"/>
      <c r="P8" s="2572"/>
    </row>
    <row r="9" spans="1:16">
      <c r="A9" s="2754"/>
      <c r="B9" s="2761"/>
      <c r="C9" s="2251" t="s">
        <v>627</v>
      </c>
      <c r="D9" s="2251">
        <f t="shared" si="0"/>
        <v>0</v>
      </c>
      <c r="E9" s="2762">
        <v>0</v>
      </c>
      <c r="F9" s="2572"/>
      <c r="G9" s="2572"/>
      <c r="H9" s="2572"/>
      <c r="I9" s="2572"/>
      <c r="J9" s="2572"/>
      <c r="K9" s="2572"/>
      <c r="L9" s="2572"/>
      <c r="M9" s="2572"/>
      <c r="N9" s="2572"/>
      <c r="O9" s="2572"/>
      <c r="P9" s="2572"/>
    </row>
    <row r="10" spans="1:16">
      <c r="A10" s="2754"/>
      <c r="B10" s="2761"/>
      <c r="C10" s="2251" t="s">
        <v>628</v>
      </c>
      <c r="D10" s="2251">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c r="A11" s="2754"/>
      <c r="B11" s="2761"/>
      <c r="C11" s="2251" t="s">
        <v>629</v>
      </c>
      <c r="D11" s="2251">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251" t="s">
        <v>630</v>
      </c>
      <c r="D12" s="2251">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251" t="s">
        <v>631</v>
      </c>
      <c r="D13" s="2251">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251" t="s">
        <v>632</v>
      </c>
      <c r="D14" s="2251">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251" t="s">
        <v>633</v>
      </c>
      <c r="D15" s="2251">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634</v>
      </c>
      <c r="D16" s="2755">
        <f>SUM(D8:D15)</f>
        <v>0</v>
      </c>
      <c r="E16" s="2763">
        <f>SUM(E8:E15)</f>
        <v>62.23</v>
      </c>
      <c r="F16" s="2572"/>
      <c r="G16" s="2572"/>
      <c r="H16" s="2764" t="s">
        <v>635</v>
      </c>
      <c r="I16" s="2765"/>
      <c r="J16" s="2302"/>
      <c r="K16" s="3249" t="s">
        <v>635</v>
      </c>
      <c r="L16" s="3250"/>
      <c r="M16" s="3250"/>
      <c r="N16" s="3250"/>
      <c r="O16" s="3250"/>
      <c r="P16" s="3251"/>
    </row>
    <row r="17" spans="1:19" ht="15">
      <c r="A17" s="2579" t="s">
        <v>636</v>
      </c>
      <c r="B17" s="2767" t="s">
        <v>637</v>
      </c>
      <c r="C17" s="2276" t="s">
        <v>638</v>
      </c>
      <c r="D17" s="2766" t="s">
        <v>611</v>
      </c>
      <c r="E17" s="2768" t="s">
        <v>612</v>
      </c>
      <c r="F17" s="2769"/>
      <c r="G17" s="2770"/>
      <c r="H17" s="2771" t="s">
        <v>639</v>
      </c>
      <c r="I17" s="2772" t="s">
        <v>640</v>
      </c>
      <c r="J17" s="2302"/>
      <c r="K17" s="3252" t="s">
        <v>641</v>
      </c>
      <c r="L17" s="3253"/>
      <c r="M17" s="3254"/>
      <c r="N17" s="3252" t="s">
        <v>642</v>
      </c>
      <c r="O17" s="3253"/>
      <c r="P17" s="3254"/>
      <c r="R17" s="2195" t="s">
        <v>643</v>
      </c>
      <c r="S17" s="2241"/>
    </row>
    <row r="18" spans="1:19" ht="15">
      <c r="A18" s="2754"/>
      <c r="B18" s="2773"/>
      <c r="C18" s="2244"/>
      <c r="D18" s="2774"/>
      <c r="E18" s="2775" t="s">
        <v>644</v>
      </c>
      <c r="F18" s="2776" t="s">
        <v>617</v>
      </c>
      <c r="G18" s="2777" t="s">
        <v>645</v>
      </c>
      <c r="H18" s="2622" t="s">
        <v>646</v>
      </c>
      <c r="I18" s="2778" t="s">
        <v>647</v>
      </c>
      <c r="J18" s="2302"/>
      <c r="K18" s="2622" t="s">
        <v>648</v>
      </c>
      <c r="L18" s="2460" t="s">
        <v>649</v>
      </c>
      <c r="M18" s="2102" t="s">
        <v>650</v>
      </c>
      <c r="N18" s="2622" t="s">
        <v>648</v>
      </c>
      <c r="O18" s="2460" t="s">
        <v>649</v>
      </c>
      <c r="P18" s="2102" t="s">
        <v>650</v>
      </c>
      <c r="R18" s="2251" t="s">
        <v>646</v>
      </c>
      <c r="S18" s="2251" t="s">
        <v>647</v>
      </c>
    </row>
    <row r="19" spans="1:19">
      <c r="A19" s="2779"/>
      <c r="B19" s="2755" t="s">
        <v>651</v>
      </c>
      <c r="C19" s="2780" t="s">
        <v>230</v>
      </c>
      <c r="D19" s="2251">
        <f>ROUND($D$3*E19/$E$3,2)</f>
        <v>0</v>
      </c>
      <c r="E19" s="2781">
        <f t="shared" ref="E19:E26" si="1">SUM(F19:G19)</f>
        <v>62.23</v>
      </c>
      <c r="F19" s="2782">
        <f>'数据-基础表'!I13</f>
        <v>62.23</v>
      </c>
      <c r="G19" s="2288"/>
      <c r="H19" s="2647">
        <f>ROUND($D$3*I19/$E$3,2)</f>
        <v>0</v>
      </c>
      <c r="I19" s="2760">
        <f t="shared" ref="I19:I26" si="2">IF($I$17="自定义",P19,M19)</f>
        <v>0</v>
      </c>
      <c r="J19" s="2302"/>
      <c r="K19" s="2647">
        <f t="shared" ref="K19:K26" si="3">ROUND(E$28*E19/E$27,2)</f>
        <v>0</v>
      </c>
      <c r="L19" s="2251">
        <f t="shared" ref="L19:L26" si="4">ROUND(IF(COUNTIF(C19,"*住宅*")&gt;0,E$29*E19/E$32,0),2)</f>
        <v>0</v>
      </c>
      <c r="M19" s="2760">
        <f>K19+L19</f>
        <v>0</v>
      </c>
      <c r="N19" s="2783"/>
      <c r="O19" s="2784"/>
      <c r="P19" s="2760">
        <f>N19+O19</f>
        <v>0</v>
      </c>
      <c r="R19" s="2251">
        <f t="shared" ref="R19:S26" si="5">D19+H19</f>
        <v>0</v>
      </c>
      <c r="S19" s="2781">
        <f t="shared" si="5"/>
        <v>62.23</v>
      </c>
    </row>
    <row r="20" spans="1:19">
      <c r="A20" s="2779"/>
      <c r="B20" s="2755" t="s">
        <v>651</v>
      </c>
      <c r="C20" s="2780"/>
      <c r="D20" s="2251">
        <f t="shared" ref="D20:D26" si="6">ROUND($D$3*E20/$E$3,2)</f>
        <v>0</v>
      </c>
      <c r="E20" s="2781">
        <f t="shared" si="1"/>
        <v>0</v>
      </c>
      <c r="F20" s="2782"/>
      <c r="G20" s="2288"/>
      <c r="H20" s="2647">
        <f t="shared" ref="H20:H26" si="7">ROUND($D$3*I20/$E$3,2)</f>
        <v>0</v>
      </c>
      <c r="I20" s="2760">
        <f t="shared" si="2"/>
        <v>0</v>
      </c>
      <c r="J20" s="2302"/>
      <c r="K20" s="2647">
        <f t="shared" si="3"/>
        <v>0</v>
      </c>
      <c r="L20" s="2251">
        <f t="shared" si="4"/>
        <v>0</v>
      </c>
      <c r="M20" s="2760">
        <f t="shared" ref="M20:M26" si="8">K20+L20</f>
        <v>0</v>
      </c>
      <c r="N20" s="2783"/>
      <c r="O20" s="2784"/>
      <c r="P20" s="2760">
        <f t="shared" ref="P20:P26" si="9">N20+O20</f>
        <v>0</v>
      </c>
      <c r="R20" s="2251">
        <f t="shared" si="5"/>
        <v>0</v>
      </c>
      <c r="S20" s="2781">
        <f t="shared" si="5"/>
        <v>0</v>
      </c>
    </row>
    <row r="21" spans="1:19">
      <c r="A21" s="2779"/>
      <c r="B21" s="2755" t="s">
        <v>651</v>
      </c>
      <c r="C21" s="2780"/>
      <c r="D21" s="2251">
        <f t="shared" si="6"/>
        <v>0</v>
      </c>
      <c r="E21" s="2781">
        <f t="shared" si="1"/>
        <v>0</v>
      </c>
      <c r="F21" s="2782"/>
      <c r="G21" s="2288"/>
      <c r="H21" s="2647">
        <f t="shared" si="7"/>
        <v>0</v>
      </c>
      <c r="I21" s="2760">
        <f t="shared" si="2"/>
        <v>0</v>
      </c>
      <c r="J21" s="2302"/>
      <c r="K21" s="2647">
        <f t="shared" si="3"/>
        <v>0</v>
      </c>
      <c r="L21" s="2251">
        <f t="shared" si="4"/>
        <v>0</v>
      </c>
      <c r="M21" s="2760">
        <f t="shared" si="8"/>
        <v>0</v>
      </c>
      <c r="N21" s="2783"/>
      <c r="O21" s="2784"/>
      <c r="P21" s="2760">
        <f t="shared" si="9"/>
        <v>0</v>
      </c>
      <c r="R21" s="2251">
        <f t="shared" si="5"/>
        <v>0</v>
      </c>
      <c r="S21" s="2781">
        <f t="shared" si="5"/>
        <v>0</v>
      </c>
    </row>
    <row r="22" spans="1:19">
      <c r="A22" s="2779"/>
      <c r="B22" s="2755" t="s">
        <v>651</v>
      </c>
      <c r="C22" s="2785"/>
      <c r="D22" s="2251">
        <f t="shared" si="6"/>
        <v>0</v>
      </c>
      <c r="E22" s="2781">
        <f t="shared" si="1"/>
        <v>0</v>
      </c>
      <c r="F22" s="2786"/>
      <c r="G22" s="2787"/>
      <c r="H22" s="2647">
        <f t="shared" si="7"/>
        <v>0</v>
      </c>
      <c r="I22" s="2760">
        <f t="shared" si="2"/>
        <v>0</v>
      </c>
      <c r="J22" s="2302"/>
      <c r="K22" s="2647">
        <f t="shared" si="3"/>
        <v>0</v>
      </c>
      <c r="L22" s="2251">
        <f t="shared" si="4"/>
        <v>0</v>
      </c>
      <c r="M22" s="2760">
        <f t="shared" si="8"/>
        <v>0</v>
      </c>
      <c r="N22" s="2783"/>
      <c r="O22" s="2784"/>
      <c r="P22" s="2760">
        <f t="shared" si="9"/>
        <v>0</v>
      </c>
      <c r="R22" s="2251">
        <f t="shared" si="5"/>
        <v>0</v>
      </c>
      <c r="S22" s="2781">
        <f t="shared" si="5"/>
        <v>0</v>
      </c>
    </row>
    <row r="23" spans="1:19">
      <c r="A23" s="2779"/>
      <c r="B23" s="2755" t="s">
        <v>651</v>
      </c>
      <c r="C23" s="2785"/>
      <c r="D23" s="2251">
        <f t="shared" si="6"/>
        <v>0</v>
      </c>
      <c r="E23" s="2781">
        <f t="shared" si="1"/>
        <v>0</v>
      </c>
      <c r="F23" s="2786"/>
      <c r="G23" s="2787"/>
      <c r="H23" s="2647">
        <f t="shared" si="7"/>
        <v>0</v>
      </c>
      <c r="I23" s="2760">
        <f t="shared" si="2"/>
        <v>0</v>
      </c>
      <c r="J23" s="2302"/>
      <c r="K23" s="2647">
        <f t="shared" si="3"/>
        <v>0</v>
      </c>
      <c r="L23" s="2251">
        <f t="shared" si="4"/>
        <v>0</v>
      </c>
      <c r="M23" s="2760">
        <f t="shared" si="8"/>
        <v>0</v>
      </c>
      <c r="N23" s="2783"/>
      <c r="O23" s="2784"/>
      <c r="P23" s="2760">
        <f t="shared" si="9"/>
        <v>0</v>
      </c>
      <c r="R23" s="2251">
        <f t="shared" si="5"/>
        <v>0</v>
      </c>
      <c r="S23" s="2781">
        <f t="shared" si="5"/>
        <v>0</v>
      </c>
    </row>
    <row r="24" spans="1:19">
      <c r="A24" s="2779"/>
      <c r="B24" s="2755" t="s">
        <v>651</v>
      </c>
      <c r="C24" s="2785"/>
      <c r="D24" s="2251">
        <f t="shared" si="6"/>
        <v>0</v>
      </c>
      <c r="E24" s="2781">
        <f t="shared" si="1"/>
        <v>0</v>
      </c>
      <c r="F24" s="2786"/>
      <c r="G24" s="2787"/>
      <c r="H24" s="2647">
        <f t="shared" si="7"/>
        <v>0</v>
      </c>
      <c r="I24" s="2760">
        <f t="shared" si="2"/>
        <v>0</v>
      </c>
      <c r="J24" s="2302"/>
      <c r="K24" s="2647">
        <f t="shared" si="3"/>
        <v>0</v>
      </c>
      <c r="L24" s="2251">
        <f t="shared" si="4"/>
        <v>0</v>
      </c>
      <c r="M24" s="2760">
        <f t="shared" si="8"/>
        <v>0</v>
      </c>
      <c r="N24" s="2783"/>
      <c r="O24" s="2784"/>
      <c r="P24" s="2760">
        <f t="shared" si="9"/>
        <v>0</v>
      </c>
      <c r="R24" s="2251">
        <f t="shared" si="5"/>
        <v>0</v>
      </c>
      <c r="S24" s="2781">
        <f t="shared" si="5"/>
        <v>0</v>
      </c>
    </row>
    <row r="25" spans="1:19">
      <c r="A25" s="2779"/>
      <c r="B25" s="2755" t="s">
        <v>651</v>
      </c>
      <c r="C25" s="2785"/>
      <c r="D25" s="2251">
        <f t="shared" si="6"/>
        <v>0</v>
      </c>
      <c r="E25" s="2781">
        <f t="shared" si="1"/>
        <v>0</v>
      </c>
      <c r="F25" s="2786"/>
      <c r="G25" s="2787"/>
      <c r="H25" s="2748">
        <f t="shared" si="7"/>
        <v>0</v>
      </c>
      <c r="I25" s="2760">
        <f t="shared" si="2"/>
        <v>0</v>
      </c>
      <c r="J25" s="2302"/>
      <c r="K25" s="2647">
        <f t="shared" si="3"/>
        <v>0</v>
      </c>
      <c r="L25" s="2251">
        <f t="shared" si="4"/>
        <v>0</v>
      </c>
      <c r="M25" s="2760">
        <f t="shared" si="8"/>
        <v>0</v>
      </c>
      <c r="N25" s="2783"/>
      <c r="O25" s="2784"/>
      <c r="P25" s="2760">
        <f t="shared" si="9"/>
        <v>0</v>
      </c>
      <c r="R25" s="2251">
        <f t="shared" si="5"/>
        <v>0</v>
      </c>
      <c r="S25" s="2781">
        <f t="shared" si="5"/>
        <v>0</v>
      </c>
    </row>
    <row r="26" spans="1:19">
      <c r="A26" s="2779"/>
      <c r="B26" s="2755" t="s">
        <v>651</v>
      </c>
      <c r="C26" s="2788"/>
      <c r="D26" s="2251">
        <f t="shared" si="6"/>
        <v>0</v>
      </c>
      <c r="E26" s="2781">
        <f t="shared" si="1"/>
        <v>0</v>
      </c>
      <c r="F26" s="2786"/>
      <c r="G26" s="2787"/>
      <c r="H26" s="2748">
        <f t="shared" si="7"/>
        <v>0</v>
      </c>
      <c r="I26" s="2760">
        <f t="shared" si="2"/>
        <v>0</v>
      </c>
      <c r="J26" s="2302"/>
      <c r="K26" s="2748">
        <f t="shared" si="3"/>
        <v>0</v>
      </c>
      <c r="L26" s="2755">
        <f t="shared" si="4"/>
        <v>0</v>
      </c>
      <c r="M26" s="2763">
        <f t="shared" si="8"/>
        <v>0</v>
      </c>
      <c r="N26" s="2789"/>
      <c r="O26" s="2790"/>
      <c r="P26" s="2763">
        <f t="shared" si="9"/>
        <v>0</v>
      </c>
      <c r="R26" s="2251">
        <f t="shared" si="5"/>
        <v>0</v>
      </c>
      <c r="S26" s="2781">
        <f t="shared" si="5"/>
        <v>0</v>
      </c>
    </row>
    <row r="27" spans="1:19" ht="15">
      <c r="A27" s="2779"/>
      <c r="B27" s="2251"/>
      <c r="C27" s="2450" t="s">
        <v>652</v>
      </c>
      <c r="D27" s="2791">
        <f>SUM(D19:D26)</f>
        <v>0</v>
      </c>
      <c r="E27" s="2792">
        <f>IF(SUM(E19:E26)='数据-基础表'!BA5,SUM(E19:E26),IF(F27="地上面积有误","面积有误","地下面积有误"))</f>
        <v>62.23</v>
      </c>
      <c r="F27" s="2791">
        <f>IF(SUM(F19:F26)=E8,SUM(F19:F26),"地上面积有误")</f>
        <v>62.23</v>
      </c>
      <c r="G27" s="2793">
        <f>SUM(G19:G26)</f>
        <v>0</v>
      </c>
      <c r="H27" s="2794">
        <f>SUM(H19:H26)</f>
        <v>0</v>
      </c>
      <c r="I27" s="2795">
        <f>SUM(I19:I26)</f>
        <v>0</v>
      </c>
      <c r="J27" s="2302"/>
      <c r="K27" s="2796">
        <f>SUM(K19:K26)</f>
        <v>0</v>
      </c>
      <c r="L27" s="2202">
        <f>SUM(L19:L26)</f>
        <v>0</v>
      </c>
      <c r="M27" s="2797">
        <f>SUM(M19:M26)</f>
        <v>0</v>
      </c>
      <c r="N27" s="2796">
        <f t="shared" ref="N27:P27" si="10">SUM(N19:N26)</f>
        <v>0</v>
      </c>
      <c r="O27" s="2202">
        <f t="shared" si="10"/>
        <v>0</v>
      </c>
      <c r="P27" s="2672">
        <f t="shared" si="10"/>
        <v>0</v>
      </c>
      <c r="R27" s="2597">
        <f>IF(SUM(R19:R26)=$D$3,SUM(R19:R26),SUM(R19:R26)&amp;"误差"&amp;ROUND(SUM(R19:R26)-$D$3,2))</f>
        <v>0</v>
      </c>
      <c r="S27" s="2251">
        <f>IF(SUM(S19:S26)=$E$3,SUM(S19:S26),SUM(S19:S26)&amp;"误差"&amp;ROUND(SUM(S19:S26)-E3,2))</f>
        <v>62.23</v>
      </c>
    </row>
    <row r="28" spans="1:19">
      <c r="A28" s="2779"/>
      <c r="B28" s="2755" t="s">
        <v>653</v>
      </c>
      <c r="C28" s="2241" t="s">
        <v>654</v>
      </c>
      <c r="D28" s="2251">
        <f>ROUND($D$3*E28/$E$3,2)</f>
        <v>0</v>
      </c>
      <c r="E28" s="2781">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9"/>
      <c r="B29" s="2755" t="s">
        <v>653</v>
      </c>
      <c r="C29" s="2300" t="s">
        <v>655</v>
      </c>
      <c r="D29" s="2251">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652</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202" t="s">
        <v>656</v>
      </c>
      <c r="D31" s="2801">
        <f>D27+D30</f>
        <v>0</v>
      </c>
      <c r="E31" s="2801">
        <f>E27+E30</f>
        <v>62.23</v>
      </c>
      <c r="F31" s="2802">
        <f>F27+F30</f>
        <v>62.23</v>
      </c>
      <c r="G31" s="2803">
        <f>G27+G30</f>
        <v>0</v>
      </c>
      <c r="H31" s="2572"/>
      <c r="I31" s="2572"/>
      <c r="J31" s="2572"/>
      <c r="K31" s="2572"/>
      <c r="L31" s="2572"/>
      <c r="M31" s="2572"/>
      <c r="N31" s="2572"/>
      <c r="O31" s="2572"/>
      <c r="P31" s="2572"/>
    </row>
    <row r="32" spans="1:19">
      <c r="A32" s="2773"/>
      <c r="B32" s="2773" t="s">
        <v>657</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Z23" sqref="Z23"/>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45966</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59739</v>
      </c>
      <c r="F6" s="2604">
        <f>SUMIF(项目基本情况!C$12:I$12,C6,项目基本情况!C$15:I$15)</f>
        <v>37.729999999999997</v>
      </c>
      <c r="G6" s="2605">
        <f>IF(ISERROR(ROUND(POWER(1+H6,D6-F6)*(POWER(1+H6,F6)-1)/(POWER(1+H6,D6)-1),3)),0,ROUND(POWER(1+H6,D6-F6)*(POWER(1+H6,F6)-1)/(POWER(1+H6,D6)-1),3))</f>
        <v>0.92200000000000004</v>
      </c>
      <c r="H6" s="2606">
        <v>0.05</v>
      </c>
      <c r="I6" s="2606">
        <v>5.5E-2</v>
      </c>
      <c r="J6" s="2607">
        <v>7.0000000000000007E-2</v>
      </c>
      <c r="K6" s="2608">
        <f>SUMIF('数据-汇总表'!C$19:C$33,A6,'数据-汇总表'!E$19:E$33)</f>
        <v>62.23</v>
      </c>
      <c r="L6" s="2609">
        <v>4500</v>
      </c>
      <c r="M6" s="2610">
        <f t="shared" ref="M6:M14" si="0">ROUND(K6*L6/10000,0)</f>
        <v>28</v>
      </c>
      <c r="N6" s="2611">
        <f>N20</f>
        <v>0.85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2300</v>
      </c>
      <c r="V6" s="2617">
        <v>0.02</v>
      </c>
      <c r="W6" s="2617">
        <v>0.15</v>
      </c>
      <c r="X6" s="2618"/>
      <c r="Y6" s="2619">
        <f>N6</f>
        <v>0.85</v>
      </c>
      <c r="Z6" s="2620"/>
      <c r="AA6" s="2607"/>
      <c r="AB6" s="2607"/>
      <c r="AC6" s="2618"/>
      <c r="AD6" s="2621"/>
      <c r="AE6" s="2622">
        <f ca="1">IF(AN6="",0,SUMIF(INDIRECT("'"&amp;AN6&amp;"'"&amp;"!E:E"),$AE$5,INDIRECT("'"&amp;AN6&amp;"'"&amp;"!F:F")))</f>
        <v>37.729999999999997</v>
      </c>
      <c r="AF6" s="2238"/>
      <c r="AG6" s="1579">
        <f>IF(AF6="",0,AE6-AF6)</f>
        <v>0</v>
      </c>
      <c r="AH6" s="2623">
        <v>1</v>
      </c>
      <c r="AI6" s="2624">
        <v>12</v>
      </c>
      <c r="AJ6" s="2238"/>
      <c r="AK6" s="2625">
        <v>5.0000000000000001E-3</v>
      </c>
      <c r="AL6" s="2626">
        <v>1E-3</v>
      </c>
      <c r="AM6" s="2627">
        <v>5.0000000000000001E-3</v>
      </c>
      <c r="AN6" s="2628" t="s">
        <v>285</v>
      </c>
      <c r="AO6" s="1068">
        <f ca="1">SUMIF(INDIRECT("'"&amp;AN6&amp;"'"&amp;"!A:A"),"总价",INDIRECT("'"&amp;AN6&amp;"'"&amp;"!B:B"))</f>
        <v>40.989899999999999</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30"/>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8"/>
      <c r="AG8" s="1579">
        <f t="shared" si="7"/>
        <v>0</v>
      </c>
      <c r="AH8" s="2633"/>
      <c r="AI8" s="2624"/>
      <c r="AJ8" s="2238"/>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654</v>
      </c>
      <c r="B14" s="2600" t="s">
        <v>653</v>
      </c>
      <c r="C14" s="2644" t="s">
        <v>654</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241"/>
      <c r="AA14" s="2651"/>
      <c r="AB14" s="2651"/>
      <c r="AC14" s="2618"/>
      <c r="AD14" s="2649"/>
      <c r="AE14" s="2622"/>
      <c r="AF14" s="1068"/>
      <c r="AG14" s="1579"/>
      <c r="AH14" s="2622"/>
      <c r="AI14" s="1067"/>
      <c r="AJ14" s="1068"/>
      <c r="AK14" s="2652"/>
      <c r="AL14" s="2653"/>
      <c r="AM14" s="2654"/>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655</v>
      </c>
      <c r="B15" s="2600" t="s">
        <v>653</v>
      </c>
      <c r="C15" s="2644" t="s">
        <v>701</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241"/>
      <c r="AA15" s="2651"/>
      <c r="AB15" s="2651"/>
      <c r="AC15" s="2618"/>
      <c r="AD15" s="2649"/>
      <c r="AE15" s="2622"/>
      <c r="AF15" s="1068"/>
      <c r="AG15" s="1579"/>
      <c r="AH15" s="2622"/>
      <c r="AI15" s="1067"/>
      <c r="AJ15" s="1068"/>
      <c r="AK15" s="2652"/>
      <c r="AL15" s="2653"/>
      <c r="AM15" s="2654"/>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656</v>
      </c>
      <c r="B16" s="2658"/>
      <c r="C16" s="2200"/>
      <c r="D16" s="2659"/>
      <c r="E16" s="2658"/>
      <c r="F16" s="2658"/>
      <c r="G16" s="2660">
        <f>ROUND(SUMPRODUCT(G6:G13,K6:K13)/SUMPRODUCT((G6:G13&gt;0)*(K6:K13)),3)</f>
        <v>0.92200000000000004</v>
      </c>
      <c r="H16" s="2661">
        <f>ROUND(SUMPRODUCT(H6:H13,K6:K13)/SUMPRODUCT((H6:H13&gt;0)*(K6:K13)),3)</f>
        <v>0.05</v>
      </c>
      <c r="I16" s="2662"/>
      <c r="J16" s="2662"/>
      <c r="K16" s="2663">
        <f>SUM(K6:K15)</f>
        <v>62.23</v>
      </c>
      <c r="L16" s="2664">
        <f>ROUND(M16*10000/SUM(K6:K14),0)</f>
        <v>4499</v>
      </c>
      <c r="M16" s="2664">
        <f>SUM(M6:M14)</f>
        <v>28</v>
      </c>
      <c r="N16" s="2665">
        <f>ROUND(SUMPRODUCT(M6:M14,N6:N14)/M16,3)</f>
        <v>0.85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253"/>
      <c r="W16" s="2253"/>
      <c r="X16" s="2671"/>
      <c r="Y16" s="2672"/>
      <c r="Z16" s="2673"/>
      <c r="AA16" s="2253"/>
      <c r="AB16" s="2253"/>
      <c r="AC16" s="2671"/>
      <c r="AD16" s="2671"/>
      <c r="AE16" s="2670"/>
      <c r="AF16" s="2253"/>
      <c r="AG16" s="2672"/>
      <c r="AH16" s="2670"/>
      <c r="AI16" s="2673"/>
      <c r="AJ16" s="2673"/>
      <c r="AK16" s="2253"/>
      <c r="AL16" s="2253"/>
      <c r="AM16" s="2672"/>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133"/>
      <c r="D17" s="2675"/>
      <c r="E17" s="2675"/>
      <c r="F17" s="2133"/>
      <c r="G17" s="2133"/>
      <c r="H17" s="2133"/>
      <c r="I17" s="2133"/>
      <c r="J17" s="2133"/>
      <c r="K17" s="2676"/>
      <c r="L17" s="2676"/>
      <c r="M17" s="2133"/>
      <c r="N17" s="2133">
        <v>2016</v>
      </c>
      <c r="O17" s="2133"/>
      <c r="P17" s="2133"/>
      <c r="Q17" s="2133"/>
      <c r="R17" s="2133"/>
      <c r="S17" s="2133"/>
      <c r="T17" s="2133"/>
      <c r="U17" s="2133">
        <v>444570</v>
      </c>
      <c r="V17" s="2677">
        <f>U17/365/T18</f>
        <v>19.572553430821099</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8"/>
      <c r="C18" s="2572"/>
      <c r="D18" s="2679"/>
      <c r="E18" s="2572"/>
      <c r="F18" s="2572"/>
      <c r="G18" s="2572"/>
      <c r="H18" s="2572"/>
      <c r="I18" s="2572"/>
      <c r="J18" s="2572"/>
      <c r="K18" s="2676"/>
      <c r="L18" s="2676"/>
      <c r="M18" s="2133"/>
      <c r="N18" s="2133">
        <f>ROUND(1-(2025-N17)/60,2)</f>
        <v>0.85</v>
      </c>
      <c r="O18" s="2133">
        <v>0.5</v>
      </c>
      <c r="P18" s="2133"/>
      <c r="Q18" s="2133"/>
      <c r="R18" s="2133"/>
      <c r="S18" s="2133"/>
      <c r="T18" s="2133">
        <f>'数据-汇总表'!F19</f>
        <v>62.23</v>
      </c>
      <c r="U18" s="2133">
        <v>423400</v>
      </c>
      <c r="V18" s="2677">
        <f>U18/365/K16</f>
        <v>18.6405270769725</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80" t="s">
        <v>703</v>
      </c>
      <c r="B19" s="2681">
        <v>0</v>
      </c>
      <c r="C19" s="2682" t="s">
        <v>704</v>
      </c>
      <c r="D19" s="2679"/>
      <c r="E19" s="2572"/>
      <c r="F19" s="2572"/>
      <c r="G19" s="2572"/>
      <c r="H19" s="2572"/>
      <c r="I19" s="2572"/>
      <c r="J19" s="2572"/>
      <c r="K19" s="2676"/>
      <c r="L19" s="2676"/>
      <c r="M19" s="2133"/>
      <c r="N19" s="2133">
        <v>0.85</v>
      </c>
      <c r="O19" s="2133">
        <f>1-O18</f>
        <v>0.5</v>
      </c>
      <c r="P19" s="2133"/>
      <c r="Q19" s="2133"/>
      <c r="R19" s="2133"/>
      <c r="S19" s="2133"/>
      <c r="T19" s="2677">
        <f>ROUND(6.15*3.3,2)</f>
        <v>20.3</v>
      </c>
      <c r="U19" s="2133">
        <v>1</v>
      </c>
      <c r="V19" s="2133">
        <v>2.8</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3" t="s">
        <v>705</v>
      </c>
      <c r="B20" s="2684">
        <v>2</v>
      </c>
      <c r="C20" s="2685" t="s">
        <v>706</v>
      </c>
      <c r="D20" s="2679"/>
      <c r="E20" s="2572"/>
      <c r="F20" s="2572"/>
      <c r="G20" s="2572"/>
      <c r="H20" s="2572"/>
      <c r="I20" s="2572"/>
      <c r="J20" s="2572"/>
      <c r="K20" s="2676"/>
      <c r="L20" s="2676"/>
      <c r="M20" s="2133"/>
      <c r="N20" s="2133">
        <f>ROUND(N18*O18+N19*O19,2)</f>
        <v>0.85</v>
      </c>
      <c r="O20" s="2133"/>
      <c r="P20" s="2133"/>
      <c r="Q20" s="2133"/>
      <c r="R20" s="2133"/>
      <c r="S20" s="2133"/>
      <c r="T20" s="2677">
        <f>T18-T19</f>
        <v>41.93</v>
      </c>
      <c r="U20" s="2133">
        <v>0.7</v>
      </c>
      <c r="V20" s="2133">
        <f>V19*U20</f>
        <v>1.96</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6" t="s">
        <v>707</v>
      </c>
      <c r="B21" s="2684">
        <v>2</v>
      </c>
      <c r="C21" s="2572"/>
      <c r="D21" s="2679"/>
      <c r="E21" s="2572"/>
      <c r="F21" s="2572"/>
      <c r="G21" s="2572"/>
      <c r="H21" s="2572"/>
      <c r="I21" s="2572"/>
      <c r="J21" s="2572"/>
      <c r="K21" s="2676"/>
      <c r="L21" s="2676"/>
      <c r="M21" s="2133"/>
      <c r="N21" s="2133"/>
      <c r="O21" s="2133"/>
      <c r="P21" s="2133"/>
      <c r="Q21" s="2133"/>
      <c r="R21" s="2133"/>
      <c r="S21" s="2133"/>
      <c r="T21" s="2133"/>
      <c r="U21" s="2133"/>
      <c r="V21" s="2133">
        <f>ROUND((V19*T19+V20*T20)/T18,2)</f>
        <v>2.23</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3" t="s">
        <v>708</v>
      </c>
      <c r="B22" s="2687">
        <f>B19+B20</f>
        <v>2</v>
      </c>
      <c r="C22" s="2572"/>
      <c r="D22" s="2679"/>
      <c r="E22" s="2572"/>
      <c r="F22" s="2572"/>
      <c r="G22" s="2572"/>
      <c r="H22" s="2572"/>
      <c r="I22" s="2572"/>
      <c r="J22" s="2572"/>
      <c r="K22" s="2676"/>
      <c r="L22" s="2676"/>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6" t="s">
        <v>709</v>
      </c>
      <c r="B23" s="2687">
        <f>B19+B21</f>
        <v>2</v>
      </c>
      <c r="C23" s="2572"/>
      <c r="D23" s="2679"/>
      <c r="E23" s="2572"/>
      <c r="F23" s="2572"/>
      <c r="G23" s="2572"/>
      <c r="H23" s="2572"/>
      <c r="I23" s="2572"/>
      <c r="J23" s="2572"/>
      <c r="K23" s="2676"/>
      <c r="L23" s="2676"/>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8" t="s">
        <v>710</v>
      </c>
      <c r="B24" s="2689">
        <f>B20-B21</f>
        <v>0</v>
      </c>
      <c r="C24" s="2572"/>
      <c r="D24" s="2679"/>
      <c r="E24" s="2572"/>
      <c r="F24" s="2572"/>
      <c r="G24" s="2572"/>
      <c r="H24" s="2572"/>
      <c r="I24" s="2572"/>
      <c r="J24" s="2572"/>
      <c r="K24" s="2676"/>
      <c r="L24" s="2676"/>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9"/>
      <c r="E25" s="2572"/>
      <c r="F25" s="2572"/>
      <c r="G25" s="2572"/>
      <c r="H25" s="2572"/>
      <c r="I25" s="2572"/>
      <c r="J25" s="2572"/>
      <c r="K25" s="2676"/>
      <c r="L25" s="2676"/>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90" t="s">
        <v>712</v>
      </c>
      <c r="C26" s="2691" t="s">
        <v>713</v>
      </c>
      <c r="D26" s="2679"/>
      <c r="E26" s="2572"/>
      <c r="F26" s="2572"/>
      <c r="G26" s="2572"/>
      <c r="H26" s="2572"/>
      <c r="I26" s="2572"/>
      <c r="J26" s="2572"/>
      <c r="K26" s="2676"/>
      <c r="L26" s="2676"/>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2" t="s">
        <v>714</v>
      </c>
      <c r="B27" s="2693"/>
      <c r="C27" s="2694" t="s">
        <v>715</v>
      </c>
      <c r="D27" s="2695"/>
      <c r="E27" s="1062"/>
      <c r="F27" s="1062"/>
      <c r="G27" s="2572"/>
      <c r="H27" s="2572"/>
      <c r="I27" s="2572"/>
      <c r="J27" s="2572"/>
      <c r="K27" s="2676"/>
      <c r="L27" s="2676"/>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6" t="s">
        <v>716</v>
      </c>
      <c r="B28" s="2697">
        <v>200</v>
      </c>
      <c r="C28" s="2698"/>
      <c r="D28" s="2695"/>
      <c r="E28" s="1062"/>
      <c r="F28" s="1062"/>
      <c r="G28" s="2572"/>
      <c r="H28" s="2572"/>
      <c r="I28" s="2572"/>
      <c r="J28" s="2572"/>
      <c r="K28" s="2676"/>
      <c r="L28" s="2676"/>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9" t="s">
        <v>717</v>
      </c>
      <c r="B29" s="2700">
        <f>ROUND('数据-取费表'!B28*'数据-取费表'!K16,0)</f>
        <v>12446</v>
      </c>
      <c r="C29" s="2701" t="s">
        <v>718</v>
      </c>
      <c r="D29" s="2695"/>
      <c r="E29" s="1062"/>
      <c r="F29" s="1062"/>
      <c r="G29" s="2572"/>
      <c r="H29" s="2572"/>
      <c r="I29" s="2572"/>
      <c r="J29" s="2572"/>
      <c r="K29" s="2676"/>
      <c r="L29" s="2676"/>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2" t="s">
        <v>719</v>
      </c>
      <c r="B30" s="2703">
        <v>200</v>
      </c>
      <c r="C30" s="2698"/>
      <c r="D30" s="2695"/>
      <c r="E30" s="1062"/>
      <c r="F30" s="1062"/>
      <c r="G30" s="2572"/>
      <c r="H30" s="2572"/>
      <c r="I30" s="2572"/>
      <c r="J30" s="2572"/>
      <c r="K30" s="2676"/>
      <c r="L30" s="2676"/>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6" t="s">
        <v>720</v>
      </c>
      <c r="B31" s="2704">
        <f>B30-B32</f>
        <v>200</v>
      </c>
      <c r="C31" s="2705"/>
      <c r="D31" s="2695"/>
      <c r="E31" s="1062"/>
      <c r="F31" s="1062"/>
      <c r="G31" s="2572"/>
      <c r="H31" s="2572"/>
      <c r="I31" s="2572"/>
      <c r="J31" s="2572"/>
      <c r="K31" s="2676"/>
      <c r="L31" s="2676"/>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6" t="s">
        <v>721</v>
      </c>
      <c r="B32" s="2707"/>
      <c r="C32" s="2698"/>
      <c r="D32" s="2679"/>
      <c r="E32" s="2572"/>
      <c r="F32" s="2572"/>
      <c r="G32" s="2572"/>
      <c r="H32" s="2572"/>
      <c r="I32" s="2572"/>
      <c r="J32" s="2572"/>
      <c r="K32" s="2676"/>
      <c r="L32" s="2676"/>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2" t="s">
        <v>722</v>
      </c>
      <c r="B33" s="2708">
        <v>0.05</v>
      </c>
      <c r="C33" s="2709" t="s">
        <v>723</v>
      </c>
      <c r="D33" s="2679"/>
      <c r="E33" s="2572"/>
      <c r="F33" s="2572"/>
      <c r="G33" s="2572"/>
      <c r="H33" s="2572"/>
      <c r="I33" s="2572"/>
      <c r="J33" s="2572"/>
      <c r="K33" s="2676"/>
      <c r="L33" s="2676"/>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6" t="s">
        <v>724</v>
      </c>
      <c r="B34" s="2636">
        <v>0</v>
      </c>
      <c r="C34" s="2709" t="s">
        <v>725</v>
      </c>
      <c r="D34" s="2710" t="s">
        <v>726</v>
      </c>
      <c r="E34" s="2674"/>
      <c r="F34" s="2572"/>
      <c r="G34" s="2572"/>
      <c r="H34" s="2572"/>
      <c r="I34" s="2572"/>
      <c r="J34" s="2572"/>
      <c r="K34" s="2676"/>
      <c r="L34" s="2676"/>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6" t="s">
        <v>727</v>
      </c>
      <c r="B35" s="2697">
        <v>200</v>
      </c>
      <c r="C35" s="2709" t="s">
        <v>728</v>
      </c>
      <c r="D35" s="2695"/>
      <c r="E35" s="1062"/>
      <c r="F35" s="1062"/>
      <c r="G35" s="2572"/>
      <c r="H35" s="2572"/>
      <c r="I35" s="2572"/>
      <c r="J35" s="2572"/>
      <c r="K35" s="2676"/>
      <c r="L35" s="2676"/>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9" t="s">
        <v>729</v>
      </c>
      <c r="B36" s="2711">
        <v>0.02</v>
      </c>
      <c r="C36" s="2709" t="s">
        <v>730</v>
      </c>
      <c r="D36" s="2679"/>
      <c r="E36" s="2572"/>
      <c r="F36" s="2572"/>
      <c r="G36" s="2572"/>
      <c r="H36" s="2572"/>
      <c r="I36" s="2572"/>
      <c r="J36" s="2572"/>
      <c r="K36" s="2676"/>
      <c r="L36" s="2676"/>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2" t="s">
        <v>731</v>
      </c>
      <c r="B37" s="2712">
        <v>0.03</v>
      </c>
      <c r="C37" s="2709" t="s">
        <v>732</v>
      </c>
      <c r="D37" s="2679"/>
      <c r="E37" s="2572"/>
      <c r="F37" s="2572"/>
      <c r="G37" s="2572"/>
      <c r="H37" s="2572"/>
      <c r="I37" s="2572"/>
      <c r="J37" s="2572"/>
      <c r="K37" s="2676"/>
      <c r="L37" s="2676"/>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6" t="s">
        <v>733</v>
      </c>
      <c r="B38" s="2636">
        <v>0.02</v>
      </c>
      <c r="C38" s="2709" t="s">
        <v>734</v>
      </c>
      <c r="D38" s="2679"/>
      <c r="E38" s="2572"/>
      <c r="F38" s="2572"/>
      <c r="G38" s="2572"/>
      <c r="H38" s="2572"/>
      <c r="I38" s="2572"/>
      <c r="J38" s="2572"/>
      <c r="K38" s="2676"/>
      <c r="L38" s="2676"/>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6" t="s">
        <v>735</v>
      </c>
      <c r="B39" s="2713">
        <f ca="1">存贷款利率!I1</f>
        <v>1.4999999999999999E-2</v>
      </c>
      <c r="C39" s="2714"/>
      <c r="D39" s="2679"/>
      <c r="E39" s="2572"/>
      <c r="F39" s="2572"/>
      <c r="G39" s="2572"/>
      <c r="H39" s="2572"/>
      <c r="I39" s="2572"/>
      <c r="J39" s="2572"/>
      <c r="K39" s="2676"/>
      <c r="L39" s="2676"/>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5" t="s">
        <v>736</v>
      </c>
      <c r="B40" s="2716">
        <f ca="1">IF(A40="利息：取LPR",存贷款利率!G1,存贷款利率!G1+C40)</f>
        <v>3.1300000000000001E-2</v>
      </c>
      <c r="C40" s="2717"/>
      <c r="D40" s="2133"/>
      <c r="E40" s="2679"/>
      <c r="F40" s="2572"/>
      <c r="G40" s="2572"/>
      <c r="H40" s="2572"/>
      <c r="I40" s="2572"/>
      <c r="J40" s="2572"/>
      <c r="K40" s="2676"/>
      <c r="L40" s="2676"/>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2" t="s">
        <v>737</v>
      </c>
      <c r="B41" s="2718">
        <f>B42+B43</f>
        <v>5.5E-2</v>
      </c>
      <c r="C41" s="2705"/>
      <c r="D41" s="2133"/>
      <c r="E41" s="2679"/>
      <c r="F41" s="2572"/>
      <c r="G41" s="2572"/>
      <c r="H41" s="2572"/>
      <c r="I41" s="2572"/>
      <c r="J41" s="2572"/>
      <c r="K41" s="2676"/>
      <c r="L41" s="2676"/>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9" t="s">
        <v>738</v>
      </c>
      <c r="B42" s="2720">
        <v>0.05</v>
      </c>
      <c r="C42" s="2721">
        <f>IF(B2&lt;DATE(2016,5,1),0,B42)</f>
        <v>0.05</v>
      </c>
      <c r="D42" s="2679"/>
      <c r="E42" s="2572"/>
      <c r="F42" s="2572"/>
      <c r="G42" s="2572"/>
      <c r="H42" s="2572"/>
      <c r="I42" s="2572"/>
      <c r="J42" s="2572"/>
      <c r="K42" s="2676"/>
      <c r="L42" s="2676"/>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9" t="s">
        <v>739</v>
      </c>
      <c r="B43" s="2722">
        <f>B42*(B44+B45+B46)+B47</f>
        <v>5.0000000000000001E-3</v>
      </c>
      <c r="C43" s="2705"/>
      <c r="D43" s="2679"/>
      <c r="E43" s="2572"/>
      <c r="F43" s="2572"/>
      <c r="G43" s="2572"/>
      <c r="H43" s="2572"/>
      <c r="I43" s="2572"/>
      <c r="J43" s="2572"/>
      <c r="K43" s="2676"/>
      <c r="L43" s="2676"/>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3" t="s">
        <v>740</v>
      </c>
      <c r="B44" s="2724">
        <v>0.05</v>
      </c>
      <c r="C44" s="2709" t="s">
        <v>741</v>
      </c>
      <c r="D44" s="2679"/>
      <c r="E44" s="2572"/>
      <c r="F44" s="2572"/>
      <c r="G44" s="2572"/>
      <c r="H44" s="2572"/>
      <c r="I44" s="2572"/>
      <c r="J44" s="2572"/>
      <c r="K44" s="2676"/>
      <c r="L44" s="2676"/>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3" t="s">
        <v>742</v>
      </c>
      <c r="B45" s="2720">
        <v>0.03</v>
      </c>
      <c r="C45" s="2701" t="s">
        <v>743</v>
      </c>
      <c r="D45" s="2679"/>
      <c r="E45" s="2572"/>
      <c r="F45" s="2572"/>
      <c r="G45" s="2572"/>
      <c r="H45" s="2572"/>
      <c r="I45" s="2572"/>
      <c r="J45" s="2572"/>
      <c r="K45" s="2676"/>
      <c r="L45" s="2676"/>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3" t="s">
        <v>744</v>
      </c>
      <c r="B46" s="2720">
        <v>0.02</v>
      </c>
      <c r="C46" s="2701" t="s">
        <v>745</v>
      </c>
      <c r="D46" s="2679"/>
      <c r="E46" s="2572"/>
      <c r="F46" s="2572"/>
      <c r="G46" s="2572"/>
      <c r="H46" s="2572"/>
      <c r="I46" s="2572"/>
      <c r="J46" s="2572"/>
      <c r="K46" s="2676"/>
      <c r="L46" s="2676"/>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5" t="s">
        <v>746</v>
      </c>
      <c r="B47" s="2726">
        <v>0</v>
      </c>
      <c r="C47" s="2727" t="s">
        <v>747</v>
      </c>
      <c r="D47" s="2679"/>
      <c r="E47" s="2572"/>
      <c r="F47" s="2572"/>
      <c r="G47" s="2572"/>
      <c r="H47" s="2572"/>
      <c r="I47" s="2572"/>
      <c r="J47" s="2572"/>
      <c r="K47" s="2676"/>
      <c r="L47" s="2676"/>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8" t="s">
        <v>748</v>
      </c>
      <c r="B48" s="2729">
        <v>0.03</v>
      </c>
      <c r="C48" s="2701" t="s">
        <v>743</v>
      </c>
      <c r="D48" s="2679"/>
      <c r="E48" s="2572"/>
      <c r="F48" s="2572"/>
      <c r="G48" s="2572"/>
      <c r="H48" s="2572"/>
      <c r="I48" s="2572"/>
      <c r="J48" s="2572"/>
      <c r="K48" s="2676"/>
      <c r="L48" s="2676"/>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6" t="s">
        <v>749</v>
      </c>
      <c r="B49" s="2720">
        <v>5.0000000000000001E-4</v>
      </c>
      <c r="C49" s="2701" t="s">
        <v>750</v>
      </c>
      <c r="D49" s="2679"/>
      <c r="E49" s="2572"/>
      <c r="F49" s="2572"/>
      <c r="G49" s="2572"/>
      <c r="H49" s="2572"/>
      <c r="I49" s="2572"/>
      <c r="J49" s="2572"/>
      <c r="K49" s="2676"/>
      <c r="L49" s="2676"/>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30" t="s">
        <v>751</v>
      </c>
      <c r="B50" s="2731">
        <v>1.2E-2</v>
      </c>
      <c r="C50" s="1062"/>
      <c r="D50" s="2679"/>
      <c r="E50" s="2572"/>
      <c r="F50" s="2572"/>
      <c r="G50" s="2572"/>
      <c r="H50" s="2572"/>
      <c r="I50" s="2572"/>
      <c r="J50" s="2572"/>
      <c r="K50" s="2676"/>
      <c r="L50" s="2676"/>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9" t="s">
        <v>752</v>
      </c>
      <c r="B51" s="2732">
        <v>0.12</v>
      </c>
      <c r="C51" s="1062"/>
      <c r="D51" s="2679"/>
      <c r="E51" s="2572"/>
      <c r="F51" s="2572"/>
      <c r="G51" s="2572"/>
      <c r="H51" s="2572"/>
      <c r="I51" s="2572"/>
      <c r="J51" s="2572"/>
      <c r="K51" s="2676"/>
      <c r="L51" s="2676"/>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30" t="s">
        <v>753</v>
      </c>
      <c r="B52" s="2733">
        <f>SUMIF(A54:A63,B53,B54:B63)</f>
        <v>0</v>
      </c>
      <c r="C52" s="1062"/>
      <c r="D52" s="2679"/>
      <c r="E52" s="2572"/>
      <c r="F52" s="2572"/>
      <c r="G52" s="2572"/>
      <c r="H52" s="2572"/>
      <c r="I52" s="2572"/>
      <c r="J52" s="2572"/>
      <c r="K52" s="2676"/>
      <c r="L52" s="2676"/>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6" t="s">
        <v>754</v>
      </c>
      <c r="B53" s="2734"/>
      <c r="C53" s="1062" t="s">
        <v>755</v>
      </c>
      <c r="D53" s="2735" t="s">
        <v>756</v>
      </c>
      <c r="E53" s="2572"/>
      <c r="F53" s="2572"/>
      <c r="G53" s="2572"/>
      <c r="H53" s="2572"/>
      <c r="I53" s="2572"/>
      <c r="J53" s="2572"/>
      <c r="K53" s="2676"/>
      <c r="L53" s="2676"/>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6" t="s">
        <v>757</v>
      </c>
      <c r="B54" s="2737">
        <f>C54</f>
        <v>30</v>
      </c>
      <c r="C54" s="1062">
        <v>30</v>
      </c>
      <c r="D54" s="2679"/>
      <c r="E54" s="2572"/>
      <c r="F54" s="2572"/>
      <c r="G54" s="2572"/>
      <c r="H54" s="2572"/>
      <c r="I54" s="2572"/>
      <c r="J54" s="2572"/>
      <c r="K54" s="2676"/>
      <c r="L54" s="2676"/>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6" t="s">
        <v>758</v>
      </c>
      <c r="B55" s="2737">
        <f t="shared" ref="B55:B59" si="12">C55</f>
        <v>24</v>
      </c>
      <c r="C55" s="1062">
        <v>24</v>
      </c>
      <c r="D55" s="2679"/>
      <c r="E55" s="2572"/>
      <c r="F55" s="2572"/>
      <c r="G55" s="2572"/>
      <c r="H55" s="2572"/>
      <c r="I55" s="2572"/>
      <c r="J55" s="2572"/>
      <c r="K55" s="2676"/>
      <c r="L55" s="2676"/>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6" t="s">
        <v>759</v>
      </c>
      <c r="B56" s="2737">
        <f t="shared" si="12"/>
        <v>18</v>
      </c>
      <c r="C56" s="1062">
        <v>18</v>
      </c>
      <c r="D56" s="2679"/>
      <c r="E56" s="2572"/>
      <c r="F56" s="2572"/>
      <c r="G56" s="2572"/>
      <c r="H56" s="2572"/>
      <c r="I56" s="2572"/>
      <c r="J56" s="2572"/>
      <c r="K56" s="2676"/>
      <c r="L56" s="2676"/>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6" t="s">
        <v>760</v>
      </c>
      <c r="B57" s="2737">
        <f t="shared" si="12"/>
        <v>12</v>
      </c>
      <c r="C57" s="1062">
        <v>12</v>
      </c>
      <c r="D57" s="2679"/>
      <c r="E57" s="2572"/>
      <c r="F57" s="2572"/>
      <c r="G57" s="2572"/>
      <c r="H57" s="2572"/>
      <c r="I57" s="2572"/>
      <c r="J57" s="2572"/>
      <c r="K57" s="2676"/>
      <c r="L57" s="2676"/>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6" t="s">
        <v>761</v>
      </c>
      <c r="B58" s="2737">
        <f t="shared" si="12"/>
        <v>3</v>
      </c>
      <c r="C58" s="1062">
        <v>3</v>
      </c>
      <c r="D58" s="2679"/>
      <c r="E58" s="2572"/>
      <c r="F58" s="2572"/>
      <c r="G58" s="2572"/>
      <c r="H58" s="2572"/>
      <c r="I58" s="2572"/>
      <c r="J58" s="2572"/>
      <c r="K58" s="2676"/>
      <c r="L58" s="2676"/>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6" t="s">
        <v>762</v>
      </c>
      <c r="B59" s="2737">
        <f t="shared" si="12"/>
        <v>1.5</v>
      </c>
      <c r="C59" s="1062">
        <v>1.5</v>
      </c>
      <c r="D59" s="2679"/>
      <c r="E59" s="2572"/>
      <c r="F59" s="2572"/>
      <c r="G59" s="2572"/>
      <c r="H59" s="2572"/>
      <c r="I59" s="2572"/>
      <c r="J59" s="2572"/>
      <c r="K59" s="2676"/>
      <c r="L59" s="2676"/>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6" t="s">
        <v>763</v>
      </c>
      <c r="B60" s="2737"/>
      <c r="C60" s="2572"/>
      <c r="D60" s="2679"/>
      <c r="E60" s="2572"/>
      <c r="F60" s="2572"/>
      <c r="G60" s="2572"/>
      <c r="H60" s="2572"/>
      <c r="I60" s="2572"/>
      <c r="J60" s="2572"/>
      <c r="K60" s="2676"/>
      <c r="L60" s="2676"/>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6" t="s">
        <v>764</v>
      </c>
      <c r="B61" s="2737"/>
      <c r="C61" s="2572"/>
      <c r="D61" s="2679"/>
      <c r="E61" s="2572"/>
      <c r="F61" s="2572"/>
      <c r="G61" s="2572"/>
      <c r="H61" s="2572"/>
      <c r="I61" s="2572"/>
      <c r="J61" s="2572"/>
      <c r="K61" s="2676"/>
      <c r="L61" s="2676"/>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6" t="s">
        <v>765</v>
      </c>
      <c r="B62" s="2737"/>
      <c r="C62" s="2572"/>
      <c r="D62" s="2679"/>
      <c r="E62" s="2572"/>
      <c r="F62" s="2572"/>
      <c r="G62" s="2572"/>
      <c r="H62" s="2572"/>
      <c r="I62" s="2572"/>
      <c r="J62" s="2572"/>
      <c r="K62" s="2676"/>
      <c r="L62" s="2676"/>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8" t="s">
        <v>766</v>
      </c>
      <c r="B63" s="2739"/>
      <c r="C63" s="2572"/>
      <c r="D63" s="2679"/>
      <c r="E63" s="2572"/>
      <c r="F63" s="2572"/>
      <c r="G63" s="2572"/>
      <c r="H63" s="2572"/>
      <c r="I63" s="2572"/>
      <c r="J63" s="2572"/>
      <c r="K63" s="2676"/>
      <c r="L63" s="2676"/>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40"/>
      <c r="B64" s="2133"/>
      <c r="C64" s="2133"/>
      <c r="D64" s="2675"/>
      <c r="E64" s="2133"/>
      <c r="F64" s="2133"/>
      <c r="G64" s="2133"/>
      <c r="H64" s="2133"/>
      <c r="I64" s="2133"/>
      <c r="J64" s="2133"/>
      <c r="K64" s="2676"/>
      <c r="L64" s="2676"/>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40"/>
      <c r="B65" s="2133"/>
      <c r="C65" s="2133"/>
      <c r="D65" s="2675"/>
      <c r="E65" s="2133"/>
      <c r="F65" s="2133"/>
      <c r="G65" s="2133"/>
      <c r="H65" s="2133"/>
      <c r="I65" s="2133"/>
      <c r="J65" s="2133"/>
      <c r="K65" s="2676"/>
      <c r="L65" s="2676"/>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40"/>
      <c r="B66" s="2133"/>
      <c r="C66" s="2133"/>
      <c r="D66" s="2675"/>
      <c r="E66" s="2133"/>
      <c r="F66" s="2133"/>
      <c r="G66" s="2133"/>
      <c r="H66" s="2133"/>
      <c r="I66" s="2133"/>
      <c r="J66" s="2133"/>
      <c r="K66" s="2676"/>
      <c r="L66" s="2676"/>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40"/>
      <c r="B67" s="2133"/>
      <c r="C67" s="2133"/>
      <c r="D67" s="2675"/>
      <c r="E67" s="2133"/>
      <c r="F67" s="2133"/>
      <c r="G67" s="2133"/>
      <c r="H67" s="2133"/>
      <c r="I67" s="2133"/>
      <c r="J67" s="2133"/>
      <c r="K67" s="2676"/>
      <c r="L67" s="2676"/>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40"/>
      <c r="B68" s="2133"/>
      <c r="C68" s="2133"/>
      <c r="D68" s="2675"/>
      <c r="E68" s="2133"/>
      <c r="F68" s="2133"/>
      <c r="G68" s="2133"/>
      <c r="H68" s="2133"/>
      <c r="I68" s="2133"/>
      <c r="J68" s="2133"/>
      <c r="K68" s="2676"/>
      <c r="L68" s="2676"/>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41"/>
      <c r="K69" s="933"/>
      <c r="L69" s="933"/>
    </row>
    <row r="70" spans="1:44" s="898" customFormat="1">
      <c r="A70" s="2491"/>
      <c r="D70" s="2741"/>
      <c r="K70" s="933"/>
      <c r="L70" s="933"/>
    </row>
    <row r="71" spans="1:44" s="898" customFormat="1">
      <c r="A71" s="2491"/>
      <c r="D71" s="2741"/>
      <c r="K71" s="933"/>
      <c r="L71" s="933"/>
    </row>
    <row r="72" spans="1:44" s="898" customFormat="1">
      <c r="A72" s="2491"/>
      <c r="D72" s="2741"/>
      <c r="K72" s="933"/>
      <c r="L72" s="933"/>
    </row>
    <row r="73" spans="1:44" s="898" customFormat="1">
      <c r="A73" s="2491"/>
      <c r="D73" s="2741"/>
      <c r="K73" s="933"/>
      <c r="L73" s="933"/>
    </row>
    <row r="74" spans="1:44" s="898" customFormat="1">
      <c r="A74" s="2491"/>
      <c r="D74" s="2741"/>
      <c r="K74" s="933"/>
      <c r="L74" s="933"/>
    </row>
    <row r="75" spans="1:44" s="898" customFormat="1">
      <c r="A75" s="2491"/>
      <c r="D75" s="2741"/>
      <c r="K75" s="933"/>
      <c r="L75" s="933"/>
    </row>
    <row r="76" spans="1:44" s="898" customFormat="1">
      <c r="A76" s="2491"/>
      <c r="D76" s="2741"/>
      <c r="K76" s="933"/>
      <c r="L76" s="933"/>
    </row>
    <row r="77" spans="1:44" s="898" customFormat="1">
      <c r="A77" s="2491"/>
      <c r="D77" s="2741"/>
      <c r="K77" s="933"/>
      <c r="L77" s="933"/>
    </row>
    <row r="78" spans="1:44" s="898" customFormat="1">
      <c r="A78" s="2491"/>
      <c r="D78" s="2741"/>
      <c r="K78" s="933"/>
      <c r="L78" s="933"/>
    </row>
    <row r="79" spans="1:44" s="898" customFormat="1">
      <c r="A79" s="2491"/>
      <c r="D79" s="2741"/>
      <c r="K79" s="933"/>
      <c r="L79" s="933"/>
    </row>
    <row r="80" spans="1:44" s="898" customFormat="1">
      <c r="A80" s="2491"/>
      <c r="D80" s="2741"/>
      <c r="K80" s="933"/>
      <c r="L80" s="933"/>
    </row>
    <row r="81" spans="1:12" s="898" customFormat="1">
      <c r="A81" s="2491"/>
      <c r="D81" s="2741"/>
      <c r="K81" s="933"/>
      <c r="L81" s="933"/>
    </row>
    <row r="82" spans="1:12" s="898" customFormat="1">
      <c r="A82" s="2491"/>
      <c r="D82" s="2741"/>
      <c r="K82" s="933"/>
      <c r="L82" s="933"/>
    </row>
    <row r="83" spans="1:12" s="898" customFormat="1">
      <c r="A83" s="2491"/>
      <c r="D83" s="2741"/>
      <c r="K83" s="933"/>
      <c r="L83" s="933"/>
    </row>
    <row r="84" spans="1:12" s="898" customFormat="1">
      <c r="A84" s="2491"/>
      <c r="D84" s="2741"/>
      <c r="K84" s="933"/>
      <c r="L84" s="933"/>
    </row>
    <row r="85" spans="1:12" s="898" customFormat="1">
      <c r="A85" s="2491"/>
      <c r="D85" s="2741"/>
      <c r="K85" s="933"/>
      <c r="L85" s="933"/>
    </row>
    <row r="86" spans="1:12" s="898" customFormat="1">
      <c r="A86" s="2491"/>
      <c r="D86" s="2741"/>
      <c r="K86" s="933"/>
      <c r="L86" s="933"/>
    </row>
    <row r="87" spans="1:12" s="898" customFormat="1">
      <c r="A87" s="2491"/>
      <c r="D87" s="2741"/>
      <c r="K87" s="933"/>
      <c r="L87" s="933"/>
    </row>
    <row r="88" spans="1:12" s="898" customFormat="1">
      <c r="A88" s="2491"/>
      <c r="D88" s="2741"/>
      <c r="K88" s="933"/>
      <c r="L88" s="933"/>
    </row>
    <row r="89" spans="1:12" s="898" customFormat="1">
      <c r="A89" s="2491"/>
      <c r="D89" s="2741"/>
      <c r="K89" s="933"/>
      <c r="L89" s="933"/>
    </row>
    <row r="90" spans="1:12" s="898" customFormat="1">
      <c r="A90" s="2491"/>
      <c r="D90" s="2741"/>
      <c r="K90" s="933"/>
      <c r="L90" s="933"/>
    </row>
    <row r="91" spans="1:12" s="898" customFormat="1">
      <c r="A91" s="2491"/>
      <c r="D91" s="2741"/>
      <c r="K91" s="933"/>
      <c r="L91" s="933"/>
    </row>
    <row r="92" spans="1:12" s="898" customFormat="1">
      <c r="A92" s="2491"/>
      <c r="D92" s="2741"/>
      <c r="K92" s="933"/>
      <c r="L92" s="933"/>
    </row>
    <row r="93" spans="1:12" s="898" customFormat="1">
      <c r="A93" s="2491"/>
      <c r="D93" s="2741"/>
      <c r="K93" s="933"/>
      <c r="L93" s="933"/>
    </row>
    <row r="94" spans="1:12" s="898" customFormat="1">
      <c r="A94" s="2491"/>
      <c r="D94" s="2741"/>
      <c r="K94" s="933"/>
      <c r="L94" s="933"/>
    </row>
    <row r="95" spans="1:12" s="898" customFormat="1">
      <c r="A95" s="2491"/>
      <c r="D95" s="2741"/>
      <c r="K95" s="933"/>
      <c r="L95" s="933"/>
    </row>
    <row r="96" spans="1:12" s="898" customFormat="1">
      <c r="A96" s="2491"/>
      <c r="D96" s="2741"/>
      <c r="K96" s="933"/>
      <c r="L96" s="933"/>
    </row>
    <row r="97" spans="1:12" s="898" customFormat="1">
      <c r="A97" s="2491"/>
      <c r="D97" s="2741"/>
      <c r="K97" s="933"/>
      <c r="L97" s="933"/>
    </row>
    <row r="98" spans="1:12" s="898" customFormat="1">
      <c r="A98" s="2491"/>
      <c r="D98" s="2741"/>
      <c r="K98" s="933"/>
      <c r="L98" s="933"/>
    </row>
    <row r="99" spans="1:12" s="898" customFormat="1">
      <c r="A99" s="2491"/>
      <c r="D99" s="2741"/>
      <c r="K99" s="933"/>
      <c r="L99" s="933"/>
    </row>
    <row r="100" spans="1:12" s="898" customFormat="1">
      <c r="A100" s="2491"/>
      <c r="D100" s="2741"/>
      <c r="K100" s="933"/>
      <c r="L100" s="933"/>
    </row>
    <row r="101" spans="1:12" s="898" customFormat="1">
      <c r="A101" s="2491"/>
      <c r="D101" s="2741"/>
      <c r="K101" s="933"/>
      <c r="L101" s="933"/>
    </row>
    <row r="102" spans="1:12" s="898" customFormat="1">
      <c r="A102" s="2491"/>
      <c r="D102" s="2741"/>
      <c r="K102" s="933"/>
      <c r="L102" s="933"/>
    </row>
    <row r="103" spans="1:12" s="898" customFormat="1">
      <c r="A103" s="2491"/>
      <c r="D103" s="2741"/>
      <c r="K103" s="933"/>
      <c r="L103" s="933"/>
    </row>
    <row r="104" spans="1:12" s="898" customFormat="1">
      <c r="A104" s="2491"/>
      <c r="D104" s="2741"/>
      <c r="K104" s="933"/>
      <c r="L104" s="933"/>
    </row>
    <row r="105" spans="1:12" s="898" customFormat="1">
      <c r="A105" s="2491"/>
      <c r="D105" s="2741"/>
      <c r="K105" s="933"/>
      <c r="L105" s="933"/>
    </row>
    <row r="106" spans="1:12" s="898" customFormat="1">
      <c r="A106" s="2491"/>
      <c r="D106" s="2741"/>
      <c r="K106" s="933"/>
      <c r="L106" s="933"/>
    </row>
    <row r="107" spans="1:12" s="898" customFormat="1">
      <c r="A107" s="2491"/>
      <c r="D107" s="2741"/>
      <c r="K107" s="933"/>
      <c r="L107" s="933"/>
    </row>
    <row r="108" spans="1:12" s="898" customFormat="1">
      <c r="A108" s="2491"/>
      <c r="D108" s="2741"/>
      <c r="K108" s="933"/>
      <c r="L108" s="933"/>
    </row>
    <row r="109" spans="1:12" s="898" customFormat="1">
      <c r="A109" s="2491"/>
      <c r="D109" s="2741"/>
      <c r="K109" s="933"/>
      <c r="L109" s="933"/>
    </row>
    <row r="110" spans="1:12" s="898" customFormat="1">
      <c r="A110" s="2491"/>
      <c r="D110" s="2741"/>
      <c r="K110" s="933"/>
      <c r="L110" s="933"/>
    </row>
    <row r="111" spans="1:12" s="898" customFormat="1">
      <c r="A111" s="2491"/>
      <c r="D111" s="2741"/>
      <c r="K111" s="933"/>
      <c r="L111" s="933"/>
    </row>
    <row r="112" spans="1:12" s="898" customFormat="1">
      <c r="A112" s="2491"/>
      <c r="D112" s="2741"/>
      <c r="K112" s="933"/>
      <c r="L112" s="933"/>
    </row>
    <row r="113" spans="1:12" s="898" customFormat="1">
      <c r="A113" s="2491"/>
      <c r="D113" s="2741"/>
      <c r="K113" s="933"/>
      <c r="L113" s="933"/>
    </row>
    <row r="114" spans="1:12" s="898" customFormat="1">
      <c r="A114" s="2491"/>
      <c r="D114" s="2741"/>
      <c r="K114" s="933"/>
      <c r="L114" s="933"/>
    </row>
    <row r="115" spans="1:12" s="898" customFormat="1">
      <c r="A115" s="2491"/>
      <c r="D115" s="2741"/>
      <c r="K115" s="933"/>
      <c r="L115" s="933"/>
    </row>
    <row r="116" spans="1:12" s="898" customFormat="1">
      <c r="A116" s="2491"/>
      <c r="D116" s="2741"/>
      <c r="K116" s="933"/>
      <c r="L116" s="933"/>
    </row>
    <row r="117" spans="1:12" s="898" customFormat="1">
      <c r="A117" s="2491"/>
      <c r="D117" s="2741"/>
      <c r="K117" s="933"/>
      <c r="L117" s="933"/>
    </row>
    <row r="118" spans="1:12" s="898" customFormat="1">
      <c r="A118" s="2491"/>
      <c r="D118" s="2741"/>
      <c r="K118" s="933"/>
      <c r="L118" s="933"/>
    </row>
    <row r="119" spans="1:12" s="898" customFormat="1">
      <c r="A119" s="2491"/>
      <c r="D119" s="2741"/>
      <c r="K119" s="933"/>
      <c r="L119" s="933"/>
    </row>
    <row r="120" spans="1:12" s="898" customFormat="1">
      <c r="A120" s="2491"/>
      <c r="D120" s="2741"/>
      <c r="K120" s="933"/>
      <c r="L120" s="933"/>
    </row>
    <row r="121" spans="1:12" s="898" customFormat="1">
      <c r="A121" s="2491"/>
      <c r="D121" s="2741"/>
      <c r="K121" s="933"/>
      <c r="L121" s="933"/>
    </row>
    <row r="122" spans="1:12" s="898" customFormat="1">
      <c r="A122" s="2491"/>
      <c r="D122" s="2741"/>
      <c r="K122" s="933"/>
      <c r="L122" s="933"/>
    </row>
    <row r="123" spans="1:12" s="898" customFormat="1">
      <c r="A123" s="2491"/>
      <c r="D123" s="2741"/>
      <c r="K123" s="933"/>
      <c r="L123" s="933"/>
    </row>
    <row r="124" spans="1:12" s="898" customFormat="1">
      <c r="A124" s="2491"/>
      <c r="D124" s="2741"/>
      <c r="K124" s="933"/>
      <c r="L124" s="933"/>
    </row>
    <row r="125" spans="1:12" s="898" customFormat="1">
      <c r="A125" s="2491"/>
      <c r="D125" s="2741"/>
      <c r="K125" s="933"/>
      <c r="L125" s="933"/>
    </row>
    <row r="126" spans="1:12" s="898" customFormat="1">
      <c r="A126" s="2491"/>
      <c r="D126" s="2741"/>
      <c r="K126" s="933"/>
      <c r="L126" s="933"/>
    </row>
    <row r="127" spans="1:12" s="898" customFormat="1">
      <c r="A127" s="2491"/>
      <c r="D127" s="2741"/>
      <c r="K127" s="933"/>
      <c r="L127" s="933"/>
    </row>
    <row r="128" spans="1:12" s="898" customFormat="1">
      <c r="A128" s="2491"/>
      <c r="D128" s="2741"/>
      <c r="K128" s="933"/>
      <c r="L128" s="933"/>
    </row>
    <row r="129" spans="1:12" s="898" customFormat="1">
      <c r="A129" s="2491"/>
      <c r="D129" s="2741"/>
      <c r="K129" s="933"/>
      <c r="L129" s="933"/>
    </row>
    <row r="130" spans="1:12" s="898" customFormat="1">
      <c r="A130" s="2491"/>
      <c r="D130" s="2741"/>
      <c r="K130" s="933"/>
      <c r="L130" s="933"/>
    </row>
    <row r="131" spans="1:12" s="898" customFormat="1">
      <c r="A131" s="2491"/>
      <c r="D131" s="2741"/>
      <c r="K131" s="933"/>
      <c r="L131" s="933"/>
    </row>
    <row r="132" spans="1:12" s="898" customFormat="1">
      <c r="A132" s="2491"/>
      <c r="D132" s="2741"/>
      <c r="K132" s="933"/>
      <c r="L132" s="933"/>
    </row>
    <row r="133" spans="1:12" s="898" customFormat="1">
      <c r="A133" s="2491"/>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61" t="s">
        <v>767</v>
      </c>
      <c r="B1" s="3262"/>
      <c r="C1" s="3262"/>
      <c r="D1" s="3262"/>
      <c r="E1" s="3262"/>
      <c r="F1" s="3262"/>
      <c r="G1" s="3262"/>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62.23</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45966</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58</v>
      </c>
      <c r="C5" s="2493">
        <f ca="1">IF(B5=D14,结果表!H102,ROUND(B5*10000/$B$1,0))</f>
        <v>9267</v>
      </c>
      <c r="D5" s="2493" t="e">
        <f ca="1">ROUND(B5*10000/$B$2,0)</f>
        <v>#DIV/0!</v>
      </c>
      <c r="E5" s="2494"/>
      <c r="F5" s="2495"/>
      <c r="G5" s="2495"/>
      <c r="H5" s="2495"/>
      <c r="I5" s="2495"/>
      <c r="J5" s="2495"/>
      <c r="K5" s="2495"/>
    </row>
    <row r="6" spans="1:11" ht="16.5">
      <c r="A6" s="2493" t="s">
        <v>797</v>
      </c>
      <c r="B6" s="2493">
        <f ca="1">SUM(G14:G23)</f>
        <v>58</v>
      </c>
      <c r="C6" s="2493">
        <f ca="1">IF(B6=G14,结果表!H108,ROUND(B6*10000/$B$1,0))</f>
        <v>9267</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62.23</v>
      </c>
      <c r="C14" s="2504"/>
      <c r="D14" s="2504">
        <f ca="1">结果表!G19</f>
        <v>58</v>
      </c>
      <c r="E14" s="2504">
        <f ca="1">ROUND(D14*10000/B14,0)</f>
        <v>9320</v>
      </c>
      <c r="F14" s="2504" t="e">
        <f ca="1">ROUND(D14*10000/C14,0)</f>
        <v>#DIV/0!</v>
      </c>
      <c r="G14" s="2504">
        <f ca="1">D14</f>
        <v>58</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263" t="str">
        <f>项目基本情况!S2</f>
        <v>北京市房地产</v>
      </c>
      <c r="B2" s="3264"/>
      <c r="C2" s="3264"/>
      <c r="D2" s="3264"/>
      <c r="E2" s="3264"/>
      <c r="F2" s="3264"/>
      <c r="G2" s="3264"/>
      <c r="H2" s="3264"/>
      <c r="I2" s="3265"/>
    </row>
    <row r="3" spans="1:12" ht="12.75">
      <c r="A3" s="3266" t="s">
        <v>821</v>
      </c>
      <c r="B3" s="3267"/>
      <c r="C3" s="3267"/>
      <c r="D3" s="3267"/>
      <c r="E3" s="3267"/>
      <c r="F3" s="3267"/>
      <c r="G3" s="3267"/>
      <c r="H3" s="3267"/>
      <c r="I3" s="3267"/>
    </row>
    <row r="4" spans="1:12" ht="14.25">
      <c r="A4" s="2232" t="s">
        <v>822</v>
      </c>
      <c r="B4" s="2233" t="s">
        <v>823</v>
      </c>
      <c r="C4" s="2234" t="s">
        <v>824</v>
      </c>
      <c r="D4" s="2234" t="s">
        <v>285</v>
      </c>
      <c r="E4" s="3268" t="s">
        <v>825</v>
      </c>
      <c r="F4" s="3269"/>
      <c r="G4" s="3269"/>
      <c r="H4" s="3269"/>
      <c r="I4" s="3270"/>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6" t="s">
        <v>826</v>
      </c>
      <c r="B5" s="3356">
        <v>25</v>
      </c>
      <c r="C5" s="3320"/>
      <c r="D5" s="3282"/>
      <c r="E5" s="1897" t="s">
        <v>827</v>
      </c>
      <c r="F5" s="2239"/>
      <c r="G5" s="2239"/>
      <c r="H5" s="2239"/>
      <c r="I5" s="2118"/>
    </row>
    <row r="6" spans="1:12" ht="12.75">
      <c r="A6" s="3316"/>
      <c r="B6" s="3356"/>
      <c r="C6" s="3321"/>
      <c r="D6" s="3282"/>
      <c r="E6" s="1897" t="s">
        <v>828</v>
      </c>
      <c r="F6" s="2239"/>
      <c r="G6" s="2239"/>
      <c r="H6" s="2239"/>
      <c r="I6" s="2118"/>
    </row>
    <row r="7" spans="1:12" ht="12.75">
      <c r="A7" s="3316"/>
      <c r="B7" s="3356"/>
      <c r="C7" s="3322"/>
      <c r="D7" s="3282"/>
      <c r="E7" s="1897" t="s">
        <v>829</v>
      </c>
      <c r="F7" s="2239"/>
      <c r="G7" s="2239"/>
      <c r="H7" s="2239"/>
      <c r="I7" s="2118"/>
    </row>
    <row r="8" spans="1:12" ht="12.75">
      <c r="A8" s="3316" t="s">
        <v>830</v>
      </c>
      <c r="B8" s="3356">
        <v>15</v>
      </c>
      <c r="C8" s="3320"/>
      <c r="D8" s="3282"/>
      <c r="E8" s="1897" t="s">
        <v>831</v>
      </c>
      <c r="F8" s="2239"/>
      <c r="G8" s="2239"/>
      <c r="H8" s="2239"/>
      <c r="I8" s="2118"/>
    </row>
    <row r="9" spans="1:12" ht="12.75">
      <c r="A9" s="3316"/>
      <c r="B9" s="3356"/>
      <c r="C9" s="3322"/>
      <c r="D9" s="3282"/>
      <c r="E9" s="1897" t="s">
        <v>832</v>
      </c>
      <c r="F9" s="2239"/>
      <c r="G9" s="2239"/>
      <c r="H9" s="2239"/>
      <c r="I9" s="2118"/>
    </row>
    <row r="10" spans="1:12" ht="12.75">
      <c r="A10" s="3316" t="s">
        <v>833</v>
      </c>
      <c r="B10" s="3356">
        <v>15</v>
      </c>
      <c r="C10" s="3320"/>
      <c r="D10" s="3282"/>
      <c r="E10" s="1897" t="s">
        <v>834</v>
      </c>
      <c r="F10" s="2239"/>
      <c r="G10" s="2239"/>
      <c r="H10" s="2239"/>
      <c r="I10" s="2118"/>
    </row>
    <row r="11" spans="1:12" ht="12.75">
      <c r="A11" s="3316"/>
      <c r="B11" s="3356"/>
      <c r="C11" s="3322"/>
      <c r="D11" s="3282"/>
      <c r="E11" s="1897" t="s">
        <v>835</v>
      </c>
      <c r="F11" s="2239"/>
      <c r="G11" s="2239"/>
      <c r="H11" s="2239"/>
      <c r="I11" s="2118"/>
    </row>
    <row r="12" spans="1:12" ht="12.75">
      <c r="A12" s="3316" t="s">
        <v>836</v>
      </c>
      <c r="B12" s="3356">
        <v>15</v>
      </c>
      <c r="C12" s="3320"/>
      <c r="D12" s="3282"/>
      <c r="E12" s="1897" t="s">
        <v>837</v>
      </c>
      <c r="F12" s="2239"/>
      <c r="G12" s="2239"/>
      <c r="H12" s="2239"/>
      <c r="I12" s="2118"/>
    </row>
    <row r="13" spans="1:12" ht="12.75">
      <c r="A13" s="3316"/>
      <c r="B13" s="3356"/>
      <c r="C13" s="3322"/>
      <c r="D13" s="3282"/>
      <c r="E13" s="1897" t="s">
        <v>838</v>
      </c>
      <c r="F13" s="2239"/>
      <c r="G13" s="2239"/>
      <c r="H13" s="2239"/>
      <c r="I13" s="2118"/>
    </row>
    <row r="14" spans="1:12" ht="12.75">
      <c r="A14" s="3316" t="s">
        <v>839</v>
      </c>
      <c r="B14" s="3356">
        <v>30</v>
      </c>
      <c r="C14" s="3320">
        <v>7</v>
      </c>
      <c r="D14" s="3282">
        <v>3</v>
      </c>
      <c r="E14" s="1897" t="s">
        <v>840</v>
      </c>
      <c r="F14" s="2239"/>
      <c r="G14" s="2239"/>
      <c r="H14" s="2239"/>
      <c r="I14" s="2118"/>
    </row>
    <row r="15" spans="1:12" ht="12.75">
      <c r="A15" s="3316"/>
      <c r="B15" s="3356"/>
      <c r="C15" s="3321"/>
      <c r="D15" s="3282"/>
      <c r="E15" s="1897" t="s">
        <v>841</v>
      </c>
      <c r="F15" s="2239"/>
      <c r="G15" s="2239"/>
      <c r="H15" s="2239"/>
      <c r="I15" s="2118"/>
    </row>
    <row r="16" spans="1:12" ht="12.75">
      <c r="A16" s="3316"/>
      <c r="B16" s="3356"/>
      <c r="C16" s="3322"/>
      <c r="D16" s="3282"/>
      <c r="E16" s="1897" t="s">
        <v>842</v>
      </c>
      <c r="F16" s="2239"/>
      <c r="G16" s="2239"/>
      <c r="H16" s="2239"/>
      <c r="I16" s="2118"/>
    </row>
    <row r="17" spans="1:36" ht="15">
      <c r="A17" s="2240" t="s">
        <v>843</v>
      </c>
      <c r="B17" s="2241"/>
      <c r="C17" s="2242">
        <f>SUM(C5:C16)</f>
        <v>7</v>
      </c>
      <c r="D17" s="2242">
        <f>SUM(D5:D16)</f>
        <v>3</v>
      </c>
      <c r="E17" s="982"/>
      <c r="F17" s="982"/>
      <c r="G17" s="982"/>
      <c r="H17" s="982"/>
      <c r="I17" s="982"/>
      <c r="K17" s="1836"/>
      <c r="L17" s="1836" t="s">
        <v>844</v>
      </c>
      <c r="M17" s="1836" t="s">
        <v>845</v>
      </c>
    </row>
    <row r="18" spans="1:36" ht="31.9" customHeight="1">
      <c r="A18" s="2243" t="s">
        <v>846</v>
      </c>
      <c r="B18" s="2244"/>
      <c r="C18" s="2245">
        <f>ROUND(C17/SUM(C17:D17),2)</f>
        <v>0.7</v>
      </c>
      <c r="D18" s="2245">
        <f>1-C18</f>
        <v>0.3</v>
      </c>
      <c r="E18" s="3271" t="s">
        <v>847</v>
      </c>
      <c r="F18" s="3272"/>
      <c r="G18" s="3272"/>
      <c r="H18" s="3272"/>
      <c r="I18" s="3272"/>
      <c r="K18" s="1836" t="s">
        <v>505</v>
      </c>
      <c r="L18" s="1836">
        <f>IF(C1="",'数据-汇总表'!E3,SUMIF(项目类型,C1,'数据-汇总表'!E17:E26)+SUMIF(项目类型,C1,'数据-汇总表'!I17:I26))</f>
        <v>62.23</v>
      </c>
      <c r="M18" s="1836">
        <f>IF(C1="",'数据-汇总表'!E3,SUMIF(项目类型,C1,'数据-汇总表'!E17:E26))</f>
        <v>62.23</v>
      </c>
    </row>
    <row r="19" spans="1:36" ht="15">
      <c r="A19" s="1238" t="s">
        <v>848</v>
      </c>
      <c r="B19" s="2246" t="s">
        <v>849</v>
      </c>
      <c r="C19" s="2247">
        <f ca="1">SUMIF(INDIRECT("'"&amp;C4&amp;"'"&amp;"!A:A"),结果表!B19,INDIRECT("'"&amp;C4&amp;"'"&amp;"!B:B"))</f>
        <v>64.818799999999996</v>
      </c>
      <c r="D19" s="1353">
        <f ca="1">SUMIF(INDIRECT("'"&amp;D4&amp;"'"&amp;"!A:A"),结果表!B19,INDIRECT("'"&amp;D4&amp;"'"&amp;"!B:B"))</f>
        <v>40.989899999999999</v>
      </c>
      <c r="E19" s="1238" t="s">
        <v>850</v>
      </c>
      <c r="F19" s="2246" t="s">
        <v>849</v>
      </c>
      <c r="G19" s="2248">
        <f ca="1">ROUND(C19*$C$18+D19*$D$18,0)</f>
        <v>58</v>
      </c>
      <c r="H19" s="2249" t="s">
        <v>851</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852</v>
      </c>
      <c r="C20" s="1576">
        <f ca="1">SUMIF(INDIRECT("'"&amp;C4&amp;"'"&amp;"!A:A"),结果表!B20,INDIRECT("'"&amp;C4&amp;"'"&amp;"!B:B"))</f>
        <v>10416</v>
      </c>
      <c r="D20" s="1579">
        <f ca="1">SUMIF(INDIRECT("'"&amp;D4&amp;"'"&amp;"!A:A"),结果表!B20,INDIRECT("'"&amp;D4&amp;"'"&amp;"!B:B"))</f>
        <v>6587</v>
      </c>
      <c r="E20" s="2250"/>
      <c r="F20" s="2251" t="s">
        <v>852</v>
      </c>
      <c r="G20" s="2252">
        <f ca="1">ROUND(C20*$C$18+D20*$D$18,0)</f>
        <v>9267</v>
      </c>
      <c r="H20" s="1883" t="s">
        <v>853</v>
      </c>
      <c r="I20" s="982"/>
    </row>
    <row r="21" spans="1:36" ht="15" customHeight="1">
      <c r="A21" s="1246"/>
      <c r="B21" s="2253" t="s">
        <v>854</v>
      </c>
      <c r="C21" s="2254" t="e">
        <f ca="1">ROUND(C19*10000/L19,0)</f>
        <v>#DIV/0!</v>
      </c>
      <c r="D21" s="2255" t="e">
        <f ca="1">ROUND(D19*10000/L19,0)</f>
        <v>#DIV/0!</v>
      </c>
      <c r="E21" s="1246"/>
      <c r="F21" s="2253" t="s">
        <v>854</v>
      </c>
      <c r="G21" s="2256" t="e">
        <f ca="1">ROUND(G19*10000/L19,0)</f>
        <v>#DIV/0!</v>
      </c>
      <c r="H21" s="2257" t="s">
        <v>853</v>
      </c>
      <c r="I21" s="982"/>
    </row>
    <row r="22" spans="1:36" ht="14.25">
      <c r="A22" s="2258" t="s">
        <v>855</v>
      </c>
      <c r="B22" s="2259"/>
      <c r="C22" s="2260"/>
      <c r="D22" s="2261">
        <f ca="1">IF(C19&lt;D19,D19/C19-1,C19/D19-1)</f>
        <v>0.58133589006072217</v>
      </c>
      <c r="E22" s="982"/>
      <c r="F22" s="982"/>
      <c r="G22" s="982"/>
      <c r="H22" s="982"/>
      <c r="I22" s="982"/>
    </row>
    <row r="23" spans="1:36" ht="12.75">
      <c r="A23" s="1857"/>
      <c r="B23" s="1857"/>
      <c r="C23" s="1857"/>
      <c r="D23" s="1857"/>
      <c r="E23" s="982"/>
      <c r="F23" s="982"/>
      <c r="G23" s="982"/>
      <c r="H23" s="982"/>
      <c r="I23" s="982"/>
    </row>
    <row r="24" spans="1:36" ht="14.25">
      <c r="A24" s="3349" t="s">
        <v>856</v>
      </c>
      <c r="B24" s="2246" t="s">
        <v>849</v>
      </c>
      <c r="C24" s="2248">
        <f>IF(B30=0,0,D30)</f>
        <v>0</v>
      </c>
      <c r="D24" s="2262"/>
      <c r="E24" s="982"/>
      <c r="F24" s="982"/>
      <c r="G24" s="982"/>
      <c r="H24" s="982"/>
      <c r="I24" s="982"/>
    </row>
    <row r="25" spans="1:36" ht="14.25">
      <c r="A25" s="3350"/>
      <c r="B25" s="2251" t="s">
        <v>852</v>
      </c>
      <c r="C25" s="2263">
        <f>IF(B30=0,0,C30)</f>
        <v>0</v>
      </c>
      <c r="D25" s="2264"/>
      <c r="E25" s="982"/>
      <c r="F25" s="982"/>
      <c r="G25" s="982"/>
      <c r="H25" s="982"/>
      <c r="I25" s="982"/>
    </row>
    <row r="26" spans="1:36" ht="13.5" customHeight="1">
      <c r="A26" s="2265" t="s">
        <v>857</v>
      </c>
      <c r="B26" s="2266" t="s">
        <v>858</v>
      </c>
      <c r="C26" s="2266" t="s">
        <v>859</v>
      </c>
      <c r="D26" s="2267" t="s">
        <v>860</v>
      </c>
      <c r="E26" s="982"/>
      <c r="F26" s="982"/>
      <c r="G26" s="982">
        <f ca="1">G20/0.85</f>
        <v>10902.35294117647</v>
      </c>
      <c r="H26" s="982"/>
      <c r="I26" s="982"/>
    </row>
    <row r="27" spans="1:36" ht="14.25">
      <c r="A27" s="2265"/>
      <c r="B27" s="2266">
        <v>0</v>
      </c>
      <c r="C27" s="2266">
        <v>0</v>
      </c>
      <c r="D27" s="2267">
        <f>ROUND(C27*B27/10000,0)</f>
        <v>0</v>
      </c>
      <c r="E27" s="982"/>
      <c r="F27" s="982"/>
      <c r="G27" s="982">
        <f>25000/0.85</f>
        <v>29411.7647058824</v>
      </c>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861</v>
      </c>
      <c r="B30" s="2266"/>
      <c r="C30" s="2266"/>
      <c r="D30" s="2266"/>
      <c r="E30" s="2268" t="s">
        <v>862</v>
      </c>
      <c r="F30" s="982"/>
      <c r="G30" s="982"/>
      <c r="H30" s="982"/>
      <c r="I30" s="982"/>
    </row>
    <row r="31" spans="1:36" s="2224" customFormat="1" ht="26.45" customHeight="1">
      <c r="A31" s="2269"/>
      <c r="B31" s="2270"/>
      <c r="C31" s="2270"/>
      <c r="D31" s="2270"/>
      <c r="E31" s="2270"/>
      <c r="F31" s="2270"/>
      <c r="G31" s="2270"/>
      <c r="H31" s="2270"/>
      <c r="I31" s="2271" t="s">
        <v>863</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864</v>
      </c>
      <c r="B32" s="2276"/>
      <c r="C32" s="2277">
        <f ca="1">IF(D32="总价",G19-C24,G20-C25)</f>
        <v>9267</v>
      </c>
      <c r="D32" s="2278" t="s">
        <v>865</v>
      </c>
      <c r="E32" s="982"/>
      <c r="F32" s="982"/>
      <c r="G32" s="982"/>
      <c r="H32" s="982"/>
      <c r="I32" s="982"/>
    </row>
    <row r="33" spans="1:15" ht="15">
      <c r="A33" s="2140" t="s">
        <v>866</v>
      </c>
      <c r="B33" s="1897"/>
      <c r="C33" s="2279" t="s">
        <v>867</v>
      </c>
      <c r="D33" s="2280"/>
      <c r="E33" s="2281" t="s">
        <v>868</v>
      </c>
      <c r="F33" s="2282" t="str">
        <f>IF(D32="楼面单价","取值（单价）","取值（总价）")</f>
        <v>取值（单价）</v>
      </c>
      <c r="G33" s="982"/>
      <c r="H33" s="982"/>
      <c r="I33" s="982"/>
    </row>
    <row r="34" spans="1:15" ht="15">
      <c r="A34" s="2283"/>
      <c r="B34" s="2284" t="s">
        <v>869</v>
      </c>
      <c r="C34" s="2285">
        <f>IF(C33="自定义",F34,C32-C35)</f>
        <v>0</v>
      </c>
      <c r="D34" s="2286">
        <f ca="1">IF(C33="自定义",ROUND(C34/C32,3),IF(C33="收益比率",SUMIF(INDIRECT("'"&amp;D33&amp;"'"&amp;"!b:b"),"土地收益比率",INDIRECT("'"&amp;D33&amp;"'"&amp;"!c:c")),SUMIF(INDIRECT("'"&amp;D33&amp;"'"&amp;"!b:b"),"土地成本比率",INDIRECT("'"&amp;D33&amp;"'"&amp;"!c:c"))))</f>
        <v>0</v>
      </c>
      <c r="E34" s="2287" t="s">
        <v>870</v>
      </c>
      <c r="F34" s="2288"/>
      <c r="G34" s="982"/>
      <c r="H34" s="982"/>
      <c r="I34" s="982"/>
    </row>
    <row r="35" spans="1:15" ht="15">
      <c r="A35" s="2289"/>
      <c r="B35" s="2290" t="s">
        <v>871</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872</v>
      </c>
      <c r="F35" s="2294"/>
      <c r="G35" s="982"/>
      <c r="H35" s="982"/>
      <c r="I35" s="982"/>
    </row>
    <row r="36" spans="1:15" ht="15">
      <c r="A36" s="3351" t="s">
        <v>873</v>
      </c>
      <c r="B36" s="2295" t="s">
        <v>874</v>
      </c>
      <c r="C36" s="2296"/>
      <c r="D36" s="2297"/>
      <c r="E36" s="2298"/>
      <c r="F36" s="2299"/>
      <c r="G36" s="982"/>
      <c r="H36" s="982"/>
      <c r="I36" s="982"/>
    </row>
    <row r="37" spans="1:15" ht="15">
      <c r="A37" s="3352"/>
      <c r="B37" s="2300" t="s">
        <v>875</v>
      </c>
      <c r="C37" s="2301"/>
      <c r="D37" s="2302"/>
      <c r="E37" s="2302"/>
      <c r="F37" s="2299"/>
      <c r="G37" s="982"/>
      <c r="H37" s="982"/>
      <c r="I37" s="982"/>
    </row>
    <row r="38" spans="1:15" ht="15">
      <c r="A38" s="3353"/>
      <c r="B38" s="2303" t="s">
        <v>876</v>
      </c>
      <c r="C38" s="2304"/>
      <c r="D38" s="2305" t="s">
        <v>877</v>
      </c>
      <c r="E38" s="2302"/>
      <c r="F38" s="2299"/>
      <c r="G38" s="982"/>
      <c r="H38" s="982"/>
      <c r="I38" s="982"/>
    </row>
    <row r="39" spans="1:15" ht="15">
      <c r="A39" s="2250" t="s">
        <v>878</v>
      </c>
      <c r="B39" s="2306" t="s">
        <v>858</v>
      </c>
      <c r="C39" s="2307" t="s">
        <v>859</v>
      </c>
      <c r="D39" s="2307" t="s">
        <v>879</v>
      </c>
      <c r="E39" s="2308" t="s">
        <v>860</v>
      </c>
      <c r="F39" s="2299"/>
      <c r="G39" s="982"/>
      <c r="H39" s="982"/>
      <c r="I39" s="982"/>
    </row>
    <row r="40" spans="1:15" ht="14.25">
      <c r="A40" s="2309" t="s">
        <v>880</v>
      </c>
      <c r="B40" s="2310"/>
      <c r="C40" s="1004"/>
      <c r="D40" s="1004"/>
      <c r="E40" s="2311"/>
      <c r="F40" s="2299"/>
      <c r="G40" s="982"/>
      <c r="H40" s="982"/>
      <c r="I40" s="982"/>
    </row>
    <row r="41" spans="1:15" ht="14.25">
      <c r="A41" s="2309" t="s">
        <v>881</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882</v>
      </c>
      <c r="B44" s="2319"/>
      <c r="C44" s="2319"/>
      <c r="D44" s="2320"/>
      <c r="E44" s="2320"/>
      <c r="F44" s="2321"/>
      <c r="G44" s="2321"/>
      <c r="H44" s="2321"/>
      <c r="I44" s="2321"/>
      <c r="J44" s="854" t="s">
        <v>883</v>
      </c>
      <c r="K44" s="599"/>
      <c r="L44" s="599"/>
      <c r="M44" s="599"/>
      <c r="N44" s="599"/>
      <c r="O44" s="599"/>
    </row>
    <row r="45" spans="1:15" ht="14.25" customHeight="1">
      <c r="A45" s="3273" t="s">
        <v>884</v>
      </c>
      <c r="B45" s="3274"/>
      <c r="C45" s="3275"/>
      <c r="D45" s="1835">
        <f ca="1">ROUND(H101*F45,0)</f>
        <v>58</v>
      </c>
      <c r="E45" s="2322" t="s">
        <v>885</v>
      </c>
      <c r="F45" s="2323">
        <v>1</v>
      </c>
      <c r="G45" s="1850" t="s">
        <v>886</v>
      </c>
      <c r="H45" s="982"/>
      <c r="I45" s="982"/>
      <c r="J45" s="3276" t="s">
        <v>887</v>
      </c>
      <c r="K45" s="3276"/>
      <c r="L45" s="3276"/>
      <c r="M45" s="3276"/>
      <c r="N45" s="3276"/>
      <c r="O45" s="3276"/>
    </row>
    <row r="46" spans="1:15" ht="14.25" customHeight="1">
      <c r="A46" s="3277" t="s">
        <v>888</v>
      </c>
      <c r="B46" s="3278"/>
      <c r="C46" s="3278"/>
      <c r="D46" s="3278"/>
      <c r="E46" s="3278"/>
      <c r="F46" s="3278"/>
      <c r="G46" s="3279"/>
      <c r="H46" s="2324"/>
      <c r="I46" s="983"/>
      <c r="J46" s="626">
        <v>1</v>
      </c>
      <c r="K46" s="3280" t="s">
        <v>889</v>
      </c>
      <c r="L46" s="3280"/>
      <c r="M46" s="3281"/>
      <c r="N46" s="3281"/>
      <c r="O46" s="3281"/>
    </row>
    <row r="47" spans="1:15" ht="12" customHeight="1">
      <c r="A47" s="2326" t="s">
        <v>890</v>
      </c>
      <c r="B47" s="2327"/>
      <c r="C47" s="2328"/>
      <c r="D47" s="1873" t="s">
        <v>891</v>
      </c>
      <c r="E47" s="1836" t="s">
        <v>892</v>
      </c>
      <c r="F47" s="2329" t="s">
        <v>893</v>
      </c>
      <c r="G47" s="2330" t="s">
        <v>894</v>
      </c>
      <c r="H47" s="2331"/>
      <c r="I47" s="983"/>
      <c r="J47" s="626">
        <v>2</v>
      </c>
      <c r="K47" s="3280" t="s">
        <v>895</v>
      </c>
      <c r="L47" s="3280"/>
      <c r="M47" s="3283">
        <f>'数据-取费表'!B2</f>
        <v>45966</v>
      </c>
      <c r="N47" s="3283"/>
      <c r="O47" s="3283"/>
    </row>
    <row r="48" spans="1:15" ht="25.5">
      <c r="A48" s="3284" t="s">
        <v>896</v>
      </c>
      <c r="B48" s="3285"/>
      <c r="C48" s="3285"/>
      <c r="D48" s="1881" t="b">
        <f>IF(H48="情况1",0,IF(H48="情况2",D52,IF(H48="情况3",D53,IF(H48="情况4",D54))))</f>
        <v>0</v>
      </c>
      <c r="E48" s="1895" t="str">
        <f>IF(H48="情况4","(销售额-原购置价)×税（费）率","销售额×税（费）率")</f>
        <v>销售额×税（费）率</v>
      </c>
      <c r="F48" s="2333">
        <f>IF(H48="情况1","免征",'数据-取费表'!B41)</f>
        <v>5.5E-2</v>
      </c>
      <c r="G48" s="2334" t="s">
        <v>897</v>
      </c>
      <c r="H48" s="2335"/>
      <c r="I48" s="2324"/>
      <c r="J48" s="626">
        <v>3</v>
      </c>
      <c r="K48" s="3280" t="s">
        <v>898</v>
      </c>
      <c r="L48" s="3280"/>
      <c r="M48" s="3286">
        <f ca="1">H101</f>
        <v>58</v>
      </c>
      <c r="N48" s="3286"/>
      <c r="O48" s="3286"/>
    </row>
    <row r="49" spans="1:35" ht="25.5" customHeight="1">
      <c r="A49" s="2332" t="s">
        <v>899</v>
      </c>
      <c r="B49" s="3287" t="s">
        <v>900</v>
      </c>
      <c r="C49" s="3287"/>
      <c r="D49" s="2336">
        <v>0</v>
      </c>
      <c r="E49" s="1901" t="s">
        <v>901</v>
      </c>
      <c r="F49" s="2337" t="s">
        <v>124</v>
      </c>
      <c r="G49" s="3292"/>
      <c r="H49" s="2338" t="s">
        <v>902</v>
      </c>
      <c r="I49" s="2339"/>
      <c r="J49" s="626">
        <v>4</v>
      </c>
      <c r="K49" s="3280" t="str">
        <f>IF(项目基本情况!E8="房地产抵押价值","房地产抵押价值","抵押担保权已注销时的房地产抵押价值")</f>
        <v>房地产抵押价值</v>
      </c>
      <c r="L49" s="3280"/>
      <c r="M49" s="3286">
        <f ca="1">IF(项目基本情况!E8="房地产抵押价值",H107,H109)</f>
        <v>58</v>
      </c>
      <c r="N49" s="3286"/>
      <c r="O49" s="3286"/>
    </row>
    <row r="50" spans="1:35" ht="25.5" customHeight="1">
      <c r="A50" s="2340"/>
      <c r="B50" s="3287" t="s">
        <v>903</v>
      </c>
      <c r="C50" s="3287"/>
      <c r="D50" s="2341"/>
      <c r="E50" s="1917"/>
      <c r="F50" s="2337"/>
      <c r="G50" s="3293"/>
      <c r="H50" s="2342" t="s">
        <v>904</v>
      </c>
      <c r="I50" s="2339"/>
      <c r="J50" s="3276" t="s">
        <v>905</v>
      </c>
      <c r="K50" s="3276"/>
      <c r="L50" s="3276"/>
      <c r="M50" s="3276"/>
      <c r="N50" s="3276"/>
      <c r="O50" s="3276"/>
    </row>
    <row r="51" spans="1:35" ht="20.45" customHeight="1">
      <c r="A51" s="2343"/>
      <c r="B51" s="3287" t="s">
        <v>906</v>
      </c>
      <c r="C51" s="3287"/>
      <c r="D51" s="1873"/>
      <c r="E51" s="1906"/>
      <c r="F51" s="2337"/>
      <c r="G51" s="3294"/>
      <c r="H51" s="2342" t="s">
        <v>907</v>
      </c>
      <c r="I51" s="2339"/>
      <c r="J51" s="2325" t="s">
        <v>908</v>
      </c>
      <c r="K51" s="3280" t="s">
        <v>909</v>
      </c>
      <c r="L51" s="3280"/>
      <c r="M51" s="2325" t="s">
        <v>910</v>
      </c>
      <c r="N51" s="2325" t="s">
        <v>911</v>
      </c>
      <c r="O51" s="2325" t="s">
        <v>912</v>
      </c>
    </row>
    <row r="52" spans="1:35" ht="24" customHeight="1">
      <c r="A52" s="2344" t="s">
        <v>913</v>
      </c>
      <c r="B52" s="3287" t="s">
        <v>914</v>
      </c>
      <c r="C52" s="3287"/>
      <c r="D52" s="1873">
        <f ca="1">ROUND(D45*'数据-取费表'!B41/(1+'数据-取费表'!C42),0)</f>
        <v>3</v>
      </c>
      <c r="E52" s="1895" t="s">
        <v>915</v>
      </c>
      <c r="F52" s="2345">
        <f>'数据-取费表'!B41</f>
        <v>5.5E-2</v>
      </c>
      <c r="G52" s="2346"/>
      <c r="H52" s="1940"/>
      <c r="I52" s="2347"/>
      <c r="J52" s="626">
        <v>1</v>
      </c>
      <c r="K52" s="3288" t="s">
        <v>916</v>
      </c>
      <c r="L52" s="3288"/>
      <c r="M52" s="2348" t="b">
        <f>D48</f>
        <v>0</v>
      </c>
      <c r="N52" s="626" t="str">
        <f>E48</f>
        <v>销售额×税（费）率</v>
      </c>
      <c r="O52" s="2349">
        <f>F48</f>
        <v>5.5E-2</v>
      </c>
    </row>
    <row r="53" spans="1:35" ht="12" customHeight="1">
      <c r="A53" s="2344" t="s">
        <v>917</v>
      </c>
      <c r="B53" s="3289" t="s">
        <v>918</v>
      </c>
      <c r="C53" s="3290"/>
      <c r="D53" s="1873">
        <f ca="1">ROUND(D45*'数据-取费表'!B41/(1+'数据-取费表'!C42),0)</f>
        <v>3</v>
      </c>
      <c r="E53" s="1895" t="s">
        <v>915</v>
      </c>
      <c r="F53" s="2345">
        <f>'数据-取费表'!B41</f>
        <v>5.5E-2</v>
      </c>
      <c r="G53" s="2346"/>
      <c r="H53" s="1940"/>
      <c r="I53" s="2347"/>
      <c r="J53" s="626">
        <v>2</v>
      </c>
      <c r="K53" s="3288" t="s">
        <v>919</v>
      </c>
      <c r="L53" s="3288"/>
      <c r="M53" s="2348">
        <f t="shared" ref="M53:O54" ca="1" si="0">D55</f>
        <v>0</v>
      </c>
      <c r="N53" s="626" t="str">
        <f t="shared" si="0"/>
        <v>销售额×税（费）率</v>
      </c>
      <c r="O53" s="2349" t="str">
        <f t="shared" si="0"/>
        <v>免征</v>
      </c>
    </row>
    <row r="54" spans="1:35" ht="12" customHeight="1">
      <c r="A54" s="2344" t="s">
        <v>920</v>
      </c>
      <c r="B54" s="3289" t="s">
        <v>921</v>
      </c>
      <c r="C54" s="3290"/>
      <c r="D54" s="1873">
        <f ca="1">C68</f>
        <v>3</v>
      </c>
      <c r="E54" s="1906" t="s">
        <v>922</v>
      </c>
      <c r="F54" s="2345">
        <f>'数据-取费表'!B41</f>
        <v>5.5E-2</v>
      </c>
      <c r="G54" s="2346"/>
      <c r="H54" s="2350"/>
      <c r="I54" s="2347"/>
      <c r="J54" s="626">
        <v>3</v>
      </c>
      <c r="K54" s="3288" t="s">
        <v>923</v>
      </c>
      <c r="L54" s="3288"/>
      <c r="M54" s="2348" t="e">
        <f t="shared" ca="1" si="0"/>
        <v>#DIV/0!</v>
      </c>
      <c r="N54" s="626" t="str">
        <f t="shared" si="0"/>
        <v>增值额×税（费）率</v>
      </c>
      <c r="O54" s="2351" t="str">
        <f t="shared" si="0"/>
        <v>免征</v>
      </c>
    </row>
    <row r="55" spans="1:35" ht="24" customHeight="1">
      <c r="A55" s="3291" t="s">
        <v>924</v>
      </c>
      <c r="B55" s="3285"/>
      <c r="C55" s="3285"/>
      <c r="D55" s="1881">
        <f ca="1">IF(H55="个人住宅",0,ROUND(D45*I55,0))</f>
        <v>0</v>
      </c>
      <c r="E55" s="1895" t="s">
        <v>925</v>
      </c>
      <c r="F55" s="2345" t="str">
        <f>IF(H55="正常",I55,"免征")</f>
        <v>免征</v>
      </c>
      <c r="G55" s="2346"/>
      <c r="H55" s="2335"/>
      <c r="I55" s="2352">
        <f>'数据-取费表'!B49</f>
        <v>5.0000000000000001E-4</v>
      </c>
      <c r="J55" s="626">
        <f>IF(H59="非个人房产","",4)</f>
        <v>4</v>
      </c>
      <c r="K55" s="3288" t="str">
        <f>IF(H59="非个人房产","——","个人所得税")</f>
        <v>个人所得税</v>
      </c>
      <c r="L55" s="3288"/>
      <c r="M55" s="2353">
        <f ca="1">D59</f>
        <v>1</v>
      </c>
      <c r="N55" s="602" t="str">
        <f>E59</f>
        <v>差额计税</v>
      </c>
      <c r="O55" s="2354">
        <f>F59</f>
        <v>0.01</v>
      </c>
    </row>
    <row r="56" spans="1:35" ht="24.75">
      <c r="A56" s="3291" t="s">
        <v>926</v>
      </c>
      <c r="B56" s="3285"/>
      <c r="C56" s="3285"/>
      <c r="D56" s="1881" t="e">
        <f ca="1">IF(H56="个人住宅",D57,D58)</f>
        <v>#DIV/0!</v>
      </c>
      <c r="E56" s="1895" t="s">
        <v>927</v>
      </c>
      <c r="F56" s="2345" t="str">
        <f>IF(H56="正常",F58,"免征")</f>
        <v>免征</v>
      </c>
      <c r="G56" s="2355" t="s">
        <v>928</v>
      </c>
      <c r="H56" s="2356"/>
      <c r="I56" s="2357"/>
      <c r="J56" s="626" t="str">
        <f>IF(项目基本情况!K6="上海银行",IF(J55="",4,J55+1),"")</f>
        <v/>
      </c>
      <c r="K56" s="3304" t="str">
        <f>IF(项目基本情况!K6="上海银行","其他处置费用","")</f>
        <v/>
      </c>
      <c r="L56" s="3305"/>
      <c r="M56" s="2348" t="str">
        <f>IF(项目基本情况!K6="上海银行",M69,"")</f>
        <v/>
      </c>
      <c r="N56" s="3304" t="str">
        <f>IF(项目基本情况!K6="上海银行","包含处置中涉及的律师、诉讼、拍卖、评估等费用","")</f>
        <v/>
      </c>
      <c r="O56" s="3306"/>
    </row>
    <row r="57" spans="1:35" ht="12.75">
      <c r="A57" s="2344" t="s">
        <v>899</v>
      </c>
      <c r="B57" s="3289" t="s">
        <v>929</v>
      </c>
      <c r="C57" s="3290"/>
      <c r="D57" s="2336">
        <v>0</v>
      </c>
      <c r="E57" s="1901" t="s">
        <v>901</v>
      </c>
      <c r="F57" s="1836"/>
      <c r="G57" s="2346"/>
      <c r="H57" s="2358"/>
      <c r="I57" s="2357"/>
      <c r="J57" s="3288">
        <f>IF(AND(J55="",J56=""),4,IF(项目基本情况!K6="上海银行",结果表!J56+1,结果表!J55+1))</f>
        <v>5</v>
      </c>
      <c r="K57" s="3288" t="s">
        <v>930</v>
      </c>
      <c r="L57" s="2359" t="s">
        <v>931</v>
      </c>
      <c r="M57" s="2360"/>
      <c r="N57" s="2361">
        <f ca="1">SUMIF(M52:M56,"&lt;9e307")</f>
        <v>1</v>
      </c>
      <c r="O57" s="2362"/>
      <c r="P57" s="2363">
        <f ca="1">N57/M49</f>
        <v>1.7241379310344827E-2</v>
      </c>
    </row>
    <row r="58" spans="1:35" ht="24.75">
      <c r="A58" s="2344" t="s">
        <v>913</v>
      </c>
      <c r="B58" s="3289" t="s">
        <v>932</v>
      </c>
      <c r="C58" s="3287"/>
      <c r="D58" s="1881" t="e">
        <f ca="1">IF(H58="转让取得",C81,C97)</f>
        <v>#DIV/0!</v>
      </c>
      <c r="E58" s="1895" t="s">
        <v>927</v>
      </c>
      <c r="F58" s="1836" t="s">
        <v>124</v>
      </c>
      <c r="G58" s="2346"/>
      <c r="H58" s="2356"/>
      <c r="I58" s="2357"/>
      <c r="J58" s="3288"/>
      <c r="K58" s="3288"/>
      <c r="L58" s="2359" t="s">
        <v>933</v>
      </c>
      <c r="M58" s="2364"/>
      <c r="N58" s="2365" t="str">
        <f ca="1">NUMBERSTRING(INT(N57*10000),2)&amp;"元整"</f>
        <v>壹万元整</v>
      </c>
      <c r="O58" s="2366"/>
    </row>
    <row r="59" spans="1:35" ht="24">
      <c r="A59" s="3307" t="s">
        <v>934</v>
      </c>
      <c r="B59" s="3308"/>
      <c r="C59" s="3308"/>
      <c r="D59" s="2367">
        <f ca="1">IF(H59="非个人房产","——",IF(H59="个人住宅（满五唯一有凭证）",0,IF(H59="个人其他（无凭证）",ROUND(D45/(1+'数据-取费表'!C42)*F59,0),ROUND(C67*F59,0))))</f>
        <v>1</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928</v>
      </c>
      <c r="H59" s="2371"/>
      <c r="I59" s="2372" t="s">
        <v>935</v>
      </c>
      <c r="J59" s="3310">
        <f>J57+1</f>
        <v>6</v>
      </c>
      <c r="K59" s="3288" t="s">
        <v>936</v>
      </c>
      <c r="L59" s="626" t="s">
        <v>931</v>
      </c>
      <c r="M59" s="2373"/>
      <c r="N59" s="2374">
        <f ca="1">M49-N57</f>
        <v>57</v>
      </c>
      <c r="O59" s="2375"/>
    </row>
    <row r="60" spans="1:35" ht="12" customHeight="1">
      <c r="A60" s="2376"/>
      <c r="B60" s="1857"/>
      <c r="C60" s="1857"/>
      <c r="D60" s="1857"/>
      <c r="E60" s="2377"/>
      <c r="F60" s="2357"/>
      <c r="G60" s="2357"/>
      <c r="H60" s="983"/>
      <c r="I60" s="982"/>
      <c r="J60" s="3311"/>
      <c r="K60" s="3288"/>
      <c r="L60" s="2359" t="s">
        <v>933</v>
      </c>
      <c r="M60" s="2364"/>
      <c r="N60" s="2365" t="str">
        <f ca="1">NUMBERSTRING(INT(N59*10000),2)&amp;"元整"</f>
        <v>伍拾柒万元整</v>
      </c>
      <c r="O60" s="2366"/>
    </row>
    <row r="61" spans="1:35" ht="12.75">
      <c r="A61" s="3309" t="s">
        <v>937</v>
      </c>
      <c r="B61" s="3309"/>
      <c r="C61" s="3309"/>
      <c r="D61" s="3309"/>
      <c r="E61" s="3309"/>
      <c r="F61" s="2357"/>
      <c r="G61" s="2357"/>
      <c r="H61" s="983"/>
      <c r="I61" s="982"/>
      <c r="J61" s="626">
        <f>J59+1</f>
        <v>7</v>
      </c>
      <c r="K61" s="3288" t="s">
        <v>938</v>
      </c>
      <c r="L61" s="3288"/>
      <c r="M61" s="2378"/>
      <c r="N61" s="2379">
        <f ca="1">ROUND(N59*10000/'数据-汇总表'!E3,0)</f>
        <v>9160</v>
      </c>
      <c r="O61" s="2380"/>
    </row>
    <row r="62" spans="1:35" ht="12.75">
      <c r="A62" s="3297" t="s">
        <v>939</v>
      </c>
      <c r="B62" s="3298"/>
      <c r="C62" s="552"/>
      <c r="D62" s="552" t="s">
        <v>940</v>
      </c>
      <c r="E62" s="2381" t="s">
        <v>894</v>
      </c>
      <c r="F62" s="2357"/>
      <c r="G62" s="2357"/>
      <c r="H62" s="983"/>
      <c r="I62" s="982"/>
    </row>
    <row r="63" spans="1:35" ht="12.75">
      <c r="A63" s="2382" t="s">
        <v>941</v>
      </c>
      <c r="B63" s="645" t="s">
        <v>942</v>
      </c>
      <c r="C63" s="2383">
        <f ca="1">ROUND((C64+C65)/(1+'数据-取费表'!C42),0)</f>
        <v>55</v>
      </c>
      <c r="D63" s="645"/>
      <c r="E63" s="2384"/>
      <c r="F63" s="2357"/>
      <c r="G63" s="2357"/>
      <c r="H63" s="983"/>
      <c r="I63" s="982"/>
      <c r="J63" s="3341" t="s">
        <v>943</v>
      </c>
      <c r="K63" s="2385" t="s">
        <v>944</v>
      </c>
      <c r="L63" s="2385">
        <f ca="1">IF(M49&gt;10000,M49*0.5%,IF(AND(M49&gt;1000,M49&lt;=10000),M49*1%,IF(AND(M49&gt;100,M49&lt;=1000),M49*3%,IF(AND(M49&gt;10,M49&lt;=100),M49*5%,M49*8%))))</f>
        <v>2.9000000000000004</v>
      </c>
      <c r="M63" s="1836">
        <f ca="1">ROUND(L63,1)</f>
        <v>2.9</v>
      </c>
      <c r="N63" s="2386"/>
      <c r="Z63" s="2225"/>
      <c r="AI63" s="2226"/>
    </row>
    <row r="64" spans="1:35" ht="14.25" customHeight="1">
      <c r="A64" s="2387" t="s">
        <v>945</v>
      </c>
      <c r="B64" s="521" t="s">
        <v>946</v>
      </c>
      <c r="C64" s="2388">
        <f ca="1">D45</f>
        <v>58</v>
      </c>
      <c r="D64" s="521" t="s">
        <v>124</v>
      </c>
      <c r="E64" s="2389"/>
      <c r="F64" s="2357"/>
      <c r="G64" s="2357"/>
      <c r="H64" s="983"/>
      <c r="I64" s="982"/>
      <c r="J64" s="3341"/>
      <c r="K64" s="2385" t="s">
        <v>947</v>
      </c>
      <c r="L64" s="2385">
        <f ca="1">IF(M49&gt;2000,M49*0.5%,IF(AND(M49&gt;1000,M49&lt;=2000),M49*0.6%,IF(AND(M49&gt;500,M49&lt;=1000),M49*0.7%,IF(AND(M49&gt;200,M49&lt;=500),M49*0.8%,IF(AND(M49&gt;100,M49&lt;=200),M49*0.9%,IF(AND(M49&gt;50,M49&lt;=100),M49*1%,IF(AND(M49&gt;20,M49&lt;=50),M49*1.5%,IF(AND(M49&gt;10,M49&lt;=20),M49*2%,IF(AND(M49&gt;1,M49&lt;=10),M49*2.5%)))))))))</f>
        <v>0.57999999999999996</v>
      </c>
      <c r="M64" s="1836">
        <f t="shared" ref="M64:M65" ca="1" si="1">ROUND(L64,1)</f>
        <v>0.6</v>
      </c>
      <c r="N64" s="1940" t="s">
        <v>948</v>
      </c>
      <c r="Z64" s="2225"/>
      <c r="AI64" s="2226"/>
    </row>
    <row r="65" spans="1:35" ht="14.25" customHeight="1">
      <c r="A65" s="2387" t="s">
        <v>949</v>
      </c>
      <c r="B65" s="521" t="s">
        <v>950</v>
      </c>
      <c r="C65" s="2390"/>
      <c r="D65" s="521"/>
      <c r="E65" s="2389"/>
      <c r="F65" s="2357"/>
      <c r="G65" s="2357"/>
      <c r="H65" s="983"/>
      <c r="I65" s="982"/>
      <c r="J65" s="3341"/>
      <c r="K65" s="2385" t="s">
        <v>951</v>
      </c>
      <c r="L65" s="2385">
        <f ca="1">IF(M49&gt;1000,M49*0.1%,IF(AND(M49&gt;500,M49&lt;=1000),M49*0.5%,IF(AND(M49&gt;50,M49&lt;=500),M49*1%,IF(AND(M49&gt;1,M49&lt;=50),M49*1.5%))))</f>
        <v>0.57999999999999996</v>
      </c>
      <c r="M65" s="1836">
        <f t="shared" ca="1" si="1"/>
        <v>0.6</v>
      </c>
      <c r="N65" s="1940" t="s">
        <v>948</v>
      </c>
      <c r="Z65" s="2225"/>
      <c r="AI65" s="2226"/>
    </row>
    <row r="66" spans="1:35" ht="14.25" customHeight="1">
      <c r="A66" s="2382" t="s">
        <v>952</v>
      </c>
      <c r="B66" s="2391" t="s">
        <v>953</v>
      </c>
      <c r="C66" s="2392"/>
      <c r="D66" s="2391" t="s">
        <v>124</v>
      </c>
      <c r="E66" s="2393" t="s">
        <v>954</v>
      </c>
      <c r="F66" s="2357"/>
      <c r="G66" s="2357"/>
      <c r="H66" s="983"/>
      <c r="I66" s="982"/>
      <c r="J66" s="3341"/>
      <c r="K66" s="2385" t="s">
        <v>955</v>
      </c>
      <c r="L66" s="2385">
        <f ca="1">M49*0.5%</f>
        <v>0.28999999999999998</v>
      </c>
      <c r="M66" s="1836">
        <f ca="1">IF(L66&gt;0.5,0.5,ROUND(L66,0))</f>
        <v>0</v>
      </c>
      <c r="N66" s="1940" t="s">
        <v>956</v>
      </c>
      <c r="Z66" s="2225"/>
      <c r="AI66" s="2226"/>
    </row>
    <row r="67" spans="1:35" ht="14.25" customHeight="1">
      <c r="A67" s="2382" t="s">
        <v>957</v>
      </c>
      <c r="B67" s="2391" t="s">
        <v>958</v>
      </c>
      <c r="C67" s="2394">
        <f ca="1">C63-C66</f>
        <v>55</v>
      </c>
      <c r="D67" s="521" t="s">
        <v>124</v>
      </c>
      <c r="E67" s="2389"/>
      <c r="F67" s="2357"/>
      <c r="G67" s="2357"/>
      <c r="H67" s="983"/>
      <c r="I67" s="982"/>
      <c r="J67" s="3341"/>
      <c r="K67" s="2385" t="s">
        <v>959</v>
      </c>
      <c r="L67" s="2385">
        <f ca="1">IF(M49&gt;=10000,(8.25+(M49-10000)*0.01%),IF(AND(M49&gt;=8000,M49&lt;10000),(7.85+(M49-8000)*0.02%),IF(AND(M49&gt;=5000,M49&lt;8000),(6.65+(M49-5000)*0.04%),IF(AND(M49&gt;=2000,M49&lt;5000),(4.25+(PM49-2000)*0.08%),IF(AND(M49&gt;=1000,M49&lt;2000),(2.75+(M49-1000)*0.15%),IF(AND(M49&gt;=100,M49&lt;1000),(0.5+(M49-100)*0.25%),IF(AND(M49&gt;0,M49&lt;100),M49*0.5%)))))))</f>
        <v>0.28999999999999998</v>
      </c>
      <c r="M67" s="1836">
        <f ca="1">ROUND(L67*0.9,1)</f>
        <v>0.3</v>
      </c>
      <c r="N67" s="2386"/>
      <c r="Z67" s="2225"/>
      <c r="AI67" s="2226"/>
    </row>
    <row r="68" spans="1:35" ht="14.25" customHeight="1">
      <c r="A68" s="2395" t="s">
        <v>960</v>
      </c>
      <c r="B68" s="2396" t="s">
        <v>961</v>
      </c>
      <c r="C68" s="2397">
        <f ca="1">IF(C67&lt;=0,0,ROUND(C67*D68,0))</f>
        <v>3</v>
      </c>
      <c r="D68" s="746">
        <f>'数据-取费表'!B41</f>
        <v>5.5E-2</v>
      </c>
      <c r="E68" s="2398"/>
      <c r="F68" s="2357"/>
      <c r="G68" s="2357"/>
      <c r="H68" s="983"/>
      <c r="I68" s="982"/>
      <c r="J68" s="3341"/>
      <c r="K68" s="2385" t="s">
        <v>962</v>
      </c>
      <c r="L68" s="2385">
        <f ca="1">IF(M49&gt;10000,M49*0.5%,IF(AND(M49&gt;5000,M49&lt;=10000),M49*1%,IF(AND(M49&gt;1000,M49&lt;=5000),M49*2%,IF(AND(M49&gt;200,M49&lt;=1000),M49*3%,M49*5%))))</f>
        <v>2.9000000000000004</v>
      </c>
      <c r="M68" s="1836">
        <f ca="1">ROUND(L68,1)</f>
        <v>2.9</v>
      </c>
      <c r="N68" s="2386"/>
      <c r="Z68" s="2225"/>
      <c r="AI68" s="2226"/>
    </row>
    <row r="69" spans="1:35" ht="16.5" customHeight="1">
      <c r="A69" s="2399"/>
      <c r="B69" s="2400"/>
      <c r="C69" s="2401"/>
      <c r="D69" s="812"/>
      <c r="E69" s="2402"/>
      <c r="F69" s="2377"/>
      <c r="G69" s="2377"/>
      <c r="H69" s="2315"/>
      <c r="I69" s="1857"/>
      <c r="J69" s="3341"/>
      <c r="K69" s="2385" t="s">
        <v>963</v>
      </c>
      <c r="L69" s="2385"/>
      <c r="M69" s="1836">
        <f ca="1">ROUND(SUM(M63:M68),0)</f>
        <v>7</v>
      </c>
      <c r="N69" s="2403">
        <f ca="1">M69/M49</f>
        <v>0.1206896551724138</v>
      </c>
      <c r="Z69" s="2225"/>
      <c r="AI69" s="2226"/>
    </row>
    <row r="70" spans="1:35" s="880" customFormat="1" ht="14.25">
      <c r="A70" s="3295" t="s">
        <v>964</v>
      </c>
      <c r="B70" s="3296"/>
      <c r="C70" s="3296"/>
      <c r="D70" s="3296"/>
      <c r="E70" s="3296"/>
      <c r="F70" s="3296"/>
      <c r="G70" s="3296"/>
      <c r="H70" s="3296"/>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297" t="s">
        <v>939</v>
      </c>
      <c r="B71" s="3298"/>
      <c r="C71" s="552"/>
      <c r="D71" s="552" t="s">
        <v>940</v>
      </c>
      <c r="E71" s="2407" t="s">
        <v>894</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941</v>
      </c>
      <c r="B72" s="2391" t="s">
        <v>965</v>
      </c>
      <c r="C72" s="2394">
        <f ca="1">ROUND(D45/(1+'数据-取费表'!C42),0)</f>
        <v>55</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952</v>
      </c>
      <c r="B73" s="2329" t="s">
        <v>966</v>
      </c>
      <c r="C73" s="2394">
        <f ca="1">C74+C78</f>
        <v>0</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945</v>
      </c>
      <c r="B74" s="521" t="s">
        <v>967</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968</v>
      </c>
      <c r="B75" s="521" t="s">
        <v>969</v>
      </c>
      <c r="C75" s="629"/>
      <c r="D75" s="521" t="s">
        <v>124</v>
      </c>
      <c r="E75" s="2412" t="s">
        <v>970</v>
      </c>
      <c r="F75" s="2413"/>
      <c r="G75" s="2412" t="s">
        <v>971</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972</v>
      </c>
      <c r="B76" s="2415" t="s">
        <v>973</v>
      </c>
      <c r="C76" s="521">
        <f>IF(F75="购房发票",ROUND(C75*H75*D76,0),0)</f>
        <v>0</v>
      </c>
      <c r="D76" s="2416">
        <v>0.05</v>
      </c>
      <c r="E76" s="3289" t="s">
        <v>974</v>
      </c>
      <c r="F76" s="3287"/>
      <c r="G76" s="3287"/>
      <c r="H76" s="3340"/>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975</v>
      </c>
      <c r="B77" s="521" t="s">
        <v>976</v>
      </c>
      <c r="C77" s="521">
        <f>ROUND(IF(G77="个人住宅",0,IF(G77="2016年5月1日前购买",C75*D77,C75*D77/(1+'数据-取费表'!C42))),0)</f>
        <v>0</v>
      </c>
      <c r="D77" s="2418">
        <f>'数据-取费表'!B48+'数据-取费表'!B49</f>
        <v>3.0499999999999999E-2</v>
      </c>
      <c r="E77" s="1881" t="s">
        <v>977</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949</v>
      </c>
      <c r="B78" s="521" t="s">
        <v>978</v>
      </c>
      <c r="C78" s="2421">
        <f ca="1">ROUND(D45*D78/(1+'数据-取费表'!C42),0)</f>
        <v>0</v>
      </c>
      <c r="D78" s="2422">
        <f>'数据-取费表'!B43</f>
        <v>5.0000000000000001E-3</v>
      </c>
      <c r="E78" s="3301" t="s">
        <v>979</v>
      </c>
      <c r="F78" s="3302"/>
      <c r="G78" s="3302"/>
      <c r="H78" s="3303"/>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957</v>
      </c>
      <c r="B79" s="2391" t="s">
        <v>980</v>
      </c>
      <c r="C79" s="2394">
        <f ca="1">C72-C73</f>
        <v>55</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960</v>
      </c>
      <c r="B80" s="2391" t="s">
        <v>981</v>
      </c>
      <c r="C80" s="2427" t="e">
        <f ca="1">IF(C79&lt;=0,0,C79/C73)</f>
        <v>#DIV/0!</v>
      </c>
      <c r="D80" s="521" t="s">
        <v>124</v>
      </c>
      <c r="E80" s="1881" t="e">
        <f ca="1">IF(C80&gt;=200%,"增值额超过扣除项目金额200%",IF(C80&gt;=100%,"增值额超过扣除项目金额100%，未超过200%",IF(C80&gt;=50%,"增值额超过扣除项目金额50%，未超过100%",IF(C80&lt;50%,"增值额未超过扣除项目金额50%"))))</f>
        <v>#DIV/0!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982</v>
      </c>
      <c r="B81" s="2396" t="s">
        <v>983</v>
      </c>
      <c r="C81" s="2428" t="e">
        <f ca="1">ROUND(IF(C79&lt;=0,0,IF(C80&gt;=200%,C79*60%-C73*35%,IF(C80&gt;=100%,C79*50%-C73*15%,IF(C80&gt;=50%,C79*40%-C73*5%,IF(C80&lt;50%,C79*30%,0))))),0)</f>
        <v>#DIV/0!</v>
      </c>
      <c r="D81" s="775" t="s">
        <v>124</v>
      </c>
      <c r="E81" s="24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295" t="s">
        <v>984</v>
      </c>
      <c r="B83" s="3296"/>
      <c r="C83" s="3296"/>
      <c r="D83" s="3296"/>
      <c r="E83" s="3296"/>
      <c r="F83" s="3296"/>
      <c r="G83" s="3296"/>
      <c r="H83" s="3296"/>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297" t="s">
        <v>939</v>
      </c>
      <c r="B84" s="3298"/>
      <c r="C84" s="552"/>
      <c r="D84" s="552" t="s">
        <v>940</v>
      </c>
      <c r="E84" s="2407" t="s">
        <v>894</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941</v>
      </c>
      <c r="B85" s="2391" t="s">
        <v>965</v>
      </c>
      <c r="C85" s="2394">
        <f ca="1">ROUND(D45/(1+'数据-取费表'!C42),0)</f>
        <v>55</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952</v>
      </c>
      <c r="B86" s="2329" t="s">
        <v>966</v>
      </c>
      <c r="C86" s="2394">
        <f ca="1">IF(H88="仅含出让金",C87+C90+C91+C92+C93+C94,C87+C91+C92+C93+C94)</f>
        <v>0</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945</v>
      </c>
      <c r="B87" s="521" t="s">
        <v>985</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968</v>
      </c>
      <c r="B88" s="521" t="s">
        <v>986</v>
      </c>
      <c r="C88" s="2437"/>
      <c r="D88" s="2422"/>
      <c r="E88" s="2438" t="s">
        <v>987</v>
      </c>
      <c r="F88" s="2424"/>
      <c r="G88" s="2439" t="s">
        <v>988</v>
      </c>
      <c r="H88" s="2440"/>
      <c r="I88" s="796"/>
      <c r="J88" s="2441" t="s">
        <v>989</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972</v>
      </c>
      <c r="B89" s="521" t="s">
        <v>976</v>
      </c>
      <c r="C89" s="2421">
        <f>ROUND(C88*D89,0)</f>
        <v>0</v>
      </c>
      <c r="D89" s="2422">
        <f>'数据-取费表'!B48+'数据-取费表'!B49</f>
        <v>3.0499999999999999E-2</v>
      </c>
      <c r="E89" s="2438" t="s">
        <v>990</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949</v>
      </c>
      <c r="B90" s="521" t="s">
        <v>991</v>
      </c>
      <c r="C90" s="2437"/>
      <c r="D90" s="2422"/>
      <c r="E90" s="2438" t="str">
        <f>IF(H88="-","土地取得成本中已包含该笔费用"," ")</f>
        <v/>
      </c>
      <c r="F90" s="2424"/>
      <c r="G90" s="3299" t="s">
        <v>992</v>
      </c>
      <c r="H90" s="3300"/>
      <c r="I90" s="796"/>
      <c r="J90" s="2441" t="s">
        <v>993</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994</v>
      </c>
      <c r="B91" s="521" t="s">
        <v>995</v>
      </c>
      <c r="C91" s="2421">
        <f>IF(H91="——",成本法!C33,I91)</f>
        <v>0</v>
      </c>
      <c r="D91" s="2422"/>
      <c r="E91" s="3301" t="s">
        <v>996</v>
      </c>
      <c r="F91" s="3302"/>
      <c r="G91" s="3302"/>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997</v>
      </c>
      <c r="B92" s="521" t="s">
        <v>998</v>
      </c>
      <c r="C92" s="2421">
        <f>ROUND((C87+C90+C91)*D92,0)</f>
        <v>0</v>
      </c>
      <c r="D92" s="2444"/>
      <c r="E92" s="3301" t="s">
        <v>999</v>
      </c>
      <c r="F92" s="3302"/>
      <c r="G92" s="3302"/>
      <c r="H92" s="3303"/>
      <c r="I92" s="796"/>
      <c r="J92" s="2445" t="s">
        <v>1000</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1001</v>
      </c>
      <c r="B93" s="521" t="s">
        <v>978</v>
      </c>
      <c r="C93" s="2421">
        <f ca="1">ROUND(D45*D93/(1+'数据-取费表'!C42),0)</f>
        <v>0</v>
      </c>
      <c r="D93" s="2422">
        <f>'数据-取费表'!B43</f>
        <v>5.0000000000000001E-3</v>
      </c>
      <c r="E93" s="3301" t="s">
        <v>979</v>
      </c>
      <c r="F93" s="3302"/>
      <c r="G93" s="3302"/>
      <c r="H93" s="3303"/>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1002</v>
      </c>
      <c r="B94" s="521" t="s">
        <v>1003</v>
      </c>
      <c r="C94" s="2437">
        <f>ROUND((C87+C90+C91)*D94,0)</f>
        <v>0</v>
      </c>
      <c r="D94" s="2422">
        <v>0.2</v>
      </c>
      <c r="E94" s="3325" t="s">
        <v>1004</v>
      </c>
      <c r="F94" s="3326"/>
      <c r="G94" s="3326"/>
      <c r="H94" s="3327"/>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957</v>
      </c>
      <c r="B95" s="2391" t="s">
        <v>980</v>
      </c>
      <c r="C95" s="2394">
        <f ca="1">ROUND(C85-C86,0)</f>
        <v>55</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960</v>
      </c>
      <c r="B96" s="2391" t="s">
        <v>981</v>
      </c>
      <c r="C96" s="2427" t="e">
        <f ca="1">IF(C95&lt;=0,0,C95/C86)</f>
        <v>#DIV/0!</v>
      </c>
      <c r="D96" s="521" t="s">
        <v>124</v>
      </c>
      <c r="E96" s="1881" t="e">
        <f ca="1">IF(C96&gt;=200%,"增值额超过扣除项目金额200%",IF(C96&gt;=100%,"增值额超过扣除项目金额100%，未超过200%",IF(C96&gt;=50%,"增值额超过扣除项目金额50%，未超过100%",IF(C96&lt;50%,"增值额未超过扣除项目金额50%"))))</f>
        <v>#DIV/0!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982</v>
      </c>
      <c r="B97" s="2396" t="s">
        <v>983</v>
      </c>
      <c r="C97" s="2428" t="e">
        <f ca="1">ROUND(IF(C95&lt;=0,0,IF(C96&gt;=200%,C95*60%-C86*35%,IF(C96&gt;=100%,C95*50%-C86*15%,IF(C96&gt;=50%,C95*40%-C86*5%,IF(C96&lt;50%,C95*30%,0))))),0)</f>
        <v>#DIV/0!</v>
      </c>
      <c r="D97" s="775" t="s">
        <v>124</v>
      </c>
      <c r="E97" s="24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1005</v>
      </c>
      <c r="B99" s="1857"/>
      <c r="C99" s="1857"/>
      <c r="D99" s="1857"/>
      <c r="E99" s="2377"/>
      <c r="F99" s="2377"/>
      <c r="G99" s="2377"/>
      <c r="H99" s="2315"/>
      <c r="I99" s="982"/>
    </row>
    <row r="100" spans="1:35" ht="18.75" customHeight="1">
      <c r="A100" s="3257" t="s">
        <v>1006</v>
      </c>
      <c r="B100" s="3258"/>
      <c r="C100" s="3258"/>
      <c r="D100" s="3328"/>
      <c r="E100" s="3258" t="s">
        <v>1007</v>
      </c>
      <c r="F100" s="3258"/>
      <c r="G100" s="3258"/>
      <c r="H100" s="3328"/>
      <c r="I100" s="982"/>
    </row>
    <row r="101" spans="1:35" ht="18.75" customHeight="1">
      <c r="A101" s="3329" t="s">
        <v>1008</v>
      </c>
      <c r="B101" s="3330"/>
      <c r="C101" s="2448" t="str">
        <f>C4</f>
        <v>比较法-办公</v>
      </c>
      <c r="D101" s="2449" t="str">
        <f>D4</f>
        <v>收益法 (元)</v>
      </c>
      <c r="E101" s="3347" t="s">
        <v>1009</v>
      </c>
      <c r="F101" s="3343"/>
      <c r="G101" s="2451" t="s">
        <v>1010</v>
      </c>
      <c r="H101" s="2452">
        <f ca="1">H118</f>
        <v>58</v>
      </c>
      <c r="I101" s="982"/>
    </row>
    <row r="102" spans="1:35" ht="18.75" customHeight="1">
      <c r="A102" s="3354" t="s">
        <v>1011</v>
      </c>
      <c r="B102" s="2453" t="s">
        <v>1010</v>
      </c>
      <c r="C102" s="2448">
        <f ca="1">IF(D32="楼面单价",ROUND(C19,0),C19)</f>
        <v>65</v>
      </c>
      <c r="D102" s="2449">
        <f ca="1">IF(D32="楼面单价",ROUND(D19,0),D19)</f>
        <v>41</v>
      </c>
      <c r="E102" s="3347"/>
      <c r="F102" s="3343"/>
      <c r="G102" s="2451" t="s">
        <v>99</v>
      </c>
      <c r="H102" s="2346">
        <f ca="1">I118</f>
        <v>9267</v>
      </c>
      <c r="I102" s="982"/>
    </row>
    <row r="103" spans="1:35" ht="42.75" customHeight="1">
      <c r="A103" s="3354"/>
      <c r="B103" s="2453" t="s">
        <v>99</v>
      </c>
      <c r="C103" s="2454">
        <f ca="1">C20</f>
        <v>10416</v>
      </c>
      <c r="D103" s="2455">
        <f ca="1">D20</f>
        <v>6587</v>
      </c>
      <c r="E103" s="3331" t="s">
        <v>1012</v>
      </c>
      <c r="F103" s="3332"/>
      <c r="G103" s="2456" t="s">
        <v>102</v>
      </c>
      <c r="H103" s="2452">
        <f>IF(D36="正常操作",H104+H105+H106,H105+H106)</f>
        <v>0</v>
      </c>
      <c r="I103" s="982"/>
    </row>
    <row r="104" spans="1:35" ht="18.75" customHeight="1">
      <c r="A104" s="3354" t="s">
        <v>1013</v>
      </c>
      <c r="B104" s="2457" t="s">
        <v>1010</v>
      </c>
      <c r="C104" s="2458">
        <f ca="1">H118</f>
        <v>58</v>
      </c>
      <c r="D104" s="2459"/>
      <c r="E104" s="2300" t="s">
        <v>1014</v>
      </c>
      <c r="F104" s="2460"/>
      <c r="G104" s="2456" t="s">
        <v>102</v>
      </c>
      <c r="H104" s="2461">
        <f>IF(D36="同一抵押权人同一抵押物续贷",C36&amp;"（续贷，未扣减，详见特别提示）",C36)</f>
        <v>0</v>
      </c>
      <c r="I104" s="982"/>
    </row>
    <row r="105" spans="1:35" ht="18.75" customHeight="1">
      <c r="A105" s="3355"/>
      <c r="B105" s="2462" t="s">
        <v>99</v>
      </c>
      <c r="C105" s="2463">
        <f ca="1">I118</f>
        <v>9267</v>
      </c>
      <c r="D105" s="2464"/>
      <c r="E105" s="2300" t="s">
        <v>1015</v>
      </c>
      <c r="F105" s="2460"/>
      <c r="G105" s="2456" t="s">
        <v>102</v>
      </c>
      <c r="H105" s="2465">
        <f>C37</f>
        <v>0</v>
      </c>
      <c r="I105" s="982"/>
    </row>
    <row r="106" spans="1:35" ht="18.75" customHeight="1">
      <c r="A106" s="1857" t="s">
        <v>1016</v>
      </c>
      <c r="B106" s="1857"/>
      <c r="C106" s="1857"/>
      <c r="D106" s="1857"/>
      <c r="E106" s="2466" t="s">
        <v>1017</v>
      </c>
      <c r="F106" s="2460"/>
      <c r="G106" s="2456" t="s">
        <v>102</v>
      </c>
      <c r="H106" s="2465">
        <f>C38</f>
        <v>0</v>
      </c>
      <c r="I106" s="982"/>
    </row>
    <row r="107" spans="1:35" ht="18.75" customHeight="1">
      <c r="A107" s="982"/>
      <c r="B107" s="982"/>
      <c r="C107" s="982"/>
      <c r="D107" s="982">
        <f ca="1">H108*B118</f>
        <v>576685.40999999992</v>
      </c>
      <c r="E107" s="3342" t="str">
        <f>IF(项目基本情况!E8="已注销","——","3.房地产抵押价值")</f>
        <v>3.房地产抵押价值</v>
      </c>
      <c r="F107" s="3343"/>
      <c r="G107" s="2451" t="s">
        <v>1010</v>
      </c>
      <c r="H107" s="2452">
        <f ca="1">IF(E107="——","——",H101-H103)</f>
        <v>58</v>
      </c>
      <c r="I107" s="982"/>
    </row>
    <row r="108" spans="1:35" ht="18.75" customHeight="1">
      <c r="A108" s="982"/>
      <c r="B108" s="982"/>
      <c r="C108" s="982"/>
      <c r="D108" s="982"/>
      <c r="E108" s="3342"/>
      <c r="F108" s="3343"/>
      <c r="G108" s="2451" t="s">
        <v>99</v>
      </c>
      <c r="H108" s="2346">
        <f ca="1">IF(H107=H101,H102,ROUND(H107*10000/'数据-汇总表'!E3,0))</f>
        <v>9267</v>
      </c>
      <c r="I108" s="982"/>
    </row>
    <row r="109" spans="1:35" ht="18.75" customHeight="1">
      <c r="A109" s="982"/>
      <c r="B109" s="982"/>
      <c r="C109" s="982"/>
      <c r="D109" s="982"/>
      <c r="E109" s="3342" t="str">
        <f>IF(项目基本情况!E8="已注销及未注销","4.抵押担保权已注销时的房地产抵押价值",IF(项目基本情况!E8="已注销","3.抵押担保权已注销时的房地产抵押价值","——"))</f>
        <v>——</v>
      </c>
      <c r="F109" s="3343"/>
      <c r="G109" s="2451" t="s">
        <v>1010</v>
      </c>
      <c r="H109" s="2467" t="str">
        <f>IF(E109="——","——",H101-H105-H106)</f>
        <v>——</v>
      </c>
      <c r="I109" s="982"/>
    </row>
    <row r="110" spans="1:35" ht="18.75" customHeight="1">
      <c r="A110" s="982"/>
      <c r="B110" s="982"/>
      <c r="C110" s="982"/>
      <c r="D110" s="982"/>
      <c r="E110" s="3342"/>
      <c r="F110" s="3343"/>
      <c r="G110" s="2451" t="s">
        <v>99</v>
      </c>
      <c r="H110" s="2346" t="str">
        <f>IF(H109="——","——",ROUND(H109*10000/'数据-汇总表'!E3,0))</f>
        <v>——</v>
      </c>
      <c r="I110" s="982"/>
    </row>
    <row r="111" spans="1:35" ht="18.75" customHeight="1">
      <c r="A111" s="982"/>
      <c r="B111" s="982"/>
      <c r="C111" s="982"/>
      <c r="D111" s="982"/>
      <c r="E111" s="3344" t="str">
        <f>IF(项目基本情况!E9="抵押净值",IF(OR(项目基本情况!E8="已注销",项目基本情况!E8="房地产抵押价值"),"4.抵押净值","5.抵押净值"),"——")</f>
        <v>——</v>
      </c>
      <c r="F111" s="3312"/>
      <c r="G111" s="2451" t="s">
        <v>1010</v>
      </c>
      <c r="H111" s="2452" t="str">
        <f>IF(E111="——","——",N59)</f>
        <v>——</v>
      </c>
      <c r="I111" s="982"/>
    </row>
    <row r="112" spans="1:35" ht="18.75" customHeight="1">
      <c r="A112" s="982"/>
      <c r="B112" s="982"/>
      <c r="C112" s="982"/>
      <c r="D112" s="982"/>
      <c r="E112" s="3345"/>
      <c r="F112" s="3346"/>
      <c r="G112" s="2468" t="s">
        <v>99</v>
      </c>
      <c r="H112" s="2469" t="str">
        <f>IF(E111="——","——",N61)</f>
        <v>——</v>
      </c>
      <c r="I112" s="982"/>
    </row>
    <row r="113" spans="1:27" ht="18.75" customHeight="1">
      <c r="A113" s="982"/>
      <c r="B113" s="982"/>
      <c r="C113" s="982"/>
      <c r="D113" s="982"/>
      <c r="E113" s="3333" t="s">
        <v>1016</v>
      </c>
      <c r="F113" s="3333"/>
      <c r="G113" s="3333"/>
      <c r="H113" s="3333"/>
      <c r="I113" s="982"/>
    </row>
    <row r="114" spans="1:27" ht="3.75" customHeight="1">
      <c r="A114" s="1857"/>
      <c r="B114" s="1857"/>
      <c r="C114" s="1857"/>
      <c r="D114" s="1857"/>
      <c r="E114" s="2376"/>
      <c r="F114" s="2376"/>
      <c r="G114" s="2376"/>
      <c r="H114" s="2376"/>
      <c r="I114" s="1857"/>
    </row>
    <row r="115" spans="1:27" ht="18.75" customHeight="1">
      <c r="A115" s="3334" t="s">
        <v>1018</v>
      </c>
      <c r="B115" s="3335"/>
      <c r="C115" s="3335"/>
      <c r="D115" s="3335"/>
      <c r="E115" s="3335"/>
      <c r="F115" s="3335"/>
      <c r="G115" s="3335"/>
      <c r="H115" s="3335"/>
      <c r="I115" s="3336"/>
    </row>
    <row r="116" spans="1:27" ht="27" customHeight="1">
      <c r="A116" s="3316" t="s">
        <v>1019</v>
      </c>
      <c r="B116" s="3323" t="s">
        <v>1020</v>
      </c>
      <c r="C116" s="3323" t="s">
        <v>1021</v>
      </c>
      <c r="D116" s="3337" t="s">
        <v>1022</v>
      </c>
      <c r="E116" s="3338"/>
      <c r="F116" s="3339" t="s">
        <v>1023</v>
      </c>
      <c r="G116" s="3339"/>
      <c r="H116" s="3316" t="s">
        <v>1024</v>
      </c>
      <c r="I116" s="3316"/>
    </row>
    <row r="117" spans="1:27" ht="18.75" customHeight="1">
      <c r="A117" s="3316"/>
      <c r="B117" s="3324"/>
      <c r="C117" s="3324"/>
      <c r="D117" s="843" t="s">
        <v>1025</v>
      </c>
      <c r="E117" s="843" t="s">
        <v>852</v>
      </c>
      <c r="F117" s="843" t="s">
        <v>1025</v>
      </c>
      <c r="G117" s="843" t="s">
        <v>852</v>
      </c>
      <c r="H117" s="843" t="s">
        <v>1025</v>
      </c>
      <c r="I117" s="843" t="s">
        <v>852</v>
      </c>
    </row>
    <row r="118" spans="1:27" ht="24.75" customHeight="1">
      <c r="A118" s="2470" t="str">
        <f>项目基本情况!S2</f>
        <v>北京市房地产</v>
      </c>
      <c r="B118" s="843">
        <f>M18</f>
        <v>62.23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58</v>
      </c>
      <c r="I118" s="843">
        <f ca="1">ROUND(IF(D32="楼面单价",C32,H118*10000/B118),0)</f>
        <v>9267</v>
      </c>
    </row>
    <row r="119" spans="1:27" ht="18.75" customHeight="1">
      <c r="A119" s="3316" t="s">
        <v>1026</v>
      </c>
      <c r="B119" s="3316"/>
      <c r="C119" s="3316"/>
      <c r="D119" s="3317" t="str">
        <f>NUMBERSTRING(INT(D118*10000),2)&amp;"元整"</f>
        <v>零元整</v>
      </c>
      <c r="E119" s="3319"/>
      <c r="F119" s="3317" t="str">
        <f>NUMBERSTRING(INT(F118*10000),2)&amp;"元整"</f>
        <v>零元整</v>
      </c>
      <c r="G119" s="3319"/>
      <c r="H119" s="3317" t="str">
        <f ca="1">NUMBERSTRING(INT(H118*10000),2)&amp;"元整"</f>
        <v>伍拾捌万元整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17" t="s">
        <v>1026</v>
      </c>
      <c r="B121" s="3318"/>
      <c r="C121" s="3319"/>
      <c r="D121" s="3317" t="str">
        <f>IF(D120=0,"零元整",NUMBERSTRING(INT(D120*10000),2)&amp;"元整")</f>
        <v>零元整</v>
      </c>
      <c r="E121" s="3318"/>
      <c r="F121" s="3318"/>
      <c r="G121" s="3318"/>
      <c r="H121" s="3318"/>
      <c r="I121" s="3319"/>
      <c r="AA121" s="898"/>
    </row>
    <row r="122" spans="1:27" ht="18.75" customHeight="1">
      <c r="A122" s="3312" t="str">
        <f>IF(项目基本情况!B9="房地产市场价值","",MID(E107,3,LEN(E107)-2))</f>
        <v>房地产抵押价值</v>
      </c>
      <c r="B122" s="3312"/>
      <c r="C122" s="3312"/>
      <c r="D122" s="3313">
        <f ca="1">H107</f>
        <v>58</v>
      </c>
      <c r="E122" s="3314"/>
      <c r="F122" s="3314"/>
      <c r="G122" s="3314"/>
      <c r="H122" s="3314"/>
      <c r="I122" s="3315"/>
      <c r="AA122" s="898"/>
    </row>
    <row r="123" spans="1:27" ht="18.75" customHeight="1">
      <c r="A123" s="3316" t="s">
        <v>1026</v>
      </c>
      <c r="B123" s="3316"/>
      <c r="C123" s="3316"/>
      <c r="D123" s="3317" t="str">
        <f ca="1">NUMBERSTRING(INT(D122*10000),2)&amp;"元整"</f>
        <v>伍拾捌万元整</v>
      </c>
      <c r="E123" s="3318"/>
      <c r="F123" s="3318"/>
      <c r="G123" s="3318"/>
      <c r="H123" s="3318"/>
      <c r="I123" s="3319"/>
      <c r="AA123" s="898"/>
    </row>
    <row r="124" spans="1:27" ht="18.75" customHeight="1">
      <c r="A124" s="3312" t="str">
        <f>IF(项目基本情况!B9="房地产市场价值","",MID(E109,3,LEN(E109)-2))</f>
        <v/>
      </c>
      <c r="B124" s="3312"/>
      <c r="C124" s="3312"/>
      <c r="D124" s="3313" t="str">
        <f>H109</f>
        <v>——</v>
      </c>
      <c r="E124" s="3314"/>
      <c r="F124" s="3314"/>
      <c r="G124" s="3314"/>
      <c r="H124" s="3314"/>
      <c r="I124" s="3315"/>
      <c r="AA124" s="898"/>
    </row>
    <row r="125" spans="1:27" ht="18.75" customHeight="1">
      <c r="A125" s="3316" t="s">
        <v>1026</v>
      </c>
      <c r="B125" s="3316"/>
      <c r="C125" s="3316"/>
      <c r="D125" s="3317" t="e">
        <f>NUMBERSTRING(INT(D124*10000),2)&amp;"元整"</f>
        <v>#VALUE!</v>
      </c>
      <c r="E125" s="3318"/>
      <c r="F125" s="3318"/>
      <c r="G125" s="3318"/>
      <c r="H125" s="3318"/>
      <c r="I125" s="3319"/>
      <c r="AA125" s="898"/>
    </row>
    <row r="126" spans="1:27" ht="18.75" customHeight="1">
      <c r="A126" s="3312" t="str">
        <f>IF(项目基本情况!B9="房地产市场价值","",MID(E111,3,LEN(E111)-2))</f>
        <v/>
      </c>
      <c r="B126" s="3312"/>
      <c r="C126" s="3312"/>
      <c r="D126" s="3313" t="str">
        <f>H111</f>
        <v>——</v>
      </c>
      <c r="E126" s="3314"/>
      <c r="F126" s="3314"/>
      <c r="G126" s="3314"/>
      <c r="H126" s="3314"/>
      <c r="I126" s="3315"/>
      <c r="AA126" s="898"/>
    </row>
    <row r="127" spans="1:27" ht="18.75" customHeight="1">
      <c r="A127" s="3316" t="s">
        <v>1026</v>
      </c>
      <c r="B127" s="3316"/>
      <c r="C127" s="3316"/>
      <c r="D127" s="3317" t="e">
        <f>NUMBERSTRING(INT(D126*10000),2)&amp;"元整"</f>
        <v>#VALUE!</v>
      </c>
      <c r="E127" s="3318"/>
      <c r="F127" s="3318"/>
      <c r="G127" s="3318"/>
      <c r="H127" s="3318"/>
      <c r="I127" s="3319"/>
      <c r="AA127" s="898"/>
    </row>
    <row r="128" spans="1:27" ht="21.75" customHeight="1">
      <c r="A128" s="3348" t="s">
        <v>113</v>
      </c>
      <c r="B128" s="3348"/>
      <c r="C128" s="3348"/>
      <c r="D128" s="3348"/>
      <c r="E128" s="3348"/>
      <c r="F128" s="3348"/>
      <c r="G128" s="3348"/>
      <c r="H128" s="3348"/>
      <c r="I128" s="3348"/>
      <c r="AA128" s="898"/>
    </row>
    <row r="129" spans="1:35" ht="21.75" customHeight="1">
      <c r="A129" s="2471" t="s">
        <v>1027</v>
      </c>
      <c r="B129" s="2472"/>
      <c r="C129" s="2473" t="s">
        <v>1028</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1029</v>
      </c>
      <c r="G135" s="2486"/>
      <c r="H135" s="2486"/>
      <c r="I135" s="2487" t="s">
        <v>1030</v>
      </c>
    </row>
    <row r="136" spans="1:35" ht="21.75" customHeight="1">
      <c r="A136" s="898"/>
      <c r="B136" s="2488" t="s">
        <v>1031</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1032</v>
      </c>
    </row>
    <row r="139" spans="1:35" ht="21.75" customHeight="1">
      <c r="A139" s="898"/>
      <c r="B139" s="2488" t="s">
        <v>1033</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1032</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2212"/>
      <c r="C1" s="341"/>
      <c r="D1" s="341"/>
      <c r="E1" s="341"/>
      <c r="F1" s="341"/>
      <c r="G1" s="2214">
        <f>MATCH(B1,'数据-取费表'!A6:A16,0)+5</f>
        <v>7</v>
      </c>
    </row>
    <row r="2" spans="1:9" s="331" customFormat="1" ht="18" customHeight="1">
      <c r="A2" s="343" t="s">
        <v>1035</v>
      </c>
      <c r="B2" s="344">
        <f ca="1">IF(D2="——",C52,C52-E2)</f>
        <v>16860</v>
      </c>
      <c r="C2" s="342" t="s">
        <v>1036</v>
      </c>
      <c r="D2" s="2216" t="s">
        <v>124</v>
      </c>
      <c r="E2" s="2217" t="e">
        <f ca="1">SUMIF(INDIRECT("'"&amp;G2&amp;"'"&amp;"!A:A"),"承租人权益价值",INDIRECT("'"&amp;G2&amp;"'"&amp;"!c:c"))</f>
        <v>#REF!</v>
      </c>
      <c r="F2" s="2218" t="s">
        <v>1036</v>
      </c>
      <c r="G2" s="2219"/>
    </row>
    <row r="3" spans="1:9" s="331" customFormat="1" ht="18" customHeight="1">
      <c r="A3" s="346" t="s">
        <v>1037</v>
      </c>
      <c r="B3" s="347">
        <f ca="1">ROUND(B2*10000/(IF(B1="",'数据-汇总表'!E3,INDIRECT("'数据-取费表'!k"&amp;$G$1))),0)</f>
        <v>2709304</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C6+C7+C8</f>
        <v>12446</v>
      </c>
      <c r="D5" s="353" t="s">
        <v>1042</v>
      </c>
      <c r="E5" s="354" t="s">
        <v>1043</v>
      </c>
      <c r="F5" s="354" t="s">
        <v>940</v>
      </c>
      <c r="G5" s="355"/>
    </row>
    <row r="6" spans="1:9" s="333" customFormat="1" ht="13.5" customHeight="1">
      <c r="A6" s="356" t="s">
        <v>1044</v>
      </c>
      <c r="B6" s="357" t="s">
        <v>1045</v>
      </c>
      <c r="C6" s="358"/>
      <c r="D6" s="359"/>
      <c r="E6" s="360"/>
      <c r="F6" s="360"/>
      <c r="G6" s="361"/>
    </row>
    <row r="7" spans="1:9" s="333" customFormat="1" ht="13.5" customHeight="1">
      <c r="A7" s="356" t="s">
        <v>1046</v>
      </c>
      <c r="B7" s="357" t="s">
        <v>1047</v>
      </c>
      <c r="C7" s="362">
        <f>ROUND(C6*F7,0)</f>
        <v>0</v>
      </c>
      <c r="D7" s="362"/>
      <c r="E7" s="360"/>
      <c r="F7" s="363">
        <f>IF(项目基本情况!B8="出让",0,'数据-取费表'!B48+'数据-取费表'!B49)</f>
        <v>3.0499999999999999E-2</v>
      </c>
      <c r="G7" s="361"/>
    </row>
    <row r="8" spans="1:9" s="334" customFormat="1">
      <c r="A8" s="356" t="s">
        <v>1048</v>
      </c>
      <c r="B8" s="357" t="s">
        <v>1049</v>
      </c>
      <c r="C8" s="362">
        <f>IF(G8="已包含在土地购买价格中","0",IF(B1="",'数据-取费表'!B29,IF(G9="全部缴纳",C9+C10,H9)))</f>
        <v>12446</v>
      </c>
      <c r="D8" s="364"/>
      <c r="E8" s="362"/>
      <c r="F8" s="363"/>
      <c r="G8" s="2220"/>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21"/>
      <c r="H9" s="2222"/>
      <c r="I9" s="2223" t="s">
        <v>1052</v>
      </c>
    </row>
    <row r="10" spans="1:9" s="333" customFormat="1" ht="13.5" customHeight="1">
      <c r="A10" s="366" t="s">
        <v>1053</v>
      </c>
      <c r="B10" s="367" t="s">
        <v>1054</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1055</v>
      </c>
      <c r="B11" s="357" t="s">
        <v>1056</v>
      </c>
      <c r="C11" s="353"/>
      <c r="D11" s="360"/>
      <c r="E11" s="360"/>
      <c r="F11" s="360"/>
      <c r="G11" s="361"/>
    </row>
    <row r="12" spans="1:9" s="333" customFormat="1" ht="13.5" hidden="1" customHeight="1">
      <c r="A12" s="371" t="s">
        <v>1057</v>
      </c>
      <c r="B12" s="357" t="s">
        <v>976</v>
      </c>
      <c r="C12" s="353">
        <v>0</v>
      </c>
      <c r="D12" s="360"/>
      <c r="E12" s="372"/>
      <c r="F12" s="363">
        <v>3.0499999999999999E-2</v>
      </c>
      <c r="G12" s="361"/>
    </row>
    <row r="13" spans="1:9" s="333" customFormat="1" ht="13.5" hidden="1" customHeight="1">
      <c r="A13" s="371" t="s">
        <v>1058</v>
      </c>
      <c r="B13" s="357" t="s">
        <v>1059</v>
      </c>
      <c r="C13" s="353"/>
      <c r="D13" s="360"/>
      <c r="E13" s="360"/>
      <c r="F13" s="360"/>
      <c r="G13" s="361"/>
    </row>
    <row r="14" spans="1:9" s="333" customFormat="1" ht="13.5" hidden="1" customHeight="1">
      <c r="A14" s="371" t="s">
        <v>1060</v>
      </c>
      <c r="B14" s="357" t="s">
        <v>1049</v>
      </c>
      <c r="C14" s="353"/>
      <c r="D14" s="360"/>
      <c r="E14" s="360"/>
      <c r="F14" s="360"/>
      <c r="G14" s="361" t="s">
        <v>1061</v>
      </c>
    </row>
    <row r="15" spans="1:9" s="333" customFormat="1" ht="13.5" hidden="1" customHeight="1">
      <c r="A15" s="371" t="s">
        <v>1062</v>
      </c>
      <c r="B15" s="357" t="s">
        <v>1063</v>
      </c>
      <c r="C15" s="362"/>
      <c r="D15" s="360"/>
      <c r="E15" s="360"/>
      <c r="F15" s="360"/>
      <c r="G15" s="361" t="s">
        <v>1064</v>
      </c>
    </row>
    <row r="16" spans="1:9"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f ca="1">IF(G19="已包含在土地取得成本中","0",ROUND(D19*E19/10000,0))</f>
        <v>1</v>
      </c>
      <c r="D19" s="354">
        <f ca="1">D9+D10</f>
        <v>62.23</v>
      </c>
      <c r="E19" s="353">
        <f>'数据-取费表'!B31</f>
        <v>200</v>
      </c>
      <c r="F19" s="375"/>
      <c r="G19" s="2220"/>
    </row>
    <row r="20" spans="1:7" s="333" customFormat="1" ht="13.5" customHeight="1">
      <c r="A20" s="351" t="s">
        <v>1073</v>
      </c>
      <c r="B20" s="352" t="s">
        <v>1074</v>
      </c>
      <c r="C20" s="376">
        <f ca="1">ROUND((C5+C19)*F20,0)</f>
        <v>373</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82">
        <f ca="1">ROUND(SUM(C23:C25),0)</f>
        <v>803</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5">
        <f ca="1">ROUND(IF('数据-取费表'!B22&lt;=1,C5*F22*'数据-取费表'!B23,C5*(POWER((1+F22),'数据-取费表'!B23)-1)),0)</f>
        <v>791</v>
      </c>
      <c r="D23" s="386"/>
      <c r="E23" s="386"/>
      <c r="F23" s="387"/>
      <c r="G23" s="388" t="s">
        <v>1083</v>
      </c>
    </row>
    <row r="24" spans="1:7" s="333" customFormat="1" ht="13.5" customHeight="1">
      <c r="A24" s="384" t="s">
        <v>1046</v>
      </c>
      <c r="B24" s="357" t="s">
        <v>1084</v>
      </c>
      <c r="C24" s="385">
        <f ca="1">ROUND(IF('数据-取费表'!B22&lt;=1,C19*F22*('数据-取费表'!B19/2+'数据-取费表'!B21),C19*(POWER((1+F22),('数据-取费表'!B19/2+'数据-取费表'!B21))-1)),0)</f>
        <v>0</v>
      </c>
      <c r="D24" s="386"/>
      <c r="E24" s="386"/>
      <c r="F24" s="387"/>
      <c r="G24" s="388" t="s">
        <v>1085</v>
      </c>
    </row>
    <row r="25" spans="1:7" s="333" customFormat="1" ht="24">
      <c r="A25" s="384" t="s">
        <v>1048</v>
      </c>
      <c r="B25" s="357" t="s">
        <v>1086</v>
      </c>
      <c r="C25" s="385">
        <f ca="1">ROUND(IF('数据-取费表'!B22&lt;=1,C20*F22*'数据-取费表'!B23/2,C20*(POWER((1+F22),'数据-取费表'!B23/2)-1)),0)</f>
        <v>12</v>
      </c>
      <c r="D25" s="386"/>
      <c r="E25" s="389"/>
      <c r="F25" s="387"/>
      <c r="G25" s="390" t="s">
        <v>1087</v>
      </c>
    </row>
    <row r="26" spans="1:7" s="333" customFormat="1">
      <c r="A26" s="384" t="s">
        <v>1088</v>
      </c>
      <c r="B26" s="357" t="s">
        <v>1089</v>
      </c>
      <c r="C26" s="386">
        <f ca="1">ROUND(IF('数据-取费表'!B22&lt;=1,F21*F22*'数据-取费表'!B23/2,F21*(POWER((1+F22),'数据-取费表'!B23/2)-1)),4)</f>
        <v>5.9999999999999995E-4</v>
      </c>
      <c r="D26" s="386"/>
      <c r="E26" s="389"/>
      <c r="F26" s="387"/>
      <c r="G26" s="391"/>
    </row>
    <row r="27" spans="1:7" s="333" customFormat="1" ht="24.75">
      <c r="A27" s="351" t="s">
        <v>1090</v>
      </c>
      <c r="B27" s="392" t="s">
        <v>1091</v>
      </c>
      <c r="C27" s="393">
        <f ca="1">C28</f>
        <v>1923</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ROUND((C5+C19+C20)*F27*'数据-取费表'!B21/'数据-取费表'!B20,0)</f>
        <v>1923</v>
      </c>
      <c r="D28" s="379"/>
      <c r="E28" s="380"/>
      <c r="F28" s="394"/>
      <c r="G28" s="395"/>
    </row>
    <row r="29" spans="1:7" s="333" customFormat="1" ht="13.5" customHeight="1">
      <c r="A29" s="384" t="s">
        <v>1046</v>
      </c>
      <c r="B29" s="396" t="s">
        <v>1094</v>
      </c>
      <c r="C29" s="386">
        <f ca="1">ROUND(C21*F27*'数据-取费表'!B21/'数据-取费表'!B20,4)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16825</v>
      </c>
      <c r="D31" s="399"/>
      <c r="E31" s="353"/>
      <c r="F31" s="400"/>
      <c r="G31" s="381" t="s">
        <v>1099</v>
      </c>
    </row>
    <row r="32" spans="1:7" s="332" customFormat="1" ht="15.75">
      <c r="A32" s="401" t="s">
        <v>1100</v>
      </c>
      <c r="B32" s="402"/>
      <c r="C32" s="402"/>
      <c r="D32" s="402"/>
      <c r="E32" s="402"/>
      <c r="F32" s="402"/>
      <c r="G32" s="403"/>
    </row>
    <row r="33" spans="1:7" s="333" customFormat="1" ht="13.5" customHeight="1">
      <c r="A33" s="351" t="s">
        <v>1040</v>
      </c>
      <c r="B33" s="352" t="s">
        <v>1101</v>
      </c>
      <c r="C33" s="404">
        <f ca="1">SUM(C34:C38)</f>
        <v>31</v>
      </c>
      <c r="D33" s="376"/>
      <c r="E33" s="354"/>
      <c r="F33" s="389"/>
      <c r="G33" s="381"/>
    </row>
    <row r="34" spans="1:7" s="335" customFormat="1" ht="13.5" customHeight="1">
      <c r="A34" s="384" t="s">
        <v>1044</v>
      </c>
      <c r="B34" s="357" t="s">
        <v>1102</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1103</v>
      </c>
    </row>
    <row r="35" spans="1:7" ht="13.5" customHeight="1">
      <c r="A35" s="384" t="s">
        <v>1046</v>
      </c>
      <c r="B35" s="357" t="s">
        <v>1104</v>
      </c>
      <c r="C35" s="362">
        <f ca="1">ROUND(C34*F35,0)</f>
        <v>1</v>
      </c>
      <c r="D35" s="362"/>
      <c r="E35" s="362"/>
      <c r="F35" s="406">
        <f>'数据-取费表'!B33</f>
        <v>0.05</v>
      </c>
      <c r="G35" s="361" t="s">
        <v>1105</v>
      </c>
    </row>
    <row r="36" spans="1:7" ht="24">
      <c r="A36" s="384" t="s">
        <v>1048</v>
      </c>
      <c r="B36" s="357" t="s">
        <v>1106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1107</v>
      </c>
    </row>
    <row r="37" spans="1:7" s="335" customFormat="1" ht="13.5" customHeight="1">
      <c r="A37" s="384" t="s">
        <v>1088</v>
      </c>
      <c r="B37" s="357" t="s">
        <v>1108</v>
      </c>
      <c r="C37" s="397">
        <f ca="1">ROUND(E37*D37*F34/10000,0)</f>
        <v>1</v>
      </c>
      <c r="D37" s="359">
        <f ca="1">D19</f>
        <v>62.23</v>
      </c>
      <c r="E37" s="397">
        <f>'数据-取费表'!B35</f>
        <v>200</v>
      </c>
      <c r="F37" s="406"/>
      <c r="G37" s="408" t="s">
        <v>1109</v>
      </c>
    </row>
    <row r="38" spans="1:7" ht="13.5" customHeight="1">
      <c r="A38" s="384" t="s">
        <v>1110</v>
      </c>
      <c r="B38" s="357" t="s">
        <v>976</v>
      </c>
      <c r="C38" s="362">
        <f ca="1">ROUND(C34*F38,0)</f>
        <v>1</v>
      </c>
      <c r="D38" s="362"/>
      <c r="E38" s="362"/>
      <c r="F38" s="406">
        <f>'数据-取费表'!B36</f>
        <v>0.02</v>
      </c>
      <c r="G38" s="361" t="s">
        <v>1105</v>
      </c>
    </row>
    <row r="39" spans="1:7" s="333" customFormat="1" ht="13.5" customHeight="1">
      <c r="A39" s="351" t="s">
        <v>1071</v>
      </c>
      <c r="B39" s="352" t="s">
        <v>1074</v>
      </c>
      <c r="C39" s="376">
        <f ca="1">ROUND(C33*F20,0)</f>
        <v>1</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ROUND(IF('数据-取费表'!B22&lt;=1,C33*F22*'数据-取费表'!B21/2,C33*(POWER((1+F22),'数据-取费表'!B21/2)-1)),0)</f>
        <v>1</v>
      </c>
      <c r="D42" s="386"/>
      <c r="E42" s="386"/>
      <c r="F42" s="387"/>
      <c r="G42" s="3357" t="s">
        <v>1114</v>
      </c>
    </row>
    <row r="43" spans="1:7" ht="13.5" customHeight="1">
      <c r="A43" s="384" t="s">
        <v>1046</v>
      </c>
      <c r="B43" s="357" t="s">
        <v>1084</v>
      </c>
      <c r="C43" s="386">
        <f ca="1">ROUND(IF('数据-取费表'!B22&lt;=1,C39*F22*'数据-取费表'!B21/2,C39*(POWER((1+F22),'数据-取费表'!B21/2)-1)),0)</f>
        <v>0</v>
      </c>
      <c r="D43" s="386"/>
      <c r="E43" s="386"/>
      <c r="F43" s="387"/>
      <c r="G43" s="3358"/>
    </row>
    <row r="44" spans="1:7" ht="13.5" customHeight="1">
      <c r="A44" s="384" t="s">
        <v>1048</v>
      </c>
      <c r="B44" s="357" t="s">
        <v>1086</v>
      </c>
      <c r="C44" s="386">
        <f ca="1">ROUND(IF('数据-取费表'!B22&lt;=1,C40*F22*'数据-取费表'!B21/2,C40*(POWER((1+F22),'数据-取费表'!B21/2)-1)),4)</f>
        <v>5.9999999999999995E-4</v>
      </c>
      <c r="D44" s="386"/>
      <c r="E44" s="386"/>
      <c r="F44" s="387"/>
      <c r="G44" s="3359"/>
    </row>
    <row r="45" spans="1:7" s="333" customFormat="1" ht="13.5" customHeight="1">
      <c r="A45" s="351" t="s">
        <v>1080</v>
      </c>
      <c r="B45" s="392" t="s">
        <v>1091</v>
      </c>
      <c r="C45" s="393">
        <f ca="1">C46</f>
        <v>5</v>
      </c>
      <c r="D45" s="379">
        <f ca="1">C47</f>
        <v>3.0000000000000001E-3</v>
      </c>
      <c r="E45" s="380" t="s">
        <v>1112</v>
      </c>
      <c r="F45" s="394">
        <f ca="1">F27</f>
        <v>0.15</v>
      </c>
      <c r="G45" s="395" t="s">
        <v>1115</v>
      </c>
    </row>
    <row r="46" spans="1:7" s="333" customFormat="1" ht="13.5" customHeight="1">
      <c r="A46" s="384" t="s">
        <v>1044</v>
      </c>
      <c r="B46" s="396" t="s">
        <v>1116</v>
      </c>
      <c r="C46" s="397">
        <f ca="1">ROUND((C33+C39)*F27,0)</f>
        <v>5</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379">
        <f>ROUND(F30/(1+'数据-取费表'!C42),4)</f>
        <v>5.2400000000000002E-2</v>
      </c>
      <c r="D48" s="380" t="s">
        <v>1112</v>
      </c>
      <c r="E48" s="376"/>
      <c r="F48" s="383">
        <f>F30</f>
        <v>5.5E-2</v>
      </c>
      <c r="G48" s="381" t="s">
        <v>1118</v>
      </c>
    </row>
    <row r="49" spans="1:7" ht="16.5" customHeight="1">
      <c r="A49" s="351" t="s">
        <v>1095</v>
      </c>
      <c r="B49" s="352" t="s">
        <v>1119</v>
      </c>
      <c r="C49" s="376">
        <f ca="1">ROUND((C33+C39+C41+C45)/(1-C40-D41-D45-C48),0)</f>
        <v>41</v>
      </c>
      <c r="D49" s="376"/>
      <c r="E49" s="376"/>
      <c r="F49" s="411"/>
      <c r="G49" s="381" t="s">
        <v>1120</v>
      </c>
    </row>
    <row r="50" spans="1:7" s="335" customFormat="1" ht="24">
      <c r="A50" s="351" t="s">
        <v>1121</v>
      </c>
      <c r="B50" s="352" t="s">
        <v>1122</v>
      </c>
      <c r="C50" s="376"/>
      <c r="D50" s="376"/>
      <c r="E50" s="376"/>
      <c r="F50" s="411">
        <f>IF('数据-取费表'!B24=0,'数据-取费表'!N16,1)</f>
        <v>0.85</v>
      </c>
      <c r="G50" s="395" t="s">
        <v>1123</v>
      </c>
    </row>
    <row r="51" spans="1:7" ht="16.5" customHeight="1">
      <c r="A51" s="351" t="s">
        <v>1124</v>
      </c>
      <c r="B51" s="352" t="s">
        <v>1125</v>
      </c>
      <c r="C51" s="376">
        <f ca="1">ROUND(C49*F50,0)</f>
        <v>35</v>
      </c>
      <c r="D51" s="376"/>
      <c r="E51" s="376"/>
      <c r="F51" s="411"/>
      <c r="G51" s="381" t="s">
        <v>1126</v>
      </c>
    </row>
    <row r="52" spans="1:7" s="332" customFormat="1" ht="15.75">
      <c r="A52" s="412" t="s">
        <v>1127</v>
      </c>
      <c r="B52" s="413"/>
      <c r="C52" s="414">
        <f ca="1">C31+C51</f>
        <v>16860</v>
      </c>
      <c r="D52" s="413"/>
      <c r="E52" s="413"/>
      <c r="F52" s="413"/>
      <c r="G52" s="415"/>
    </row>
    <row r="55" spans="1:7" ht="15">
      <c r="B55" s="416" t="s">
        <v>1128</v>
      </c>
      <c r="C55" s="417"/>
    </row>
    <row r="56" spans="1:7">
      <c r="B56" s="418" t="s">
        <v>1129</v>
      </c>
      <c r="C56" s="420">
        <f ca="1">1-C57</f>
        <v>0.998</v>
      </c>
    </row>
    <row r="57" spans="1:7">
      <c r="B57" s="418" t="s">
        <v>1130</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5" t="str">
        <f>项目基本情况!B1</f>
        <v>北京市房地产抵押价值预评估</v>
      </c>
      <c r="C37" s="3175"/>
      <c r="D37" s="3175"/>
      <c r="E37" s="3175"/>
      <c r="F37" s="3175"/>
      <c r="G37" s="3175"/>
      <c r="H37" s="3175"/>
      <c r="I37" s="317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2212"/>
      <c r="C1" s="2213" t="s">
        <v>1131</v>
      </c>
      <c r="D1" s="341"/>
      <c r="E1" s="341"/>
      <c r="F1" s="341"/>
      <c r="G1" s="2214">
        <f>MATCH(B1,'数据-取费表'!A6:A16,0)+5</f>
        <v>7</v>
      </c>
      <c r="H1" s="1532" t="str">
        <f>IF(ISERROR(FIND("住宅",B1)),"非住宅","住宅")</f>
        <v>非住宅</v>
      </c>
    </row>
    <row r="2" spans="1:8" s="331" customFormat="1" ht="18" customHeight="1">
      <c r="A2" s="343" t="s">
        <v>1035</v>
      </c>
      <c r="B2" s="2215" t="e">
        <f ca="1">ROUND(IF(D2="——",C52/10000,C52/10000-E2),4)</f>
        <v>#DIV/0!</v>
      </c>
      <c r="C2" s="342" t="s">
        <v>1036</v>
      </c>
      <c r="D2" s="2216" t="s">
        <v>124</v>
      </c>
      <c r="E2" s="2217" t="e">
        <f ca="1">SUMIF(INDIRECT("'"&amp;G2&amp;"'"&amp;"!A:A"),"承租人权益价值",INDIRECT("'"&amp;G2&amp;"'"&amp;"!c:c"))</f>
        <v>#REF!</v>
      </c>
      <c r="F2" s="2218" t="s">
        <v>1036</v>
      </c>
      <c r="G2" s="2219"/>
    </row>
    <row r="3" spans="1:8" s="331" customFormat="1" ht="18" customHeight="1">
      <c r="A3" s="346" t="s">
        <v>1037</v>
      </c>
      <c r="B3" s="347" t="e">
        <f ca="1">ROUND(B2*10000/(IF(B1="",'数据-汇总表'!E3,INDIRECT("'数据-取费表'!k"&amp;$G$1))),0)</f>
        <v>#DIV/0!</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t="e">
        <f ca="1">C6+C7+C8</f>
        <v>#DIV/0!</v>
      </c>
      <c r="D5" s="353" t="s">
        <v>1042</v>
      </c>
      <c r="E5" s="354" t="s">
        <v>1043</v>
      </c>
      <c r="F5" s="354" t="s">
        <v>940</v>
      </c>
      <c r="G5" s="355"/>
    </row>
    <row r="6" spans="1:8" s="333" customFormat="1" ht="13.5" customHeight="1">
      <c r="A6" s="356" t="s">
        <v>1044</v>
      </c>
      <c r="B6" s="357" t="s">
        <v>1045</v>
      </c>
      <c r="C6" s="358" t="e">
        <f>ROUND(基准地价修正!T6*基准地价修正!U6,0)</f>
        <v>#DIV/0!</v>
      </c>
      <c r="D6" s="359"/>
      <c r="E6" s="360"/>
      <c r="F6" s="360"/>
      <c r="G6" s="361"/>
    </row>
    <row r="7" spans="1:8" s="333" customFormat="1" ht="13.5" customHeight="1">
      <c r="A7" s="356" t="s">
        <v>1046</v>
      </c>
      <c r="B7" s="357" t="s">
        <v>1047</v>
      </c>
      <c r="C7" s="362" t="e">
        <f>ROUND(C6*F7,0)</f>
        <v>#DIV/0!</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12446</v>
      </c>
      <c r="D8" s="364"/>
      <c r="E8" s="362"/>
      <c r="F8" s="363"/>
      <c r="G8" s="2220" t="s">
        <v>1132</v>
      </c>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1053</v>
      </c>
      <c r="B10" s="367" t="s">
        <v>1054</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1055</v>
      </c>
      <c r="B11" s="357" t="s">
        <v>1056</v>
      </c>
      <c r="C11" s="353"/>
      <c r="D11" s="360"/>
      <c r="E11" s="360"/>
      <c r="F11" s="360"/>
      <c r="G11" s="361"/>
    </row>
    <row r="12" spans="1:8" s="333" customFormat="1" ht="13.5" hidden="1" customHeight="1">
      <c r="A12" s="371" t="s">
        <v>1057</v>
      </c>
      <c r="B12" s="357" t="s">
        <v>976</v>
      </c>
      <c r="C12" s="353">
        <v>0</v>
      </c>
      <c r="D12" s="360"/>
      <c r="E12" s="372"/>
      <c r="F12" s="363">
        <v>3.0499999999999999E-2</v>
      </c>
      <c r="G12" s="361"/>
    </row>
    <row r="13" spans="1:8" s="333" customFormat="1" ht="13.5" hidden="1" customHeight="1">
      <c r="A13" s="371" t="s">
        <v>1058</v>
      </c>
      <c r="B13" s="357" t="s">
        <v>1059</v>
      </c>
      <c r="C13" s="353"/>
      <c r="D13" s="360"/>
      <c r="E13" s="360"/>
      <c r="F13" s="360"/>
      <c r="G13" s="361"/>
    </row>
    <row r="14" spans="1:8" s="333" customFormat="1" ht="13.5" hidden="1" customHeight="1">
      <c r="A14" s="371" t="s">
        <v>1060</v>
      </c>
      <c r="B14" s="357" t="s">
        <v>1049</v>
      </c>
      <c r="C14" s="353"/>
      <c r="D14" s="360"/>
      <c r="E14" s="360"/>
      <c r="F14" s="360"/>
      <c r="G14" s="361" t="s">
        <v>1061</v>
      </c>
    </row>
    <row r="15" spans="1:8" s="333" customFormat="1" ht="13.5" hidden="1" customHeight="1">
      <c r="A15" s="371" t="s">
        <v>1062</v>
      </c>
      <c r="B15" s="357" t="s">
        <v>1063</v>
      </c>
      <c r="C15" s="362"/>
      <c r="D15" s="360"/>
      <c r="E15" s="360"/>
      <c r="F15" s="360"/>
      <c r="G15" s="361" t="s">
        <v>1064</v>
      </c>
    </row>
    <row r="16" spans="1:8"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t="str">
        <f>IF(G19="已包含在土地取得成本中","0",ROUND(D19*E19,0))</f>
        <v>0</v>
      </c>
      <c r="D19" s="354">
        <f ca="1">D9+D10</f>
        <v>62.23</v>
      </c>
      <c r="E19" s="353">
        <f>'数据-取费表'!B31</f>
        <v>200</v>
      </c>
      <c r="F19" s="375"/>
      <c r="G19" s="2220" t="s">
        <v>1133</v>
      </c>
    </row>
    <row r="20" spans="1:7" s="333" customFormat="1" ht="13.5" customHeight="1">
      <c r="A20" s="351" t="s">
        <v>1073</v>
      </c>
      <c r="B20" s="352" t="s">
        <v>1074</v>
      </c>
      <c r="C20" s="376" t="e">
        <f ca="1">ROUND((C5+C19)*F20,0)</f>
        <v>#DIV/0!</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76" t="e">
        <f ca="1">ROUND(SUM(C23:C25),0)</f>
        <v>#DIV/0!</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6" t="e">
        <f ca="1">ROUND(IF('数据-取费表'!B22&lt;=1,C5*F22*'数据-取费表'!B22,C5*(POWER((1+F22),'数据-取费表'!B22)-1)),0)</f>
        <v>#DIV/0!</v>
      </c>
      <c r="D23" s="386"/>
      <c r="E23" s="386"/>
      <c r="F23" s="387"/>
      <c r="G23" s="388" t="s">
        <v>1083</v>
      </c>
    </row>
    <row r="24" spans="1:7" s="333" customFormat="1" ht="13.5" customHeight="1">
      <c r="A24" s="384" t="s">
        <v>1046</v>
      </c>
      <c r="B24" s="357" t="s">
        <v>1084</v>
      </c>
      <c r="C24" s="386">
        <f ca="1">ROUND(IF('数据-取费表'!B22&lt;=1,C19*F22*('数据-取费表'!B19/2+'数据-取费表'!B20),C19*(POWER((1+F22),('数据-取费表'!B19/2+'数据-取费表'!B20))-1)),0)</f>
        <v>0</v>
      </c>
      <c r="D24" s="386"/>
      <c r="E24" s="386"/>
      <c r="F24" s="387"/>
      <c r="G24" s="388" t="s">
        <v>1085</v>
      </c>
    </row>
    <row r="25" spans="1:7" s="333" customFormat="1" ht="24">
      <c r="A25" s="384" t="s">
        <v>1048</v>
      </c>
      <c r="B25" s="357" t="s">
        <v>1086</v>
      </c>
      <c r="C25" s="386" t="e">
        <f ca="1">ROUND(IF('数据-取费表'!B22&lt;=1,C20*F22*'数据-取费表'!B22/2,C20*(POWER((1+F22),'数据-取费表'!B22/2)-1)),0)</f>
        <v>#DIV/0!</v>
      </c>
      <c r="D25" s="386"/>
      <c r="E25" s="389"/>
      <c r="F25" s="387"/>
      <c r="G25" s="390" t="s">
        <v>1087</v>
      </c>
    </row>
    <row r="26" spans="1:7" s="333" customFormat="1">
      <c r="A26" s="384" t="s">
        <v>1088</v>
      </c>
      <c r="B26" s="357" t="s">
        <v>1089</v>
      </c>
      <c r="C26" s="386">
        <f ca="1">ROUND(IF('数据-取费表'!B22&lt;=1,F21*F22*'数据-取费表'!B22/2,F21*(POWER((1+F22),'数据-取费表'!B22/2)-1)),4)</f>
        <v>5.9999999999999995E-4</v>
      </c>
      <c r="D26" s="386"/>
      <c r="E26" s="389"/>
      <c r="F26" s="387"/>
      <c r="G26" s="391"/>
    </row>
    <row r="27" spans="1:7" s="333" customFormat="1" ht="24.75">
      <c r="A27" s="351" t="s">
        <v>1090</v>
      </c>
      <c r="B27" s="392" t="s">
        <v>1091</v>
      </c>
      <c r="C27" s="393" t="e">
        <f ca="1">C28</f>
        <v>#DIV/0!</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t="e">
        <f ca="1">ROUND((C5+C19+C20)*F27,0)</f>
        <v>#DIV/0!</v>
      </c>
      <c r="D28" s="379"/>
      <c r="E28" s="380"/>
      <c r="F28" s="394"/>
      <c r="G28" s="395"/>
    </row>
    <row r="29" spans="1:7" s="333" customFormat="1" ht="13.5" customHeight="1">
      <c r="A29" s="384" t="s">
        <v>1046</v>
      </c>
      <c r="B29" s="396" t="s">
        <v>1094</v>
      </c>
      <c r="C29" s="386">
        <f ca="1">ROUND(C21*F27,4)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t="e">
        <f ca="1">ROUND((C5+C19+C20+C22+C27)/(1-C21-D22-D27-C30),0)</f>
        <v>#DIV/0!</v>
      </c>
      <c r="D31" s="399"/>
      <c r="E31" s="353"/>
      <c r="F31" s="400"/>
      <c r="G31" s="381" t="s">
        <v>1099</v>
      </c>
    </row>
    <row r="32" spans="1:7" s="332" customFormat="1" ht="15.75">
      <c r="A32" s="401" t="s">
        <v>1134</v>
      </c>
      <c r="B32" s="402"/>
      <c r="C32" s="402"/>
      <c r="D32" s="402"/>
      <c r="E32" s="402"/>
      <c r="F32" s="402"/>
      <c r="G32" s="403"/>
    </row>
    <row r="33" spans="1:7" s="333" customFormat="1" ht="13.5" customHeight="1">
      <c r="A33" s="351" t="s">
        <v>1040</v>
      </c>
      <c r="B33" s="352" t="s">
        <v>1135</v>
      </c>
      <c r="C33" s="404">
        <f ca="1">SUM(C34:C38)</f>
        <v>312084</v>
      </c>
      <c r="D33" s="376"/>
      <c r="E33" s="354"/>
      <c r="F33" s="389"/>
      <c r="G33" s="381"/>
    </row>
    <row r="34" spans="1:7" s="335" customFormat="1" ht="13.5" customHeight="1">
      <c r="A34" s="384" t="s">
        <v>1044</v>
      </c>
      <c r="B34" s="357" t="s">
        <v>1102</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1046</v>
      </c>
      <c r="B35" s="357" t="s">
        <v>1104</v>
      </c>
      <c r="C35" s="362">
        <f ca="1">ROUND(C34*F35,0)</f>
        <v>14002</v>
      </c>
      <c r="D35" s="362"/>
      <c r="E35" s="362"/>
      <c r="F35" s="406">
        <f>'数据-取费表'!B33</f>
        <v>0.05</v>
      </c>
      <c r="G35" s="361" t="s">
        <v>1105</v>
      </c>
    </row>
    <row r="36" spans="1:7" ht="24">
      <c r="A36" s="384" t="s">
        <v>1048</v>
      </c>
      <c r="B36" s="357" t="s">
        <v>1106</v>
      </c>
      <c r="C36" s="362">
        <f ca="1">ROUND(IF(B1="",SUM('数据-取费表'!AP6:AP13)*F36,IF(INDIRECT("'数据-取费表'!c"&amp;$G$1)="住宅",INDIRECT("'数据-取费表'!k"&amp;$G$1)*INDIRECT("'数据-取费表'!l"&amp;$G$1)*F36,0)),0)</f>
        <v>0</v>
      </c>
      <c r="D36" s="362"/>
      <c r="E36" s="362"/>
      <c r="F36" s="406">
        <f>'数据-取费表'!B34</f>
        <v>0</v>
      </c>
      <c r="G36" s="407" t="s">
        <v>1107</v>
      </c>
    </row>
    <row r="37" spans="1:7" s="335" customFormat="1" ht="13.5" customHeight="1">
      <c r="A37" s="384" t="s">
        <v>1088</v>
      </c>
      <c r="B37" s="357" t="s">
        <v>1108</v>
      </c>
      <c r="C37" s="397">
        <f ca="1">ROUND(E37*D37,0)</f>
        <v>12446</v>
      </c>
      <c r="D37" s="359">
        <f ca="1">D19</f>
        <v>62.23</v>
      </c>
      <c r="E37" s="397">
        <f>'数据-取费表'!B35</f>
        <v>200</v>
      </c>
      <c r="F37" s="406"/>
      <c r="G37" s="408"/>
    </row>
    <row r="38" spans="1:7" ht="13.5" customHeight="1">
      <c r="A38" s="384" t="s">
        <v>1110</v>
      </c>
      <c r="B38" s="357" t="s">
        <v>976</v>
      </c>
      <c r="C38" s="362">
        <f ca="1">ROUND(C34*F38,0)</f>
        <v>5601</v>
      </c>
      <c r="D38" s="362"/>
      <c r="E38" s="362"/>
      <c r="F38" s="406">
        <f>'数据-取费表'!B36</f>
        <v>0.02</v>
      </c>
      <c r="G38" s="361" t="s">
        <v>1105</v>
      </c>
    </row>
    <row r="39" spans="1:7" s="333" customFormat="1" ht="13.5" customHeight="1">
      <c r="A39" s="351" t="s">
        <v>1071</v>
      </c>
      <c r="B39" s="352" t="s">
        <v>1074</v>
      </c>
      <c r="C39" s="376">
        <f ca="1">ROUND(C33*F20,0)</f>
        <v>9363</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10061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ROUND(IF('数据-取费表'!B22&lt;=1,C33*F22*'数据-取费表'!B20/2,C33*(POWER((1+F22),'数据-取费表'!B20/2)-1)),0)</f>
        <v>9768</v>
      </c>
      <c r="D42" s="386"/>
      <c r="E42" s="386"/>
      <c r="F42" s="387"/>
      <c r="G42" s="3357" t="s">
        <v>1136</v>
      </c>
    </row>
    <row r="43" spans="1:7" ht="13.5" customHeight="1">
      <c r="A43" s="384" t="s">
        <v>1046</v>
      </c>
      <c r="B43" s="357" t="s">
        <v>1084</v>
      </c>
      <c r="C43" s="386">
        <f ca="1">ROUND(IF('数据-取费表'!B22&lt;=1,C39*F22*'数据-取费表'!B20/2,C39*(POWER((1+F22),'数据-取费表'!B20/2)-1)),0)</f>
        <v>293</v>
      </c>
      <c r="D43" s="386"/>
      <c r="E43" s="386"/>
      <c r="F43" s="387"/>
      <c r="G43" s="3358"/>
    </row>
    <row r="44" spans="1:7" ht="13.5" customHeight="1">
      <c r="A44" s="384" t="s">
        <v>1048</v>
      </c>
      <c r="B44" s="357" t="s">
        <v>1086</v>
      </c>
      <c r="C44" s="386">
        <f ca="1">ROUND(IF('数据-取费表'!B22&lt;=1,C40*F22*'数据-取费表'!B20/2,C40*(POWER((1+F22),'数据-取费表'!B20/2)-1)),4)</f>
        <v>5.9999999999999995E-4</v>
      </c>
      <c r="D44" s="386"/>
      <c r="E44" s="386"/>
      <c r="F44" s="387"/>
      <c r="G44" s="3359"/>
    </row>
    <row r="45" spans="1:7" s="333" customFormat="1" ht="13.5" customHeight="1">
      <c r="A45" s="351" t="s">
        <v>1080</v>
      </c>
      <c r="B45" s="392" t="s">
        <v>1091</v>
      </c>
      <c r="C45" s="393">
        <f ca="1">C46</f>
        <v>48217</v>
      </c>
      <c r="D45" s="379">
        <f ca="1">C47</f>
        <v>3.0000000000000001E-3</v>
      </c>
      <c r="E45" s="380" t="s">
        <v>1112</v>
      </c>
      <c r="F45" s="394">
        <f ca="1">F27</f>
        <v>0.15</v>
      </c>
      <c r="G45" s="395" t="s">
        <v>1115</v>
      </c>
    </row>
    <row r="46" spans="1:7" s="333" customFormat="1" ht="13.5" customHeight="1">
      <c r="A46" s="384" t="s">
        <v>1044</v>
      </c>
      <c r="B46" s="396" t="s">
        <v>1116</v>
      </c>
      <c r="C46" s="397">
        <f ca="1">ROUND((C33+C39)*F27,0)</f>
        <v>48217</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409">
        <f>ROUND(F30/(1+'数据-取费表'!C42),4)</f>
        <v>5.2400000000000002E-2</v>
      </c>
      <c r="D48" s="380" t="s">
        <v>1112</v>
      </c>
      <c r="E48" s="376"/>
      <c r="F48" s="383">
        <f>F30</f>
        <v>5.5E-2</v>
      </c>
      <c r="G48" s="381" t="s">
        <v>1118</v>
      </c>
    </row>
    <row r="49" spans="1:7" ht="16.5" customHeight="1">
      <c r="A49" s="351" t="s">
        <v>1095</v>
      </c>
      <c r="B49" s="352" t="s">
        <v>1137</v>
      </c>
      <c r="C49" s="376">
        <f ca="1">ROUND((C33+C39+C41+C45)/(1-C40-D41-D45-C48),0)</f>
        <v>410958</v>
      </c>
      <c r="D49" s="376"/>
      <c r="E49" s="376"/>
      <c r="F49" s="411"/>
      <c r="G49" s="381" t="s">
        <v>1120</v>
      </c>
    </row>
    <row r="50" spans="1:7" s="335" customFormat="1">
      <c r="A50" s="351" t="s">
        <v>1121</v>
      </c>
      <c r="B50" s="352" t="s">
        <v>1122</v>
      </c>
      <c r="C50" s="376"/>
      <c r="D50" s="376"/>
      <c r="E50" s="376"/>
      <c r="F50" s="411">
        <f>IF('数据-取费表'!B24=0,'数据-取费表'!N16,1)</f>
        <v>0.85</v>
      </c>
      <c r="G50" s="395"/>
    </row>
    <row r="51" spans="1:7" ht="16.5" customHeight="1">
      <c r="A51" s="351" t="s">
        <v>1124</v>
      </c>
      <c r="B51" s="352" t="s">
        <v>1138</v>
      </c>
      <c r="C51" s="376">
        <f ca="1">ROUND(C49*F50,0)</f>
        <v>349314</v>
      </c>
      <c r="D51" s="376"/>
      <c r="E51" s="376"/>
      <c r="F51" s="411"/>
      <c r="G51" s="381" t="s">
        <v>1126</v>
      </c>
    </row>
    <row r="52" spans="1:7" s="332" customFormat="1" ht="15.75">
      <c r="A52" s="412" t="s">
        <v>1127</v>
      </c>
      <c r="B52" s="413"/>
      <c r="C52" s="414" t="e">
        <f ca="1">C31+C51</f>
        <v>#DIV/0!</v>
      </c>
      <c r="D52" s="413"/>
      <c r="E52" s="413"/>
      <c r="F52" s="413"/>
      <c r="G52" s="415"/>
    </row>
    <row r="55" spans="1:7" ht="15">
      <c r="B55" s="416" t="s">
        <v>1128</v>
      </c>
      <c r="C55" s="417"/>
    </row>
    <row r="56" spans="1:7">
      <c r="B56" s="418" t="s">
        <v>1129</v>
      </c>
      <c r="C56" s="420" t="e">
        <f ca="1">1-C57</f>
        <v>#DIV/0!</v>
      </c>
    </row>
    <row r="57" spans="1:7">
      <c r="B57" s="418" t="s">
        <v>1130</v>
      </c>
      <c r="C57" s="419"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1139</v>
      </c>
      <c r="B1" s="982"/>
      <c r="C1" s="2130"/>
      <c r="D1" s="2131"/>
      <c r="E1" s="2132"/>
      <c r="F1" s="2132"/>
      <c r="G1" s="2133"/>
      <c r="H1" s="2132"/>
      <c r="I1" s="2132"/>
      <c r="J1" s="2132"/>
      <c r="K1" s="2134">
        <f>MATCH(C1,'数据-取费表'!A6:A16,0)+5</f>
        <v>7</v>
      </c>
    </row>
    <row r="2" spans="1:33" ht="18" customHeight="1">
      <c r="A2" s="343" t="s">
        <v>1035</v>
      </c>
      <c r="B2" s="347">
        <f ca="1">C32</f>
        <v>14326</v>
      </c>
      <c r="C2" s="2135" t="s">
        <v>1140</v>
      </c>
      <c r="D2" s="2135"/>
      <c r="E2" s="2132"/>
      <c r="F2" s="2132"/>
      <c r="G2" s="2132"/>
      <c r="H2" s="2132"/>
      <c r="I2" s="2132"/>
      <c r="J2" s="2132"/>
      <c r="K2" s="2132"/>
    </row>
    <row r="3" spans="1:33" ht="18" customHeight="1">
      <c r="A3" s="346" t="s">
        <v>1037</v>
      </c>
      <c r="B3" s="347">
        <f ca="1">ROUND(B2*10000/IF(C1="",'数据-汇总表'!E3,INDIRECT("'数据-取费表'!K"&amp;$K$1)),0)</f>
        <v>2302105</v>
      </c>
      <c r="C3" s="2135" t="s">
        <v>1141</v>
      </c>
      <c r="D3" s="2135"/>
      <c r="E3" s="2132"/>
      <c r="F3" s="2132"/>
      <c r="G3" s="2132"/>
      <c r="H3" s="2132"/>
      <c r="I3" s="2132"/>
      <c r="J3" s="2132"/>
      <c r="K3" s="2132"/>
    </row>
    <row r="4" spans="1:33" s="2120" customFormat="1" ht="16.5" customHeight="1">
      <c r="A4" s="2136" t="s">
        <v>1142</v>
      </c>
      <c r="B4" s="2137"/>
      <c r="C4" s="2138">
        <f>SUM(C8:K8)</f>
        <v>0</v>
      </c>
      <c r="D4" s="2137"/>
      <c r="E4" s="2137"/>
      <c r="F4" s="2137"/>
      <c r="G4" s="2137"/>
      <c r="H4" s="2137"/>
      <c r="I4" s="2137"/>
      <c r="J4" s="2137"/>
      <c r="K4" s="2139"/>
    </row>
    <row r="5" spans="1:33" s="2121" customFormat="1" ht="15">
      <c r="A5" s="2140" t="s">
        <v>1143</v>
      </c>
      <c r="B5" s="2141" t="s">
        <v>1144</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945</v>
      </c>
      <c r="B6" s="1897" t="s">
        <v>1145</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949</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994</v>
      </c>
      <c r="B8" s="2150" t="s">
        <v>1146</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1147</v>
      </c>
      <c r="B9" s="2137"/>
      <c r="C9" s="2137"/>
      <c r="D9" s="2137"/>
      <c r="E9" s="2137"/>
      <c r="F9" s="2137"/>
      <c r="G9" s="2137"/>
      <c r="H9" s="2137"/>
      <c r="I9" s="2137"/>
      <c r="J9" s="2137"/>
      <c r="K9" s="2139"/>
    </row>
    <row r="10" spans="1:33" s="2122" customFormat="1" ht="13.5" customHeight="1">
      <c r="A10" s="2140" t="s">
        <v>1143</v>
      </c>
      <c r="B10" s="2154" t="s">
        <v>1144</v>
      </c>
      <c r="C10" s="2155" t="s">
        <v>1148</v>
      </c>
      <c r="D10" s="2156" t="s">
        <v>1149</v>
      </c>
      <c r="E10" s="2156" t="s">
        <v>1150</v>
      </c>
      <c r="F10" s="2156" t="s">
        <v>1151</v>
      </c>
      <c r="G10" s="2154"/>
      <c r="H10" s="2157"/>
      <c r="I10" s="2157"/>
      <c r="J10" s="2157"/>
      <c r="K10" s="2158"/>
    </row>
    <row r="11" spans="1:33" s="2123" customFormat="1" ht="13.5" customHeight="1">
      <c r="A11" s="2159" t="s">
        <v>1050</v>
      </c>
      <c r="B11" s="2160" t="s">
        <v>1152</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1053</v>
      </c>
      <c r="B12" s="2160" t="s">
        <v>1153</v>
      </c>
      <c r="C12" s="993">
        <f ca="1">ROUND(C11*F12,0)</f>
        <v>0</v>
      </c>
      <c r="D12" s="2162"/>
      <c r="E12" s="899"/>
      <c r="F12" s="2163">
        <f>'数据-取费表'!B33</f>
        <v>0.05</v>
      </c>
      <c r="G12" s="2154" t="s">
        <v>1154</v>
      </c>
      <c r="H12" s="2157"/>
      <c r="I12" s="2157"/>
      <c r="J12" s="2157"/>
      <c r="K12" s="2158"/>
    </row>
    <row r="13" spans="1:33" s="2123" customFormat="1" ht="13.5" customHeight="1">
      <c r="A13" s="2159" t="s">
        <v>1155</v>
      </c>
      <c r="B13" s="2160" t="s">
        <v>1156</v>
      </c>
      <c r="C13" s="993">
        <f ca="1">ROUND(IF(C1="",SUMIF('数据-取费表'!C:C,"住宅",'数据-取费表'!P:P)*F13,IF(INDIRECT("'数据-取费表'!c"&amp;$K$1)="住宅",INDIRECT("'数据-取费表'!P"&amp;$K$1)*F13,0)),0)</f>
        <v>0</v>
      </c>
      <c r="D13" s="2164"/>
      <c r="E13" s="899"/>
      <c r="F13" s="2163">
        <f>'数据-取费表'!B34</f>
        <v>0</v>
      </c>
      <c r="G13" s="2154" t="s">
        <v>1157</v>
      </c>
      <c r="H13" s="2157"/>
      <c r="I13" s="2157"/>
      <c r="J13" s="2157"/>
      <c r="K13" s="2158"/>
    </row>
    <row r="14" spans="1:33" s="2124" customFormat="1" ht="13.5" customHeight="1">
      <c r="A14" s="2159" t="s">
        <v>1158</v>
      </c>
      <c r="B14" s="2160" t="s">
        <v>1159</v>
      </c>
      <c r="C14" s="993">
        <f ca="1">ROUND(D14*E14*F11/10000,0)</f>
        <v>0</v>
      </c>
      <c r="D14" s="2164">
        <f ca="1">IF(C1="",'数据-汇总表'!E3,INDIRECT("'数据-取费表'!K"&amp;$K$1)+INDIRECT("'数据-取费表'!S"&amp;$K$1))</f>
        <v>62.23</v>
      </c>
      <c r="E14" s="993">
        <f>'数据-取费表'!B35</f>
        <v>200</v>
      </c>
      <c r="F14" s="2165"/>
      <c r="G14" s="2154" t="s">
        <v>1160</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1161</v>
      </c>
      <c r="B15" s="2160" t="s">
        <v>1162</v>
      </c>
      <c r="C15" s="2166">
        <f ca="1">ROUND(C11*F15,0)</f>
        <v>0</v>
      </c>
      <c r="D15" s="2167"/>
      <c r="E15" s="2166"/>
      <c r="F15" s="2163">
        <f>'数据-取费表'!B36</f>
        <v>0.02</v>
      </c>
      <c r="G15" s="1897" t="s">
        <v>1163</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968</v>
      </c>
      <c r="B16" s="2160" t="s">
        <v>1164</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972</v>
      </c>
      <c r="B17" s="2160" t="s">
        <v>1165</v>
      </c>
      <c r="C17" s="993">
        <f ca="1">ROUND(D17*E17/10000,0)</f>
        <v>0</v>
      </c>
      <c r="D17" s="2164">
        <f ca="1">D14</f>
        <v>62.23</v>
      </c>
      <c r="E17" s="993">
        <f>'数据-取费表'!B32</f>
        <v>0</v>
      </c>
      <c r="F17" s="2167"/>
      <c r="G17" s="1897" t="s">
        <v>1166</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1167</v>
      </c>
      <c r="B18" s="2160" t="s">
        <v>1168</v>
      </c>
      <c r="C18" s="993">
        <f ca="1">C19+C20-IF(C1="",'数据-取费表'!B29,IF(G18="已全部缴纳",C19+C20,H18))</f>
        <v>-12445</v>
      </c>
      <c r="D18" s="2164"/>
      <c r="E18" s="993"/>
      <c r="F18" s="2165"/>
      <c r="G18" s="2169"/>
      <c r="H18" s="2170"/>
      <c r="I18" s="2171" t="s">
        <v>1169</v>
      </c>
      <c r="J18" s="1882"/>
      <c r="K18" s="1883"/>
    </row>
    <row r="19" spans="1:33" s="2123" customFormat="1" ht="13.5" customHeight="1">
      <c r="A19" s="2159" t="s">
        <v>1050</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1053</v>
      </c>
      <c r="B20" s="2160" t="s">
        <v>1170</v>
      </c>
      <c r="C20" s="993">
        <f ca="1">ROUND(D20*E20/10000,0)</f>
        <v>1</v>
      </c>
      <c r="D20" s="2164">
        <f ca="1">IF(C1="",'数据-汇总表'!E6,IF(INDIRECT("'数据-取费表'!c"&amp;$K$1)="住宅",INDIRECT("'数据-取费表'!s"&amp;$K$1),INDIRECT("'数据-取费表'!k"&amp;$K$1)+INDIRECT("'数据-取费表'!s"&amp;$K$1)))</f>
        <v>62.23</v>
      </c>
      <c r="E20" s="993">
        <f>'数据-取费表'!B28</f>
        <v>200</v>
      </c>
      <c r="F20" s="2165"/>
      <c r="G20" s="1881"/>
      <c r="H20" s="2173"/>
      <c r="I20" s="2173"/>
      <c r="J20" s="2173"/>
      <c r="K20" s="2174"/>
    </row>
    <row r="21" spans="1:33" s="2123" customFormat="1" ht="13.5" customHeight="1">
      <c r="A21" s="2144" t="s">
        <v>945</v>
      </c>
      <c r="B21" s="2175" t="s">
        <v>1171</v>
      </c>
      <c r="C21" s="2176">
        <f ca="1">C16+C17+C18</f>
        <v>-12445</v>
      </c>
      <c r="D21" s="2177"/>
      <c r="E21" s="2178"/>
      <c r="F21" s="2178"/>
      <c r="G21" s="1897" t="s">
        <v>1172</v>
      </c>
      <c r="H21" s="1882"/>
      <c r="I21" s="1882"/>
      <c r="J21" s="1882"/>
      <c r="K21" s="1883"/>
    </row>
    <row r="22" spans="1:33" s="2123" customFormat="1" ht="13.5" customHeight="1">
      <c r="A22" s="2144" t="s">
        <v>949</v>
      </c>
      <c r="B22" s="2175" t="s">
        <v>1173</v>
      </c>
      <c r="C22" s="2176">
        <f ca="1">ROUND(C21*F22,0)</f>
        <v>-373</v>
      </c>
      <c r="D22" s="2178"/>
      <c r="E22" s="2178"/>
      <c r="F22" s="2179">
        <f>'数据-取费表'!B37</f>
        <v>0.03</v>
      </c>
      <c r="G22" s="2154" t="s">
        <v>1174</v>
      </c>
      <c r="H22" s="2157"/>
      <c r="I22" s="2157"/>
      <c r="J22" s="2157"/>
      <c r="K22" s="2158"/>
    </row>
    <row r="23" spans="1:33" s="2123" customFormat="1" ht="13.5" customHeight="1">
      <c r="A23" s="2144" t="s">
        <v>994</v>
      </c>
      <c r="B23" s="2175" t="s">
        <v>1175</v>
      </c>
      <c r="C23" s="2176">
        <f ca="1">ROUND(C4*F23*F11,0)</f>
        <v>0</v>
      </c>
      <c r="D23" s="2178"/>
      <c r="E23" s="2178"/>
      <c r="F23" s="2179">
        <f>'数据-取费表'!B38</f>
        <v>0.02</v>
      </c>
      <c r="G23" s="2154" t="s">
        <v>1176</v>
      </c>
      <c r="H23" s="2157"/>
      <c r="I23" s="2157"/>
      <c r="J23" s="2157"/>
      <c r="K23" s="2158"/>
    </row>
    <row r="24" spans="1:33" s="2123" customFormat="1" ht="13.5" customHeight="1">
      <c r="A24" s="2144" t="s">
        <v>997</v>
      </c>
      <c r="B24" s="2175" t="s">
        <v>1177</v>
      </c>
      <c r="C24" s="2180">
        <f>ROUND(F24/(1+'数据-取费表'!C42),4)</f>
        <v>2.9000000000000001E-2</v>
      </c>
      <c r="D24" s="2178" t="s">
        <v>1178</v>
      </c>
      <c r="E24" s="2178"/>
      <c r="F24" s="2179">
        <f>IF(项目基本情况!B8="出让",0,'数据-取费表'!B48+'数据-取费表'!B49)</f>
        <v>3.0499999999999999E-2</v>
      </c>
      <c r="G24" s="2154" t="s">
        <v>1179</v>
      </c>
      <c r="H24" s="2181"/>
      <c r="I24" s="2181"/>
      <c r="J24" s="2181"/>
      <c r="K24" s="2182"/>
    </row>
    <row r="25" spans="1:33" s="2123" customFormat="1" ht="13.5" customHeight="1">
      <c r="A25" s="2144" t="s">
        <v>1001</v>
      </c>
      <c r="B25" s="2177" t="s">
        <v>1180</v>
      </c>
      <c r="C25" s="2183">
        <f ca="1">C27</f>
        <v>0</v>
      </c>
      <c r="D25" s="2180">
        <f ca="1">C26</f>
        <v>0</v>
      </c>
      <c r="E25" s="2184" t="s">
        <v>1178</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968</v>
      </c>
      <c r="B26" s="2186" t="s">
        <v>1181</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972</v>
      </c>
      <c r="B27" s="2186" t="s">
        <v>1182</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1002</v>
      </c>
      <c r="B28" s="2193" t="s">
        <v>1183</v>
      </c>
      <c r="C28" s="2194">
        <f ca="1">C30</f>
        <v>-1923</v>
      </c>
      <c r="D28" s="2180">
        <f ca="1">C29</f>
        <v>0</v>
      </c>
      <c r="E28" s="2184" t="s">
        <v>1178</v>
      </c>
      <c r="F28" s="1243">
        <f ca="1">IF(C1="",'数据-取费表'!Q16,INDIRECT("'数据-取费表'!q"&amp;$K$1))</f>
        <v>0.15</v>
      </c>
      <c r="G28" s="2195"/>
      <c r="H28" s="2181"/>
      <c r="I28" s="2181"/>
      <c r="J28" s="2181"/>
      <c r="K28" s="2182"/>
    </row>
    <row r="29" spans="1:33" s="2127" customFormat="1" ht="13.5" customHeight="1">
      <c r="A29" s="2159" t="s">
        <v>968</v>
      </c>
      <c r="B29" s="2196" t="s">
        <v>1184</v>
      </c>
      <c r="C29" s="2188">
        <f ca="1">ROUND((1+C24)*F28*'数据-取费表'!B24/'数据-取费表'!B20,4)</f>
        <v>0</v>
      </c>
      <c r="D29" s="2188"/>
      <c r="E29" s="2189"/>
      <c r="F29" s="2197"/>
      <c r="G29" s="1897" t="s">
        <v>1185</v>
      </c>
      <c r="H29" s="1882"/>
      <c r="I29" s="1882"/>
      <c r="J29" s="1882"/>
      <c r="K29" s="1883"/>
    </row>
    <row r="30" spans="1:33" s="2127" customFormat="1" ht="13.5" customHeight="1">
      <c r="A30" s="2159" t="s">
        <v>972</v>
      </c>
      <c r="B30" s="2196" t="s">
        <v>1186</v>
      </c>
      <c r="C30" s="2198">
        <f ca="1">ROUND((C21+C22+C23)*F28,0)</f>
        <v>-1923</v>
      </c>
      <c r="D30" s="2188"/>
      <c r="E30" s="2189"/>
      <c r="F30" s="2197"/>
      <c r="G30" s="1897"/>
      <c r="H30" s="1882"/>
      <c r="I30" s="1882"/>
      <c r="J30" s="1882"/>
      <c r="K30" s="1883"/>
    </row>
    <row r="31" spans="1:33" s="2123" customFormat="1" ht="13.5" customHeight="1">
      <c r="A31" s="2199" t="s">
        <v>1187</v>
      </c>
      <c r="B31" s="2200" t="s">
        <v>1188</v>
      </c>
      <c r="C31" s="2201">
        <f>ROUND(C4*F31/(1+'数据-取费表'!C42),0)</f>
        <v>0</v>
      </c>
      <c r="D31" s="2202"/>
      <c r="E31" s="2203"/>
      <c r="F31" s="2204">
        <f>'数据-取费表'!B41</f>
        <v>5.5E-2</v>
      </c>
      <c r="G31" s="2205" t="s">
        <v>1189</v>
      </c>
      <c r="H31" s="2206"/>
      <c r="I31" s="2206"/>
      <c r="J31" s="2206"/>
      <c r="K31" s="2207"/>
    </row>
    <row r="32" spans="1:33" s="2122" customFormat="1" ht="13.5" customHeight="1">
      <c r="A32" s="1246" t="s">
        <v>1190</v>
      </c>
      <c r="B32" s="2208"/>
      <c r="C32" s="2209">
        <f ca="1">ROUND((C4-C21-C22-C23-C25-C28-C31)/(1+C24+D25+D28),0)</f>
        <v>14326</v>
      </c>
      <c r="D32" s="2208"/>
      <c r="E32" s="2208"/>
      <c r="F32" s="2208"/>
      <c r="G32" s="2210" t="s">
        <v>1191</v>
      </c>
      <c r="H32" s="2208"/>
      <c r="I32" s="2208"/>
      <c r="J32" s="2208"/>
      <c r="K32" s="221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c r="D1" s="1802" t="s">
        <v>124</v>
      </c>
      <c r="E1" s="1803" t="s">
        <v>1193</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2112" t="e">
        <f ca="1">C40+J29+L46</f>
        <v>#DIV/0!</v>
      </c>
      <c r="C2" s="1811" t="s">
        <v>1195</v>
      </c>
      <c r="D2" s="1811"/>
      <c r="E2" s="1813"/>
      <c r="F2" s="1814"/>
      <c r="G2" s="1815"/>
      <c r="H2" s="1816"/>
      <c r="I2" s="1816"/>
      <c r="J2" s="1816"/>
      <c r="K2" s="1817"/>
      <c r="L2" s="1816"/>
      <c r="M2" s="1816"/>
    </row>
    <row r="3" spans="1:37" ht="18" customHeight="1">
      <c r="A3" s="1818" t="s">
        <v>1196</v>
      </c>
      <c r="B3" s="1819">
        <f ca="1">IF(ISERROR(B2*10000/F43),0,ROUND(B2*10000/F43,0))</f>
        <v>0</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0</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ROUND(F6*F8*F7*(1-F9)/10000,0)</f>
        <v>0</v>
      </c>
      <c r="D6" s="1835" t="s">
        <v>1207</v>
      </c>
      <c r="E6" s="1836" t="s">
        <v>1208</v>
      </c>
      <c r="F6" s="1837">
        <f ca="1">INDIRECT("'数据-取费表'!u"&amp;$G$1)</f>
        <v>0</v>
      </c>
      <c r="G6" s="550"/>
      <c r="H6" s="1833" t="s">
        <v>945</v>
      </c>
      <c r="I6" s="3362" t="s">
        <v>1206</v>
      </c>
      <c r="J6" s="1838">
        <f ca="1">ROUND(M6*M8*M7*(1-M9)/10000,0)</f>
        <v>0</v>
      </c>
      <c r="K6" s="1835" t="s">
        <v>1209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0</v>
      </c>
      <c r="G7" s="550"/>
      <c r="H7" s="1844"/>
      <c r="I7" s="3363"/>
      <c r="J7" s="1845"/>
      <c r="K7" s="1842"/>
      <c r="L7" s="1836" t="s">
        <v>1210</v>
      </c>
      <c r="M7" s="1837">
        <f ca="1">F7</f>
        <v>0</v>
      </c>
    </row>
    <row r="8" spans="1:37" ht="18" customHeight="1">
      <c r="A8" s="1844"/>
      <c r="B8" s="3363"/>
      <c r="C8" s="1845"/>
      <c r="D8" s="1842"/>
      <c r="E8" s="1836" t="s">
        <v>1211</v>
      </c>
      <c r="F8" s="1837">
        <f ca="1">INDIRECT("'数据-取费表'!ai"&amp;$G$1)</f>
        <v>0</v>
      </c>
      <c r="G8" s="550"/>
      <c r="H8" s="1844"/>
      <c r="I8" s="3363"/>
      <c r="J8" s="1845"/>
      <c r="K8" s="1842"/>
      <c r="L8" s="1836" t="s">
        <v>1211</v>
      </c>
      <c r="M8" s="1837">
        <f ca="1">INDIRECT("'数据-取费表'!ai"&amp;$G$1)</f>
        <v>0</v>
      </c>
    </row>
    <row r="9" spans="1:37" ht="18" customHeight="1">
      <c r="A9" s="1844"/>
      <c r="B9" s="3364"/>
      <c r="C9" s="1845"/>
      <c r="D9" s="1842"/>
      <c r="E9" s="1836" t="s">
        <v>1212</v>
      </c>
      <c r="F9" s="1846">
        <f ca="1">INDIRECT("'数据-取费表'!w"&amp;$G$1)</f>
        <v>0</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0</v>
      </c>
      <c r="D10" s="1850" t="s">
        <v>1214</v>
      </c>
      <c r="E10" s="1847" t="s">
        <v>1215</v>
      </c>
      <c r="F10" s="1851"/>
      <c r="G10" s="550"/>
      <c r="H10" s="1833" t="s">
        <v>949</v>
      </c>
      <c r="I10" s="1849" t="s">
        <v>1213</v>
      </c>
      <c r="J10" s="1838">
        <f ca="1">ROUND(IF(M10="押一",J6/12*M11,IF(M10="押二",J6/12*2*M11,IF(M10="押三",J6/12*3*M11,J11*M11))),0)</f>
        <v>0</v>
      </c>
      <c r="K10" s="1850" t="s">
        <v>1214</v>
      </c>
      <c r="L10" s="1847" t="s">
        <v>1215</v>
      </c>
      <c r="M10" s="1851"/>
    </row>
    <row r="11" spans="1:37" ht="18" customHeight="1">
      <c r="A11" s="1853"/>
      <c r="B11" s="1854" t="s">
        <v>1216</v>
      </c>
      <c r="C11" s="1855"/>
      <c r="D11" s="2113"/>
      <c r="E11" s="1847" t="s">
        <v>1217</v>
      </c>
      <c r="F11" s="1848">
        <f ca="1">'数据-取费表'!B39</f>
        <v>1.4999999999999999E-2</v>
      </c>
      <c r="G11" s="550"/>
      <c r="H11" s="1856"/>
      <c r="I11" s="1854" t="s">
        <v>1216</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0</v>
      </c>
      <c r="D13" s="1870" t="s">
        <v>1220</v>
      </c>
      <c r="E13" s="1870" t="s">
        <v>1221</v>
      </c>
      <c r="F13" s="1871">
        <f ca="1">INDIRECT("'数据-取费表'!y"&amp;$G$1)</f>
        <v>0</v>
      </c>
      <c r="G13" s="550"/>
      <c r="H13" s="1867">
        <v>2</v>
      </c>
      <c r="I13" s="1868" t="s">
        <v>1219</v>
      </c>
      <c r="J13" s="1872">
        <f ca="1">ROUND(J14*J15,0)</f>
        <v>0</v>
      </c>
      <c r="K13" s="1873" t="s">
        <v>1220</v>
      </c>
      <c r="L13" s="1874"/>
      <c r="M13" s="1875"/>
    </row>
    <row r="14" spans="1:37" ht="18" customHeight="1">
      <c r="A14" s="1876" t="s">
        <v>968</v>
      </c>
      <c r="B14" s="1836" t="s">
        <v>1222</v>
      </c>
      <c r="C14" s="1877">
        <f ca="1">INDIRECT("'数据-取费表'!m"&amp;$G$1)+INDIRECT("'数据-取费表'!t"&amp;$G$1)</f>
        <v>0</v>
      </c>
      <c r="D14" s="1878" t="s">
        <v>1223</v>
      </c>
      <c r="E14" s="1879"/>
      <c r="F14" s="1880"/>
      <c r="G14" s="550"/>
      <c r="H14" s="1876" t="s">
        <v>945</v>
      </c>
      <c r="I14" s="1836" t="s">
        <v>1224</v>
      </c>
      <c r="J14" s="993">
        <f ca="1">C29</f>
        <v>0</v>
      </c>
      <c r="K14" s="1881"/>
      <c r="L14" s="1882"/>
      <c r="M14" s="1883"/>
    </row>
    <row r="15" spans="1:37" s="1798" customFormat="1" ht="18" customHeight="1">
      <c r="A15" s="1876" t="s">
        <v>972</v>
      </c>
      <c r="B15" s="1836" t="s">
        <v>1153</v>
      </c>
      <c r="C15" s="993">
        <f ca="1">ROUND(C14*F15,0)</f>
        <v>0</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ROUND(INDIRECT("'数据-取费表'!m"&amp;$G$1)*F16,0)</f>
        <v>0</v>
      </c>
      <c r="D16" s="1836" t="s">
        <v>1225</v>
      </c>
      <c r="E16" s="1836" t="s">
        <v>1226</v>
      </c>
      <c r="F16" s="1891">
        <f ca="1">IF(INDIRECT("'数据-取费表'!c"&amp;$G$1)="住宅",'数据-取费表'!B34,0)</f>
        <v>0</v>
      </c>
      <c r="G16" s="550"/>
      <c r="H16" s="1867" t="s">
        <v>1227</v>
      </c>
      <c r="I16" s="1868" t="s">
        <v>1228</v>
      </c>
      <c r="J16" s="1869">
        <f ca="1">ROUND(J17+J22+J23+J24,0)</f>
        <v>0</v>
      </c>
      <c r="K16" s="1873" t="s">
        <v>1229</v>
      </c>
      <c r="L16" s="1892"/>
      <c r="M16" s="1832"/>
    </row>
    <row r="17" spans="1:37" s="1798" customFormat="1" ht="18" customHeight="1">
      <c r="A17" s="1876" t="s">
        <v>1230</v>
      </c>
      <c r="B17" s="1836" t="s">
        <v>1231</v>
      </c>
      <c r="C17" s="993">
        <f ca="1">ROUND(F17*(F43+INDIRECT("'数据-取费表'!S"&amp;$G$1))/10000,0)</f>
        <v>0</v>
      </c>
      <c r="D17" s="1836" t="s">
        <v>1232</v>
      </c>
      <c r="E17" s="1836" t="s">
        <v>1233</v>
      </c>
      <c r="F17" s="1893">
        <f>'数据-取费表'!B35</f>
        <v>200</v>
      </c>
      <c r="G17" s="1886"/>
      <c r="H17" s="1876" t="s">
        <v>945</v>
      </c>
      <c r="I17" s="1836" t="s">
        <v>1234</v>
      </c>
      <c r="J17" s="1894">
        <f ca="1">ROUND(IF(AND(项目基本情况!B11="自然人",项目基本情况!B10="北京市"),J6*M17/(1+'数据-取费表'!C42),J18+J19+J20),2)</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0</v>
      </c>
      <c r="D18" s="1836" t="s">
        <v>1225</v>
      </c>
      <c r="E18" s="1836" t="s">
        <v>1226</v>
      </c>
      <c r="F18" s="1891">
        <f>'数据-取费表'!B36</f>
        <v>0.02</v>
      </c>
      <c r="G18" s="1886"/>
      <c r="H18" s="1876" t="s">
        <v>968</v>
      </c>
      <c r="I18" s="1836" t="s">
        <v>1238</v>
      </c>
      <c r="J18" s="993">
        <f ca="1">ROUND(J6*M18/(1+'数据-取费表'!C42),2)</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0</v>
      </c>
      <c r="D19" s="1897" t="s">
        <v>1241</v>
      </c>
      <c r="E19" s="995"/>
      <c r="F19" s="1893"/>
      <c r="G19" s="550"/>
      <c r="H19" s="1876" t="s">
        <v>972</v>
      </c>
      <c r="I19" s="1836" t="s">
        <v>1242</v>
      </c>
      <c r="J19" s="993">
        <f ca="1">IF(K19="按租金收入计税",ROUND(J6*M19/(1+'数据-取费表'!C42),2),ROUND(C29*M19*0.7,2))</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0</v>
      </c>
      <c r="D20" s="1899" t="s">
        <v>1245</v>
      </c>
      <c r="E20" s="1836" t="s">
        <v>1226</v>
      </c>
      <c r="F20" s="1891">
        <f>'数据-取费表'!B37</f>
        <v>0.03</v>
      </c>
      <c r="G20" s="1886"/>
      <c r="H20" s="1876" t="s">
        <v>975</v>
      </c>
      <c r="I20" s="1835" t="s">
        <v>1246</v>
      </c>
      <c r="J20" s="1900">
        <f ca="1">ROUND(M20*M21/10000,2)</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ROUND(J14*M22,2)</f>
        <v>0</v>
      </c>
      <c r="K22" s="1895" t="s">
        <v>1255</v>
      </c>
      <c r="L22" s="1836" t="s">
        <v>1226</v>
      </c>
      <c r="M22" s="1907">
        <f ca="1">INDIRECT("'数据-取费表'!Ak"&amp;$G$1)</f>
        <v>0</v>
      </c>
    </row>
    <row r="23" spans="1:37" s="1798" customFormat="1" ht="18" customHeight="1">
      <c r="A23" s="1876" t="s">
        <v>968</v>
      </c>
      <c r="B23" s="1836" t="s">
        <v>1256</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ROUND(J13*M23,2)</f>
        <v>0</v>
      </c>
      <c r="K23" s="1895" t="s">
        <v>1259</v>
      </c>
      <c r="L23" s="1836" t="s">
        <v>1226</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ROUND(J5*M24,2)</f>
        <v>0</v>
      </c>
      <c r="K24" s="1911" t="s">
        <v>1262</v>
      </c>
      <c r="L24" s="1863" t="s">
        <v>1226</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1001</v>
      </c>
      <c r="B25" s="1836" t="s">
        <v>1263</v>
      </c>
      <c r="C25" s="993"/>
      <c r="D25" s="1897" t="s">
        <v>1264</v>
      </c>
      <c r="E25" s="995"/>
      <c r="F25" s="1893"/>
      <c r="G25" s="550"/>
      <c r="H25" s="1867" t="s">
        <v>1265</v>
      </c>
      <c r="I25" s="1912" t="s">
        <v>1266</v>
      </c>
      <c r="J25" s="1869">
        <f ca="1">J5-J16</f>
        <v>0</v>
      </c>
      <c r="K25" s="1913" t="s">
        <v>1267</v>
      </c>
      <c r="L25" s="1914"/>
      <c r="M25" s="1915"/>
    </row>
    <row r="26" spans="1:37">
      <c r="A26" s="1876" t="s">
        <v>968</v>
      </c>
      <c r="B26" s="1836" t="s">
        <v>1268</v>
      </c>
      <c r="C26" s="993">
        <f ca="1">ROUND((C19+C20)*F26,0)</f>
        <v>0</v>
      </c>
      <c r="D26" s="1899" t="s">
        <v>1269</v>
      </c>
      <c r="E26" s="1847" t="s">
        <v>1270</v>
      </c>
      <c r="F26" s="1846">
        <f ca="1">INDIRECT("'数据-取费表'!q"&amp;$G$1)</f>
        <v>0</v>
      </c>
      <c r="G26" s="550"/>
      <c r="H26" s="1827" t="s">
        <v>1271</v>
      </c>
      <c r="I26" s="1828" t="s">
        <v>1272</v>
      </c>
      <c r="J26" s="1838">
        <f ca="1">IF(J5&lt;&gt;0,ROUND(J25*(1-((1+M28)/(1+M26))^M27)/(M26-M28),0),0)</f>
        <v>0</v>
      </c>
      <c r="K26" s="1901" t="s">
        <v>1273</v>
      </c>
      <c r="L26" s="1836" t="s">
        <v>1274</v>
      </c>
      <c r="M26" s="1846">
        <f ca="1">INDIRECT("'数据-取费表'!I"&amp;$G$1)</f>
        <v>0</v>
      </c>
    </row>
    <row r="27" spans="1:37" ht="18" customHeight="1">
      <c r="A27" s="1876" t="s">
        <v>972</v>
      </c>
      <c r="B27" s="1836" t="s">
        <v>1275</v>
      </c>
      <c r="C27" s="993">
        <f ca="1">ROUND(F21*F26,4)</f>
        <v>0</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0</v>
      </c>
      <c r="D29" s="1911"/>
      <c r="E29" s="1863"/>
      <c r="F29" s="1920"/>
      <c r="G29" s="1886"/>
      <c r="H29" s="1921" t="s">
        <v>1283</v>
      </c>
      <c r="I29" s="1922" t="s">
        <v>1284</v>
      </c>
      <c r="J29" s="1923">
        <f ca="1">ROUND(J26/(1+F40)^F41,0)</f>
        <v>0</v>
      </c>
      <c r="K29" s="1924" t="s">
        <v>1285</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0</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ROUND(IF(AND(项目基本情况!B11="自然人",项目基本情况!B10="北京市"),C6*F31/(1+'数据-取费表'!C42),C32+C33+C34),2)</f>
        <v>0</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IF(项目基本情况!B11="自然人","——",ROUND(C6*F32/(1+'数据-取费表'!C42),2))</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IF(项目基本情况!B11="自然人","——",IF(D33="按租金收入计税",ROUND(C6*F33/(1+'数据-取费表'!C42),2),IF(D33="按房产原值计税",ROUND(C29*F33*0.7,2),INDIRECT("'数据-取费表'!Aj"&amp;$G$1))))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IF(项目基本情况!B11="自然人","——",ROUND(F34*F35/10000,2))</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ROUND(C29*F36,2)</f>
        <v>0</v>
      </c>
      <c r="D36" s="1895" t="s">
        <v>1287</v>
      </c>
      <c r="E36" s="1836" t="s">
        <v>1226</v>
      </c>
      <c r="F36" s="1907">
        <f ca="1">INDIRECT("'数据-取费表'!Ak"&amp;$G$1)</f>
        <v>0</v>
      </c>
      <c r="G36" s="550"/>
      <c r="H36" s="1933"/>
      <c r="I36" s="1928"/>
      <c r="J36" s="1929"/>
      <c r="K36" s="1940"/>
      <c r="L36" s="1933"/>
      <c r="M36" s="1933"/>
    </row>
    <row r="37" spans="1:18" ht="18" customHeight="1">
      <c r="A37" s="1876" t="s">
        <v>994</v>
      </c>
      <c r="B37" s="1836" t="s">
        <v>1258</v>
      </c>
      <c r="C37" s="993">
        <f ca="1">ROUND(C13*F37,2)</f>
        <v>0</v>
      </c>
      <c r="D37" s="1895" t="s">
        <v>1259</v>
      </c>
      <c r="E37" s="1836" t="s">
        <v>1226</v>
      </c>
      <c r="F37" s="1908">
        <f ca="1">INDIRECT("'数据-取费表'!Al"&amp;$G$1)</f>
        <v>0</v>
      </c>
      <c r="G37" s="550"/>
      <c r="H37" s="1933"/>
      <c r="I37" s="1928"/>
      <c r="J37" s="1929"/>
      <c r="K37" s="1940"/>
      <c r="L37" s="1933"/>
      <c r="M37" s="1933"/>
    </row>
    <row r="38" spans="1:18" ht="18" customHeight="1">
      <c r="A38" s="1887" t="s">
        <v>997</v>
      </c>
      <c r="B38" s="1863" t="s">
        <v>1244</v>
      </c>
      <c r="C38" s="1910">
        <f ca="1">ROUND(C5*F38,2)</f>
        <v>0</v>
      </c>
      <c r="D38" s="1911" t="s">
        <v>1262</v>
      </c>
      <c r="E38" s="1863" t="s">
        <v>1226</v>
      </c>
      <c r="F38" s="1864">
        <f ca="1">INDIRECT("'数据-取费表'!Am"&amp;$G$1)</f>
        <v>0</v>
      </c>
      <c r="G38" s="550"/>
      <c r="H38" s="1933"/>
      <c r="I38" s="1928"/>
      <c r="J38" s="1929"/>
      <c r="K38" s="1930"/>
      <c r="L38" s="1933"/>
      <c r="M38" s="1933"/>
    </row>
    <row r="39" spans="1:18" ht="24.6" customHeight="1">
      <c r="A39" s="1867" t="s">
        <v>1265</v>
      </c>
      <c r="B39" s="1912" t="s">
        <v>1266</v>
      </c>
      <c r="C39" s="1869">
        <f ca="1">C5-C30</f>
        <v>0</v>
      </c>
      <c r="D39" s="1913" t="s">
        <v>1267</v>
      </c>
      <c r="E39" s="1914"/>
      <c r="F39" s="1915"/>
      <c r="G39" s="550"/>
      <c r="H39" s="1933"/>
      <c r="I39" s="1928"/>
      <c r="J39" s="1929"/>
      <c r="K39" s="1930"/>
      <c r="L39" s="1933"/>
      <c r="M39" s="1933"/>
    </row>
    <row r="40" spans="1:18" ht="18" customHeight="1">
      <c r="A40" s="1827" t="s">
        <v>1271</v>
      </c>
      <c r="B40" s="1828" t="s">
        <v>1288</v>
      </c>
      <c r="C40" s="1838" t="e">
        <f ca="1">ROUND(C39*(1-((1+F42)/(1+F40))^F41)/(F40-F42),0)</f>
        <v>#DIV/0!</v>
      </c>
      <c r="D40" s="1901" t="s">
        <v>1273</v>
      </c>
      <c r="E40" s="1836" t="s">
        <v>1274</v>
      </c>
      <c r="F40" s="1846">
        <f ca="1">INDIRECT("'数据-取费表'!I"&amp;$G$1)</f>
        <v>0</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1281</v>
      </c>
      <c r="F42" s="1846">
        <f ca="1">INDIRECT("'数据-取费表'!v"&amp;$G$1)</f>
        <v>0</v>
      </c>
      <c r="G42" s="550"/>
      <c r="H42" s="982"/>
      <c r="I42" s="1928"/>
      <c r="J42" s="1929"/>
      <c r="K42" s="1940"/>
      <c r="L42" s="982"/>
      <c r="M42" s="982"/>
    </row>
    <row r="43" spans="1:18" ht="18" customHeight="1">
      <c r="A43" s="1921" t="s">
        <v>1283</v>
      </c>
      <c r="B43" s="1922" t="s">
        <v>1289</v>
      </c>
      <c r="C43" s="1923" t="e">
        <f ca="1">ROUND(C40*10000/F43,0)</f>
        <v>#DIV/0!</v>
      </c>
      <c r="D43" s="1924" t="s">
        <v>1290</v>
      </c>
      <c r="E43" s="1925" t="s">
        <v>1291</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1292</v>
      </c>
      <c r="P45" s="1941"/>
      <c r="Q45" s="1941"/>
      <c r="R45" s="1941"/>
    </row>
    <row r="46" spans="1:18" s="550" customFormat="1">
      <c r="A46" s="1949" t="s">
        <v>1293</v>
      </c>
      <c r="C46" s="1950" t="e">
        <f ca="1">C68-C40</f>
        <v>#DIV/0!</v>
      </c>
      <c r="D46" s="1951" t="str">
        <f>C2</f>
        <v>万元</v>
      </c>
      <c r="E46" s="1942"/>
      <c r="F46" s="1942"/>
      <c r="I46" s="1952" t="s">
        <v>1294</v>
      </c>
      <c r="J46" s="1953"/>
      <c r="K46" s="1954"/>
      <c r="L46" s="1955" t="e">
        <f ca="1">IF(M47="住宅",0,IF(L48&gt;J51,L60,J60))</f>
        <v>#DIV/0!</v>
      </c>
      <c r="O46" s="1956" t="s">
        <v>1295</v>
      </c>
      <c r="P46" s="1957" t="s">
        <v>1296</v>
      </c>
      <c r="Q46" s="1958" t="s">
        <v>1297</v>
      </c>
      <c r="R46" s="1958" t="s">
        <v>1298</v>
      </c>
    </row>
    <row r="47" spans="1:18" s="550" customFormat="1">
      <c r="A47" s="1959" t="s">
        <v>1199</v>
      </c>
      <c r="B47" s="1960" t="s">
        <v>1200</v>
      </c>
      <c r="C47" s="2115" t="s">
        <v>1201</v>
      </c>
      <c r="D47" s="1960" t="s">
        <v>1202</v>
      </c>
      <c r="E47" s="1961" t="s">
        <v>1203</v>
      </c>
      <c r="F47" s="986"/>
      <c r="G47" s="1962"/>
      <c r="I47" s="1963" t="s">
        <v>1299</v>
      </c>
      <c r="J47" s="1964"/>
      <c r="K47" s="1965" t="s">
        <v>1300</v>
      </c>
      <c r="L47" s="1966">
        <f ca="1">INDIRECT("'数据-取费表'!d"&amp;$G$1)</f>
        <v>0</v>
      </c>
      <c r="M47" s="1967" t="str">
        <f>IF(ISNUMBER(FIND("住宅",C1)),"住宅","非住宅")</f>
        <v>非住宅</v>
      </c>
      <c r="O47" s="1968" t="s">
        <v>1050</v>
      </c>
      <c r="P47" s="1969" t="s">
        <v>1301</v>
      </c>
      <c r="Q47" s="1970" t="e">
        <f ca="1">C40+J29</f>
        <v>#DIV/0!</v>
      </c>
      <c r="R47" s="1970" t="s">
        <v>1302</v>
      </c>
    </row>
    <row r="48" spans="1:18" s="550" customFormat="1" ht="27.75">
      <c r="A48" s="1971" t="s">
        <v>1303</v>
      </c>
      <c r="B48" s="1828" t="s">
        <v>1204</v>
      </c>
      <c r="C48" s="994">
        <f ca="1">C49+C53+C55</f>
        <v>0</v>
      </c>
      <c r="D48" s="1972"/>
      <c r="E48" s="1973"/>
      <c r="F48" s="1974"/>
      <c r="G48" s="1962"/>
      <c r="H48" s="1975"/>
      <c r="I48" s="1976" t="s">
        <v>1304</v>
      </c>
      <c r="J48" s="1977"/>
      <c r="K48" s="1978" t="s">
        <v>1305</v>
      </c>
      <c r="L48" s="1979">
        <f ca="1">INDIRECT("'数据-取费表'!f"&amp;$G$1)</f>
        <v>0</v>
      </c>
      <c r="O48" s="1968" t="s">
        <v>1053</v>
      </c>
      <c r="P48" s="1969" t="s">
        <v>1306</v>
      </c>
      <c r="Q48" s="1970" t="e">
        <f ca="1">J60</f>
        <v>#DIV/0!</v>
      </c>
      <c r="R48" s="1970" t="s">
        <v>1307</v>
      </c>
    </row>
    <row r="49" spans="1:18" s="550" customFormat="1">
      <c r="A49" s="1980" t="s">
        <v>1308</v>
      </c>
      <c r="B49" s="1981" t="s">
        <v>1309</v>
      </c>
      <c r="C49" s="1982">
        <f ca="1">ROUND(F49*F51*F50*(1-F52)/10000,0)</f>
        <v>0</v>
      </c>
      <c r="D49" s="1983" t="s">
        <v>1209</v>
      </c>
      <c r="E49" s="1984" t="s">
        <v>1310</v>
      </c>
      <c r="F49" s="1985"/>
      <c r="H49" s="1975"/>
      <c r="I49" s="1976" t="s">
        <v>1311</v>
      </c>
      <c r="J49" s="1986"/>
      <c r="K49" s="1978" t="s">
        <v>1312</v>
      </c>
      <c r="L49" s="1987"/>
      <c r="O49" s="1988" t="s">
        <v>1313</v>
      </c>
      <c r="P49" s="1969" t="s">
        <v>1314</v>
      </c>
      <c r="Q49" s="1970">
        <f ca="1">C29</f>
        <v>0</v>
      </c>
      <c r="R49" s="1970" t="s">
        <v>1302</v>
      </c>
    </row>
    <row r="50" spans="1:18" s="550" customFormat="1">
      <c r="A50" s="1989"/>
      <c r="B50" s="924"/>
      <c r="C50" s="2116"/>
      <c r="D50" s="1991"/>
      <c r="E50" s="1992" t="s">
        <v>1210</v>
      </c>
      <c r="F50" s="1993">
        <f ca="1">F7</f>
        <v>0</v>
      </c>
      <c r="H50" s="1975"/>
      <c r="I50" s="1976" t="s">
        <v>1315</v>
      </c>
      <c r="J50" s="1994">
        <f>SUMPRODUCT((I63:I65=J47)*(J62:L62=J48)*(J63:L65))</f>
        <v>0</v>
      </c>
      <c r="K50" s="1978" t="s">
        <v>1316</v>
      </c>
      <c r="L50" s="1987"/>
      <c r="M50" s="1995"/>
      <c r="O50" s="1988" t="s">
        <v>1317</v>
      </c>
      <c r="P50" s="1969" t="s">
        <v>1318</v>
      </c>
      <c r="Q50" s="1996" t="e">
        <f ca="1">J58</f>
        <v>#DIV/0!</v>
      </c>
      <c r="R50" s="1970"/>
    </row>
    <row r="51" spans="1:18" s="550" customFormat="1">
      <c r="A51" s="1997"/>
      <c r="B51" s="924"/>
      <c r="C51" s="1990"/>
      <c r="D51" s="1991"/>
      <c r="E51" s="1998" t="s">
        <v>1211</v>
      </c>
      <c r="F51" s="1837">
        <f ca="1">F8</f>
        <v>0</v>
      </c>
      <c r="I51" s="1999" t="s">
        <v>1319</v>
      </c>
      <c r="J51" s="1979">
        <f>IF(J49="",J50,J49+J50-YEAR('数据-取费表'!B2))</f>
        <v>0</v>
      </c>
      <c r="K51" s="2000" t="s">
        <v>1320</v>
      </c>
      <c r="L51" s="2001">
        <f ca="1">ROUND(-PV(INDIRECT("'数据-取费表'!h"&amp;$G$1),J51,(C39-C13*C76),0),0)</f>
        <v>0</v>
      </c>
      <c r="M51" s="2002"/>
      <c r="O51" s="1988" t="s">
        <v>1321</v>
      </c>
      <c r="P51" s="1969" t="s">
        <v>1322</v>
      </c>
      <c r="Q51" s="1996">
        <f>J52</f>
        <v>0</v>
      </c>
      <c r="R51" s="1970"/>
    </row>
    <row r="52" spans="1:18" s="550" customFormat="1">
      <c r="A52" s="1997"/>
      <c r="B52" s="924"/>
      <c r="C52" s="1990"/>
      <c r="D52" s="1991"/>
      <c r="E52" s="1998" t="s">
        <v>1212</v>
      </c>
      <c r="F52" s="2003"/>
      <c r="I52" s="2004" t="s">
        <v>1323</v>
      </c>
      <c r="J52" s="2005"/>
      <c r="K52" s="2004" t="s">
        <v>1324</v>
      </c>
      <c r="L52" s="2005"/>
      <c r="O52" s="1988" t="s">
        <v>1325</v>
      </c>
      <c r="P52" s="1969" t="s">
        <v>1326</v>
      </c>
      <c r="Q52" s="1970">
        <f ca="1">J53</f>
        <v>0</v>
      </c>
      <c r="R52" s="1970" t="s">
        <v>1327</v>
      </c>
    </row>
    <row r="53" spans="1:18" s="550" customFormat="1" ht="24">
      <c r="A53" s="2117" t="s">
        <v>1328</v>
      </c>
      <c r="B53" s="2118" t="s">
        <v>1213</v>
      </c>
      <c r="C53" s="992">
        <f ca="1">ROUND(IF(F53="押一",C49/12*F11,IF(F53="押二",C49/12*2*F11,IF(F53="押三",C49/12*3*F11,C54*F11))),0)</f>
        <v>0</v>
      </c>
      <c r="D53" s="1850" t="s">
        <v>1214</v>
      </c>
      <c r="E53" s="1847" t="s">
        <v>1215</v>
      </c>
      <c r="F53" s="1851"/>
      <c r="I53" s="2007" t="s">
        <v>1329</v>
      </c>
      <c r="J53" s="2008">
        <f ca="1">IF(M47="住宅",IF(D1="——",MAX(J51,L48),MAX(J51,L48-'数据-取费表'!B24)),IF(D1="——",MIN(J51,L48),MIN(J51,L48-'数据-取费表'!B24)))</f>
        <v>0</v>
      </c>
      <c r="K53" s="3360" t="s">
        <v>1330</v>
      </c>
      <c r="L53" s="3361"/>
      <c r="O53" s="1968" t="s">
        <v>1155</v>
      </c>
      <c r="P53" s="1969" t="s">
        <v>1331</v>
      </c>
      <c r="Q53" s="1970" t="e">
        <f ca="1">Q47+Q48</f>
        <v>#DIV/0!</v>
      </c>
      <c r="R53" s="1970" t="s">
        <v>1332</v>
      </c>
    </row>
    <row r="54" spans="1:18" s="550" customFormat="1">
      <c r="A54" s="2119"/>
      <c r="B54" s="1854" t="s">
        <v>1216</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t="e">
        <f ca="1">ROUND(IF(J47="钢混",J57/J50,1-(1-2%)*(J50-J57)/J50),3)</f>
        <v>#DIV/0!</v>
      </c>
      <c r="K55" s="2016" t="s">
        <v>1335</v>
      </c>
      <c r="L55" s="2017"/>
      <c r="O55" s="1956" t="s">
        <v>1295</v>
      </c>
      <c r="P55" s="1957" t="s">
        <v>1296</v>
      </c>
      <c r="Q55" s="1958" t="s">
        <v>1297</v>
      </c>
      <c r="R55" s="1958" t="s">
        <v>1298</v>
      </c>
    </row>
    <row r="56" spans="1:18" s="550" customFormat="1" ht="24">
      <c r="A56" s="2018">
        <v>2</v>
      </c>
      <c r="B56" s="2019" t="s">
        <v>1219</v>
      </c>
      <c r="C56" s="376">
        <f ca="1">C13</f>
        <v>0</v>
      </c>
      <c r="D56" s="2020"/>
      <c r="E56" s="2021"/>
      <c r="F56" s="2011"/>
      <c r="I56" s="2022" t="s">
        <v>1336</v>
      </c>
      <c r="J56" s="2023"/>
      <c r="K56" s="1976" t="s">
        <v>1337</v>
      </c>
      <c r="L56" s="1979">
        <f ca="1">IF(L48&lt;J51,"——",L48-J53)</f>
        <v>0</v>
      </c>
      <c r="O56" s="1968" t="s">
        <v>1050</v>
      </c>
      <c r="P56" s="1969" t="s">
        <v>1301</v>
      </c>
      <c r="Q56" s="1970" t="e">
        <f ca="1">C40+J29</f>
        <v>#DIV/0!</v>
      </c>
      <c r="R56" s="1970" t="s">
        <v>1302</v>
      </c>
    </row>
    <row r="57" spans="1:18" s="550" customFormat="1" ht="24">
      <c r="A57" s="2024"/>
      <c r="B57" s="2025" t="s">
        <v>1282</v>
      </c>
      <c r="C57" s="386">
        <f ca="1">C29</f>
        <v>0</v>
      </c>
      <c r="D57" s="2026"/>
      <c r="E57" s="2027"/>
      <c r="F57" s="2028"/>
      <c r="I57" s="2029" t="s">
        <v>1338</v>
      </c>
      <c r="J57" s="2030">
        <f ca="1">IF(OR(M47="住宅",J51&lt;L48,J56="是"),"——",J51-L48)</f>
        <v>0</v>
      </c>
      <c r="K57" s="1976" t="s">
        <v>1339</v>
      </c>
      <c r="L57" s="1979">
        <f ca="1">IF(L48&lt;J51,"——",IF(L55="比较法",L49,IF(L55="基准地价",L50,L51)))</f>
        <v>0</v>
      </c>
      <c r="O57" s="1968" t="s">
        <v>1053</v>
      </c>
      <c r="P57" s="1969" t="s">
        <v>1340</v>
      </c>
      <c r="Q57" s="1970" t="e">
        <f ca="1">L60</f>
        <v>#DIV/0!</v>
      </c>
      <c r="R57" s="1970" t="s">
        <v>1341</v>
      </c>
    </row>
    <row r="58" spans="1:18" s="550" customFormat="1" ht="24">
      <c r="A58" s="2031" t="s">
        <v>1227</v>
      </c>
      <c r="B58" s="2019" t="s">
        <v>1228</v>
      </c>
      <c r="C58" s="992">
        <f ca="1">ROUND(C59+C64+C65+C66,0)</f>
        <v>0</v>
      </c>
      <c r="D58" s="2032" t="s">
        <v>1229</v>
      </c>
      <c r="E58" s="2033"/>
      <c r="F58" s="1974"/>
      <c r="I58" s="2029" t="s">
        <v>1342</v>
      </c>
      <c r="J58" s="2034" t="e">
        <f ca="1">IF(J55&lt;0.4,0.4,J55)</f>
        <v>#DIV/0!</v>
      </c>
      <c r="K58" s="2000" t="s">
        <v>1343</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IF(项目基本情况!B11="自然人","——",ROUND(C48*F60/(1+'数据-取费表'!C42),2))</f>
        <v>——</v>
      </c>
      <c r="D60" s="2036" t="s">
        <v>1239</v>
      </c>
      <c r="E60" s="2025" t="s">
        <v>1226</v>
      </c>
      <c r="F60" s="1909">
        <f t="shared" ref="F60:F66" si="0">F32</f>
        <v>5.5E-2</v>
      </c>
      <c r="I60" s="2037" t="s">
        <v>1347</v>
      </c>
      <c r="J60" s="2038" t="e">
        <f ca="1">IF(OR(M47="住宅",J51&lt;L48,J56="是"),"0",ROUND(J59/(1+J52)^J53,0))</f>
        <v>#DIV/0!</v>
      </c>
      <c r="K60" s="2039" t="s">
        <v>1348</v>
      </c>
      <c r="L60" s="2038" t="e">
        <f ca="1">IF(OR(M47="住宅",L48&lt;J51),0,ROUND(L57*(L58/L59-1),0))</f>
        <v>#DIV/0!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IF(项目基本情况!B11="自然人","——",IF(D61="按租金收入计税",ROUND(C49*F61/(1+'数据-取费表'!C42),2),IF(D61="按房产原值计税",ROUND(C57*F61*0.7,2),INDIRECT("'数据-取费表'!Aj"&amp;$G$1))))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IF(项目基本情况!B11="自然人","——",ROUND(F62*F63/10000,2))</f>
        <v>——</v>
      </c>
      <c r="D62" s="2041" t="s">
        <v>1247</v>
      </c>
      <c r="E62" s="2025" t="s">
        <v>1248</v>
      </c>
      <c r="F62" s="1902">
        <f t="shared" si="0"/>
        <v>0</v>
      </c>
      <c r="I62" s="2042" t="s">
        <v>1352</v>
      </c>
      <c r="J62" s="1204" t="s">
        <v>1353</v>
      </c>
      <c r="K62" s="1204" t="s">
        <v>1354</v>
      </c>
      <c r="L62" s="1204" t="s">
        <v>1355</v>
      </c>
      <c r="M62" s="2043" t="s">
        <v>1356</v>
      </c>
      <c r="O62" s="1968" t="s">
        <v>1155</v>
      </c>
      <c r="P62" s="1969" t="s">
        <v>1331</v>
      </c>
      <c r="Q62" s="1970" t="e">
        <f ca="1">Q56+Q57</f>
        <v>#DIV/0!</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ROUND(C57*F64,2)</f>
        <v>0</v>
      </c>
      <c r="D64" s="2036" t="s">
        <v>1287</v>
      </c>
      <c r="E64" s="2025" t="s">
        <v>1226</v>
      </c>
      <c r="F64" s="1907">
        <f t="shared" ca="1" si="0"/>
        <v>0</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ROUND(C56*F65,2)</f>
        <v>0</v>
      </c>
      <c r="D65" s="2036" t="s">
        <v>1259</v>
      </c>
      <c r="E65" s="2025" t="s">
        <v>1226</v>
      </c>
      <c r="F65" s="1908">
        <f t="shared" ca="1" si="0"/>
        <v>0</v>
      </c>
      <c r="I65" s="2042" t="s">
        <v>1360</v>
      </c>
      <c r="J65" s="1204">
        <v>40</v>
      </c>
      <c r="K65" s="1204">
        <v>30</v>
      </c>
      <c r="L65" s="1204">
        <v>50</v>
      </c>
      <c r="M65" s="2046">
        <v>0.02</v>
      </c>
      <c r="O65" s="1968" t="s">
        <v>1050</v>
      </c>
      <c r="P65" s="1969" t="s">
        <v>1301</v>
      </c>
      <c r="Q65" s="1970" t="e">
        <f ca="1">C40+J29</f>
        <v>#DIV/0!</v>
      </c>
      <c r="R65" s="1970" t="s">
        <v>1302</v>
      </c>
    </row>
    <row r="66" spans="1:18" s="550" customFormat="1" ht="15.75">
      <c r="A66" s="1876" t="s">
        <v>997</v>
      </c>
      <c r="B66" s="2025" t="s">
        <v>1244</v>
      </c>
      <c r="C66" s="993">
        <f ca="1">ROUND(C48*F66,2)</f>
        <v>0</v>
      </c>
      <c r="D66" s="2036" t="s">
        <v>1262</v>
      </c>
      <c r="E66" s="2025" t="s">
        <v>1226</v>
      </c>
      <c r="F66" s="1846">
        <f t="shared" ca="1" si="0"/>
        <v>0</v>
      </c>
      <c r="O66" s="1968" t="s">
        <v>1053</v>
      </c>
      <c r="P66" s="1969" t="s">
        <v>1340</v>
      </c>
      <c r="Q66" s="1970" t="e">
        <f ca="1">L60</f>
        <v>#DIV/0!</v>
      </c>
      <c r="R66" s="1970" t="s">
        <v>1341</v>
      </c>
    </row>
    <row r="67" spans="1:18" s="550" customFormat="1" ht="15.75">
      <c r="A67" s="2018" t="s">
        <v>1265</v>
      </c>
      <c r="B67" s="2047" t="s">
        <v>1266</v>
      </c>
      <c r="C67" s="992">
        <f ca="1">C48-C58</f>
        <v>0</v>
      </c>
      <c r="D67" s="2035" t="s">
        <v>1267</v>
      </c>
      <c r="E67" s="2048"/>
      <c r="F67" s="2049"/>
      <c r="O67" s="1988" t="s">
        <v>1313</v>
      </c>
      <c r="P67" s="1969" t="s">
        <v>1344</v>
      </c>
      <c r="Q67" s="2050">
        <f ca="1">L51</f>
        <v>0</v>
      </c>
      <c r="R67" s="1970" t="s">
        <v>1361</v>
      </c>
    </row>
    <row r="68" spans="1:18" s="550" customFormat="1" ht="15.75">
      <c r="A68" s="2051" t="s">
        <v>1271</v>
      </c>
      <c r="B68" s="2052" t="s">
        <v>1288</v>
      </c>
      <c r="C68" s="1838" t="e">
        <f ca="1">ROUND(C67*(1-((1+F70)/(1+F68))^F69)/(F68-F70),0)</f>
        <v>#DIV/0!</v>
      </c>
      <c r="D68" s="2041" t="s">
        <v>1273</v>
      </c>
      <c r="E68" s="2025" t="s">
        <v>1274</v>
      </c>
      <c r="F68" s="1846">
        <f ca="1">F40</f>
        <v>0</v>
      </c>
      <c r="O68" s="1988" t="s">
        <v>1317</v>
      </c>
      <c r="P68" s="2053" t="s">
        <v>1362</v>
      </c>
      <c r="Q68" s="1970">
        <f ca="1">ROUND(Q69-Q70*Q71,0)</f>
        <v>0</v>
      </c>
      <c r="R68" s="1970" t="s">
        <v>1363</v>
      </c>
    </row>
    <row r="69" spans="1:18" s="550" customFormat="1">
      <c r="A69" s="2054"/>
      <c r="B69" s="2055"/>
      <c r="C69" s="1845"/>
      <c r="D69" s="2056" t="s">
        <v>1277</v>
      </c>
      <c r="E69" s="2025" t="s">
        <v>1278</v>
      </c>
      <c r="F69" s="1918">
        <f ca="1">F41</f>
        <v>0</v>
      </c>
      <c r="O69" s="1988" t="s">
        <v>1364</v>
      </c>
      <c r="P69" s="2053" t="s">
        <v>1365</v>
      </c>
      <c r="Q69" s="1970">
        <f ca="1">C39</f>
        <v>0</v>
      </c>
      <c r="R69" s="1970" t="s">
        <v>1302</v>
      </c>
    </row>
    <row r="70" spans="1:18" s="550" customFormat="1">
      <c r="A70" s="2057"/>
      <c r="B70" s="2058"/>
      <c r="C70" s="1869"/>
      <c r="D70" s="2045"/>
      <c r="E70" s="2025" t="s">
        <v>1281</v>
      </c>
      <c r="F70" s="2003"/>
      <c r="O70" s="1988" t="s">
        <v>1366</v>
      </c>
      <c r="P70" s="2053" t="s">
        <v>1367</v>
      </c>
      <c r="Q70" s="1970">
        <f ca="1">C13</f>
        <v>0</v>
      </c>
      <c r="R70" s="1970" t="s">
        <v>1302</v>
      </c>
    </row>
    <row r="71" spans="1:18" s="550" customFormat="1">
      <c r="A71" s="2059" t="s">
        <v>1283</v>
      </c>
      <c r="B71" s="2060" t="s">
        <v>1289</v>
      </c>
      <c r="C71" s="1923" t="e">
        <f ca="1">ROUND(C68*10000/F71,0)</f>
        <v>#DIV/0!</v>
      </c>
      <c r="D71" s="2061" t="s">
        <v>1290</v>
      </c>
      <c r="E71" s="2062" t="s">
        <v>1291</v>
      </c>
      <c r="F71" s="1926">
        <f ca="1">F43</f>
        <v>0</v>
      </c>
      <c r="O71" s="1988" t="s">
        <v>1368</v>
      </c>
      <c r="P71" s="2053" t="s">
        <v>1369</v>
      </c>
      <c r="Q71" s="1996">
        <f ca="1">C76</f>
        <v>0</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0</v>
      </c>
      <c r="D75" s="550"/>
      <c r="E75" s="550"/>
      <c r="F75" s="550"/>
      <c r="K75" s="1944"/>
      <c r="L75" s="550"/>
      <c r="O75" s="1968" t="s">
        <v>1155</v>
      </c>
      <c r="P75" s="1969" t="s">
        <v>1331</v>
      </c>
      <c r="Q75" s="1970" t="e">
        <f ca="1">Q65+Q66</f>
        <v>#DIV/0!</v>
      </c>
      <c r="R75" s="1970" t="s">
        <v>1332</v>
      </c>
    </row>
    <row r="76" spans="1:18">
      <c r="B76" s="510" t="s">
        <v>1373</v>
      </c>
      <c r="C76" s="2066">
        <f ca="1">INDIRECT("'数据-取费表'!j"&amp;$G$1)</f>
        <v>0</v>
      </c>
      <c r="I76" s="550"/>
      <c r="J76" s="550"/>
      <c r="K76" s="1944"/>
      <c r="L76" s="550"/>
    </row>
    <row r="77" spans="1:18">
      <c r="B77" s="2067" t="s">
        <v>1374</v>
      </c>
      <c r="C77" s="2068"/>
      <c r="I77" s="550"/>
      <c r="J77" s="550"/>
      <c r="K77" s="1944"/>
      <c r="L77" s="550"/>
    </row>
    <row r="78" spans="1:18">
      <c r="B78" s="416" t="s">
        <v>1375</v>
      </c>
      <c r="C78" s="2069"/>
    </row>
    <row r="79" spans="1:18">
      <c r="B79" s="2064" t="s">
        <v>1376</v>
      </c>
      <c r="C79" s="419" t="e">
        <f ca="1">1-C80</f>
        <v>#DIV/0!</v>
      </c>
    </row>
    <row r="80" spans="1:18">
      <c r="B80" s="2064" t="s">
        <v>1377</v>
      </c>
      <c r="C80" s="419" t="e">
        <f ca="1">ROUND(C75/C39,3)</f>
        <v>#DIV/0!</v>
      </c>
    </row>
    <row r="81" spans="2:3">
      <c r="B81" s="416" t="s">
        <v>1378</v>
      </c>
      <c r="C81" s="386"/>
    </row>
    <row r="82" spans="2:3">
      <c r="B82" s="418" t="s">
        <v>1129</v>
      </c>
      <c r="C82" s="420" t="e">
        <f ca="1">1-C83</f>
        <v>#DIV/0!</v>
      </c>
    </row>
    <row r="83" spans="2:3">
      <c r="B83" s="418" t="s">
        <v>1130</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36" sqref="M36"/>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1380</v>
      </c>
      <c r="C1" s="1371" t="s">
        <v>1381</v>
      </c>
      <c r="D1" s="1372" t="s">
        <v>230</v>
      </c>
      <c r="E1" s="1373" t="s">
        <v>1382</v>
      </c>
      <c r="F1" s="1374" t="s">
        <v>1383</v>
      </c>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f>IF(E1="项目模式",IF(C2="——",ROUND(C50*D3/10000,0),ROUND(C50*D3/10000,0)-D2),IF(E1="单套模式",IF(C2="——",ROUND(C50*D3/10000,4),ROUND(C50*D3/10000,4)-D2)))</f>
        <v>64.818799999999996</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f>IF(C2="——",C50,ROUND(B2*10000/D3,0))</f>
        <v>10416</v>
      </c>
      <c r="C3" s="1386" t="s">
        <v>1385</v>
      </c>
      <c r="D3" s="1387">
        <f>IF(D1="",'数据-汇总表'!E3,SUMIF('数据-汇总表'!$C19:$C33,D1,'数据-汇总表'!$E19:$E33))</f>
        <v>62.23</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00" t="s">
        <v>1392</v>
      </c>
      <c r="Q4" s="3401"/>
      <c r="R4" s="3406" t="s">
        <v>1388</v>
      </c>
      <c r="S4" s="3407"/>
      <c r="T4" s="3406" t="s">
        <v>1389</v>
      </c>
      <c r="U4" s="3407"/>
      <c r="V4" s="3412" t="s">
        <v>1390</v>
      </c>
      <c r="W4" s="3412"/>
      <c r="X4" s="2101"/>
      <c r="Y4" s="3406" t="s">
        <v>1392</v>
      </c>
      <c r="Z4" s="3407"/>
      <c r="AA4" s="3394" t="s">
        <v>1388</v>
      </c>
      <c r="AB4" s="3394" t="s">
        <v>1389</v>
      </c>
      <c r="AC4" s="3397" t="s">
        <v>1390</v>
      </c>
    </row>
    <row r="5" spans="1:29" ht="15">
      <c r="A5" s="1046"/>
      <c r="B5" s="1047"/>
      <c r="C5" s="3369" t="s">
        <v>1393</v>
      </c>
      <c r="D5" s="3370"/>
      <c r="E5" s="3369" t="s">
        <v>1393</v>
      </c>
      <c r="F5" s="3370"/>
      <c r="G5" s="3369" t="s">
        <v>1393</v>
      </c>
      <c r="H5" s="3370"/>
      <c r="I5" s="3369" t="s">
        <v>1393</v>
      </c>
      <c r="J5" s="3370"/>
      <c r="K5" s="1039"/>
      <c r="L5" s="1040"/>
      <c r="M5" s="1041"/>
      <c r="N5" s="1041"/>
      <c r="O5" s="1041"/>
      <c r="P5" s="3402"/>
      <c r="Q5" s="3403"/>
      <c r="R5" s="3408"/>
      <c r="S5" s="3409"/>
      <c r="T5" s="3408"/>
      <c r="U5" s="3409"/>
      <c r="V5" s="3381"/>
      <c r="W5" s="3381"/>
      <c r="X5" s="1045"/>
      <c r="Y5" s="3408"/>
      <c r="Z5" s="3409"/>
      <c r="AA5" s="3395"/>
      <c r="AB5" s="3395"/>
      <c r="AC5" s="3398"/>
    </row>
    <row r="6" spans="1:29" ht="15">
      <c r="A6" s="1049"/>
      <c r="B6" s="1050"/>
      <c r="C6" s="3371" t="s">
        <v>1394</v>
      </c>
      <c r="D6" s="3372"/>
      <c r="E6" s="3373" t="s">
        <v>1394</v>
      </c>
      <c r="F6" s="3374"/>
      <c r="G6" s="3371" t="s">
        <v>1394</v>
      </c>
      <c r="H6" s="3372"/>
      <c r="I6" s="3371" t="s">
        <v>1394</v>
      </c>
      <c r="J6" s="3372"/>
      <c r="K6" s="1039" t="s">
        <v>1395</v>
      </c>
      <c r="L6" s="1040"/>
      <c r="M6" s="1041"/>
      <c r="N6" s="1041"/>
      <c r="O6" s="1041"/>
      <c r="P6" s="3404"/>
      <c r="Q6" s="3405"/>
      <c r="R6" s="3408"/>
      <c r="S6" s="3409"/>
      <c r="T6" s="3410"/>
      <c r="U6" s="3411"/>
      <c r="V6" s="3381"/>
      <c r="W6" s="3381"/>
      <c r="X6" s="1045"/>
      <c r="Y6" s="3410"/>
      <c r="Z6" s="3411"/>
      <c r="AA6" s="3396"/>
      <c r="AB6" s="3396"/>
      <c r="AC6" s="3399"/>
    </row>
    <row r="7" spans="1:29" s="1008" customFormat="1" ht="15">
      <c r="A7" s="1053" t="s">
        <v>1396</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75" t="s">
        <v>1397</v>
      </c>
      <c r="Q7" s="3376"/>
      <c r="R7" s="1064" t="s">
        <v>1398</v>
      </c>
      <c r="S7" s="1065">
        <f t="shared" ref="S7:S15" si="0">F7</f>
        <v>100</v>
      </c>
      <c r="T7" s="1064" t="s">
        <v>1398</v>
      </c>
      <c r="U7" s="1065">
        <f t="shared" ref="U7:U15" si="1">H7</f>
        <v>100</v>
      </c>
      <c r="V7" s="1064" t="s">
        <v>1398</v>
      </c>
      <c r="W7" s="1065">
        <f t="shared" ref="W7:W15" si="2">J7</f>
        <v>100</v>
      </c>
      <c r="X7" s="1066"/>
      <c r="Y7" s="3377" t="s">
        <v>1397</v>
      </c>
      <c r="Z7" s="3378"/>
      <c r="AA7" s="1068">
        <f>D7/F7</f>
        <v>1</v>
      </c>
      <c r="AB7" s="1068">
        <f>D7/H7</f>
        <v>1</v>
      </c>
      <c r="AC7" s="2102">
        <f>D7/J7</f>
        <v>1</v>
      </c>
    </row>
    <row r="8" spans="1:29" s="1008" customFormat="1" ht="15">
      <c r="A8" s="1053" t="s">
        <v>1399</v>
      </c>
      <c r="B8" s="1054"/>
      <c r="C8" s="1069" t="s">
        <v>1400</v>
      </c>
      <c r="D8" s="1056">
        <v>100</v>
      </c>
      <c r="E8" s="1069" t="s">
        <v>1401</v>
      </c>
      <c r="F8" s="1058">
        <f>SUMIF(62:62,E8,63:63)-SUMIF(62:62,C8,63:63)+100</f>
        <v>105</v>
      </c>
      <c r="G8" s="1069" t="s">
        <v>1401</v>
      </c>
      <c r="H8" s="1056">
        <f>SUMIF(62:62,G8,63:63)-SUMIF(62:62,C8,63:63)+100</f>
        <v>105</v>
      </c>
      <c r="I8" s="1069" t="s">
        <v>1401</v>
      </c>
      <c r="J8" s="1056">
        <f>SUMIF(62:62,I8,63:63)-SUMIF(62:62,C8,63:63)+100</f>
        <v>105</v>
      </c>
      <c r="K8" s="1060"/>
      <c r="L8" s="1061"/>
      <c r="M8" s="1062"/>
      <c r="N8" s="1062"/>
      <c r="O8" s="1062"/>
      <c r="P8" s="3375" t="s">
        <v>1402</v>
      </c>
      <c r="Q8" s="3378"/>
      <c r="R8" s="1064" t="s">
        <v>1398</v>
      </c>
      <c r="S8" s="1065">
        <f t="shared" si="0"/>
        <v>105</v>
      </c>
      <c r="T8" s="1064" t="s">
        <v>1398</v>
      </c>
      <c r="U8" s="1065">
        <f t="shared" si="1"/>
        <v>105</v>
      </c>
      <c r="V8" s="1064" t="s">
        <v>1398</v>
      </c>
      <c r="W8" s="1065">
        <f t="shared" si="2"/>
        <v>105</v>
      </c>
      <c r="X8" s="1066"/>
      <c r="Y8" s="3377" t="s">
        <v>1402</v>
      </c>
      <c r="Z8" s="3378"/>
      <c r="AA8" s="1068">
        <f t="shared" ref="AA8:AA47" si="3">D8/F8</f>
        <v>0.952380952380952</v>
      </c>
      <c r="AB8" s="1068">
        <f t="shared" ref="AB8:AB47" si="4">D8/H8</f>
        <v>0.952380952380952</v>
      </c>
      <c r="AC8" s="2102">
        <f t="shared" ref="AC8:AC47" si="5">D8/J8</f>
        <v>0.952380952380952</v>
      </c>
    </row>
    <row r="9" spans="1:29" s="1008" customFormat="1">
      <c r="A9" s="1070" t="s">
        <v>1403</v>
      </c>
      <c r="B9" s="1071" t="s">
        <v>1404</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79" t="s">
        <v>1405</v>
      </c>
      <c r="Q9" s="808" t="str">
        <f t="shared" ref="Q9:Q15" si="6">B9</f>
        <v>用途</v>
      </c>
      <c r="R9" s="1064" t="s">
        <v>1398</v>
      </c>
      <c r="S9" s="1065">
        <f t="shared" si="0"/>
        <v>100</v>
      </c>
      <c r="T9" s="1064" t="s">
        <v>1398</v>
      </c>
      <c r="U9" s="1065">
        <f t="shared" si="1"/>
        <v>100</v>
      </c>
      <c r="V9" s="1064" t="s">
        <v>1398</v>
      </c>
      <c r="W9" s="1065">
        <f t="shared" si="2"/>
        <v>100</v>
      </c>
      <c r="X9" s="1066"/>
      <c r="Y9" s="3356" t="s">
        <v>1406</v>
      </c>
      <c r="Z9" s="1068" t="str">
        <f t="shared" ref="Z9:Z15" si="7">Q9</f>
        <v>用途</v>
      </c>
      <c r="AA9" s="1068">
        <f t="shared" si="3"/>
        <v>1</v>
      </c>
      <c r="AB9" s="1068">
        <f t="shared" si="4"/>
        <v>1</v>
      </c>
      <c r="AC9" s="2102">
        <f t="shared" si="5"/>
        <v>1</v>
      </c>
    </row>
    <row r="10" spans="1:29" s="1009" customFormat="1" ht="27">
      <c r="A10" s="1075"/>
      <c r="B10" s="1076" t="s">
        <v>1407</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79"/>
      <c r="Q10" s="808" t="str">
        <f t="shared" si="6"/>
        <v>土地使用年限（年）</v>
      </c>
      <c r="R10" s="1064" t="s">
        <v>1398</v>
      </c>
      <c r="S10" s="1065">
        <f t="shared" si="0"/>
        <v>100</v>
      </c>
      <c r="T10" s="1064" t="s">
        <v>1398</v>
      </c>
      <c r="U10" s="1065">
        <f t="shared" si="1"/>
        <v>100</v>
      </c>
      <c r="V10" s="1064" t="s">
        <v>1398</v>
      </c>
      <c r="W10" s="1065">
        <f t="shared" si="2"/>
        <v>100</v>
      </c>
      <c r="X10" s="1066"/>
      <c r="Y10" s="3356"/>
      <c r="Z10" s="1068" t="str">
        <f t="shared" si="7"/>
        <v>土地使用年限（年）</v>
      </c>
      <c r="AA10" s="1068">
        <f t="shared" si="3"/>
        <v>1</v>
      </c>
      <c r="AB10" s="1068">
        <f t="shared" si="4"/>
        <v>1</v>
      </c>
      <c r="AC10" s="2102">
        <f t="shared" si="5"/>
        <v>1</v>
      </c>
    </row>
    <row r="11" spans="1:29" ht="15">
      <c r="A11" s="1083"/>
      <c r="B11" s="1076" t="s">
        <v>1408</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79"/>
      <c r="Q11" s="808" t="str">
        <f t="shared" si="6"/>
        <v>容积率</v>
      </c>
      <c r="R11" s="1064" t="s">
        <v>1398</v>
      </c>
      <c r="S11" s="1065">
        <f t="shared" si="0"/>
        <v>100</v>
      </c>
      <c r="T11" s="1064" t="s">
        <v>1398</v>
      </c>
      <c r="U11" s="1065">
        <f t="shared" si="1"/>
        <v>100</v>
      </c>
      <c r="V11" s="1064" t="s">
        <v>1398</v>
      </c>
      <c r="W11" s="1065">
        <f t="shared" si="2"/>
        <v>100</v>
      </c>
      <c r="X11" s="1066"/>
      <c r="Y11" s="3356"/>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79"/>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79"/>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79"/>
      <c r="Q14" s="808">
        <f t="shared" si="6"/>
        <v>111</v>
      </c>
      <c r="R14" s="1064" t="s">
        <v>1398</v>
      </c>
      <c r="S14" s="1065">
        <f t="shared" si="0"/>
        <v>100</v>
      </c>
      <c r="T14" s="1064" t="s">
        <v>1398</v>
      </c>
      <c r="U14" s="1065">
        <f t="shared" si="1"/>
        <v>100</v>
      </c>
      <c r="V14" s="1064" t="s">
        <v>1398</v>
      </c>
      <c r="W14" s="1065">
        <f t="shared" si="2"/>
        <v>100</v>
      </c>
      <c r="X14" s="1066"/>
      <c r="Y14" s="3356"/>
      <c r="Z14" s="1068">
        <f t="shared" si="7"/>
        <v>111</v>
      </c>
      <c r="AA14" s="1068">
        <f t="shared" si="3"/>
        <v>1</v>
      </c>
      <c r="AB14" s="1068">
        <f t="shared" si="4"/>
        <v>1</v>
      </c>
      <c r="AC14" s="2102">
        <f t="shared" si="5"/>
        <v>1</v>
      </c>
    </row>
    <row r="15" spans="1:29" ht="15">
      <c r="A15" s="1100" t="s">
        <v>1409</v>
      </c>
      <c r="B15" s="1101" t="s">
        <v>1410</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2" t="s">
        <v>1411</v>
      </c>
      <c r="Q15" s="704" t="str">
        <f t="shared" si="6"/>
        <v>办公集聚程度</v>
      </c>
      <c r="R15" s="1106" t="s">
        <v>1398</v>
      </c>
      <c r="S15" s="1107">
        <f t="shared" si="0"/>
        <v>100</v>
      </c>
      <c r="T15" s="1106" t="s">
        <v>1398</v>
      </c>
      <c r="U15" s="1107">
        <f t="shared" si="1"/>
        <v>100</v>
      </c>
      <c r="V15" s="1106" t="s">
        <v>1398</v>
      </c>
      <c r="W15" s="1107">
        <f t="shared" si="2"/>
        <v>100</v>
      </c>
      <c r="X15" s="1045"/>
      <c r="Y15" s="3387" t="s">
        <v>1411</v>
      </c>
      <c r="Z15" s="1044" t="str">
        <f t="shared" si="7"/>
        <v>办公集聚程度</v>
      </c>
      <c r="AA15" s="1044">
        <f t="shared" si="3"/>
        <v>1</v>
      </c>
      <c r="AB15" s="1044">
        <f t="shared" si="4"/>
        <v>1</v>
      </c>
      <c r="AC15" s="2105">
        <f t="shared" si="5"/>
        <v>1</v>
      </c>
    </row>
    <row r="16" spans="1:29" ht="15">
      <c r="A16" s="1083"/>
      <c r="B16" s="1108"/>
      <c r="C16" s="1111" t="s">
        <v>1412</v>
      </c>
      <c r="D16" s="1110"/>
      <c r="E16" s="1111" t="s">
        <v>1412</v>
      </c>
      <c r="F16" s="1110"/>
      <c r="G16" s="1111" t="s">
        <v>1412</v>
      </c>
      <c r="H16" s="1112"/>
      <c r="I16" s="1111" t="s">
        <v>1412</v>
      </c>
      <c r="J16" s="1110"/>
      <c r="K16" s="1395"/>
      <c r="L16" s="1095"/>
      <c r="M16" s="1041"/>
      <c r="N16" s="1041"/>
      <c r="O16" s="1041"/>
      <c r="P16" s="3383"/>
      <c r="Q16" s="704"/>
      <c r="R16" s="1106"/>
      <c r="S16" s="1107"/>
      <c r="T16" s="1106"/>
      <c r="U16" s="1107"/>
      <c r="V16" s="1106"/>
      <c r="W16" s="1107"/>
      <c r="X16" s="1045"/>
      <c r="Y16" s="3388"/>
      <c r="Z16" s="1044"/>
      <c r="AA16" s="1044">
        <v>1</v>
      </c>
      <c r="AB16" s="1044">
        <v>1</v>
      </c>
      <c r="AC16" s="2105">
        <v>1</v>
      </c>
    </row>
    <row r="17" spans="1:29" ht="15">
      <c r="A17" s="1083"/>
      <c r="B17" s="1114" t="s">
        <v>1413</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3"/>
      <c r="Q17" s="704" t="str">
        <f>B17</f>
        <v>交通便捷度</v>
      </c>
      <c r="R17" s="1106" t="s">
        <v>1398</v>
      </c>
      <c r="S17" s="1107">
        <f>F17</f>
        <v>100</v>
      </c>
      <c r="T17" s="1106" t="s">
        <v>1398</v>
      </c>
      <c r="U17" s="1107">
        <f>H17</f>
        <v>100</v>
      </c>
      <c r="V17" s="1106" t="s">
        <v>1398</v>
      </c>
      <c r="W17" s="1107">
        <f>J17</f>
        <v>100</v>
      </c>
      <c r="X17" s="1045"/>
      <c r="Y17" s="3388"/>
      <c r="Z17" s="1044" t="str">
        <f>Q17</f>
        <v>交通便捷度</v>
      </c>
      <c r="AA17" s="1044">
        <f t="shared" si="3"/>
        <v>1</v>
      </c>
      <c r="AB17" s="1044">
        <f t="shared" si="4"/>
        <v>1</v>
      </c>
      <c r="AC17" s="2105">
        <f t="shared" si="5"/>
        <v>1</v>
      </c>
    </row>
    <row r="18" spans="1:29" ht="15">
      <c r="A18" s="1083"/>
      <c r="B18" s="1119"/>
      <c r="C18" s="1111" t="s">
        <v>1412</v>
      </c>
      <c r="D18" s="1112"/>
      <c r="E18" s="1111" t="s">
        <v>1412</v>
      </c>
      <c r="F18" s="1112"/>
      <c r="G18" s="1111" t="s">
        <v>1412</v>
      </c>
      <c r="H18" s="1110"/>
      <c r="I18" s="1111" t="s">
        <v>1412</v>
      </c>
      <c r="J18" s="1110"/>
      <c r="K18" s="1395"/>
      <c r="L18" s="1095"/>
      <c r="M18" s="1041"/>
      <c r="N18" s="1041"/>
      <c r="O18" s="1041"/>
      <c r="P18" s="3383"/>
      <c r="Q18" s="704"/>
      <c r="R18" s="1106"/>
      <c r="S18" s="1107"/>
      <c r="T18" s="1106"/>
      <c r="U18" s="1107"/>
      <c r="V18" s="1106"/>
      <c r="W18" s="1107"/>
      <c r="X18" s="1045"/>
      <c r="Y18" s="3388"/>
      <c r="Z18" s="1044"/>
      <c r="AA18" s="1044">
        <v>1</v>
      </c>
      <c r="AB18" s="1044">
        <v>1</v>
      </c>
      <c r="AC18" s="2105">
        <v>1</v>
      </c>
    </row>
    <row r="19" spans="1:29" ht="15">
      <c r="A19" s="1083"/>
      <c r="B19" s="1114" t="s">
        <v>1414</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3"/>
      <c r="Q19" s="704" t="str">
        <f>B19</f>
        <v>公共配套设施</v>
      </c>
      <c r="R19" s="1106" t="s">
        <v>1398</v>
      </c>
      <c r="S19" s="1107">
        <f>F19</f>
        <v>100</v>
      </c>
      <c r="T19" s="1106" t="s">
        <v>1398</v>
      </c>
      <c r="U19" s="1107">
        <f>H19</f>
        <v>100</v>
      </c>
      <c r="V19" s="1106" t="s">
        <v>1398</v>
      </c>
      <c r="W19" s="1107">
        <f>J19</f>
        <v>100</v>
      </c>
      <c r="X19" s="1045"/>
      <c r="Y19" s="3388"/>
      <c r="Z19" s="1044" t="str">
        <f>Q19</f>
        <v>公共配套设施</v>
      </c>
      <c r="AA19" s="1044">
        <f t="shared" si="3"/>
        <v>1</v>
      </c>
      <c r="AB19" s="1044">
        <f t="shared" si="4"/>
        <v>1</v>
      </c>
      <c r="AC19" s="2105">
        <f t="shared" si="5"/>
        <v>1</v>
      </c>
    </row>
    <row r="20" spans="1:29" ht="15">
      <c r="A20" s="1083"/>
      <c r="B20" s="1119"/>
      <c r="C20" s="1111" t="s">
        <v>1412</v>
      </c>
      <c r="D20" s="1110"/>
      <c r="E20" s="1111" t="s">
        <v>1412</v>
      </c>
      <c r="F20" s="1110"/>
      <c r="G20" s="1111" t="s">
        <v>1412</v>
      </c>
      <c r="H20" s="1110"/>
      <c r="I20" s="1111" t="s">
        <v>1412</v>
      </c>
      <c r="J20" s="1110"/>
      <c r="K20" s="1395"/>
      <c r="L20" s="1095"/>
      <c r="M20" s="1041"/>
      <c r="N20" s="1041"/>
      <c r="O20" s="1041"/>
      <c r="P20" s="3383"/>
      <c r="Q20" s="704"/>
      <c r="R20" s="1106"/>
      <c r="S20" s="1107"/>
      <c r="T20" s="1106"/>
      <c r="U20" s="1107"/>
      <c r="V20" s="1106"/>
      <c r="W20" s="1107"/>
      <c r="X20" s="1045"/>
      <c r="Y20" s="3388"/>
      <c r="Z20" s="1044"/>
      <c r="AA20" s="1044">
        <v>1</v>
      </c>
      <c r="AB20" s="1044">
        <v>1</v>
      </c>
      <c r="AC20" s="2105">
        <v>1</v>
      </c>
    </row>
    <row r="21" spans="1:29" ht="15">
      <c r="A21" s="1083"/>
      <c r="B21" s="1124" t="s">
        <v>1415</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3"/>
      <c r="Q21" s="704" t="str">
        <f>B21</f>
        <v>基础设施水平</v>
      </c>
      <c r="R21" s="1106" t="s">
        <v>1398</v>
      </c>
      <c r="S21" s="1107">
        <f>F21</f>
        <v>100</v>
      </c>
      <c r="T21" s="1106" t="s">
        <v>1398</v>
      </c>
      <c r="U21" s="1107">
        <f>H21</f>
        <v>100</v>
      </c>
      <c r="V21" s="1106" t="s">
        <v>1398</v>
      </c>
      <c r="W21" s="1107">
        <f>J21</f>
        <v>100</v>
      </c>
      <c r="X21" s="1045"/>
      <c r="Y21" s="3388"/>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83"/>
      <c r="Q22" s="704"/>
      <c r="R22" s="1106"/>
      <c r="S22" s="1107"/>
      <c r="T22" s="1106"/>
      <c r="U22" s="1107"/>
      <c r="V22" s="1106"/>
      <c r="W22" s="1107"/>
      <c r="X22" s="1045"/>
      <c r="Y22" s="3388"/>
      <c r="Z22" s="1044"/>
      <c r="AA22" s="1044">
        <v>1</v>
      </c>
      <c r="AB22" s="1044">
        <v>1</v>
      </c>
      <c r="AC22" s="2105">
        <v>1</v>
      </c>
    </row>
    <row r="23" spans="1:29" ht="15">
      <c r="A23" s="1083"/>
      <c r="B23" s="1114" t="s">
        <v>1416</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3"/>
      <c r="Q23" s="704" t="str">
        <f>B23</f>
        <v>环境质量</v>
      </c>
      <c r="R23" s="1106" t="s">
        <v>1398</v>
      </c>
      <c r="S23" s="1107">
        <f>F23</f>
        <v>100</v>
      </c>
      <c r="T23" s="1106" t="s">
        <v>1398</v>
      </c>
      <c r="U23" s="1107">
        <f>H23</f>
        <v>100</v>
      </c>
      <c r="V23" s="1106" t="s">
        <v>1398</v>
      </c>
      <c r="W23" s="1107">
        <f>J23</f>
        <v>100</v>
      </c>
      <c r="X23" s="1045"/>
      <c r="Y23" s="3388"/>
      <c r="Z23" s="1044" t="str">
        <f>Q23</f>
        <v>环境质量</v>
      </c>
      <c r="AA23" s="1044">
        <f t="shared" si="3"/>
        <v>1</v>
      </c>
      <c r="AB23" s="1044">
        <f t="shared" si="4"/>
        <v>1</v>
      </c>
      <c r="AC23" s="2105">
        <f t="shared" si="5"/>
        <v>1</v>
      </c>
    </row>
    <row r="24" spans="1:29" ht="15">
      <c r="A24" s="1083"/>
      <c r="B24" s="1124"/>
      <c r="C24" s="1111" t="s">
        <v>1417</v>
      </c>
      <c r="D24" s="1110"/>
      <c r="E24" s="1111" t="s">
        <v>1417</v>
      </c>
      <c r="F24" s="1110"/>
      <c r="G24" s="1111" t="s">
        <v>1417</v>
      </c>
      <c r="H24" s="1110"/>
      <c r="I24" s="1111" t="s">
        <v>1417</v>
      </c>
      <c r="J24" s="1110"/>
      <c r="K24" s="1395"/>
      <c r="L24" s="1095"/>
      <c r="M24" s="1041"/>
      <c r="N24" s="1041"/>
      <c r="O24" s="1041"/>
      <c r="P24" s="3383"/>
      <c r="Q24" s="704"/>
      <c r="R24" s="1106"/>
      <c r="S24" s="1107"/>
      <c r="T24" s="1106"/>
      <c r="U24" s="1107"/>
      <c r="V24" s="1106"/>
      <c r="W24" s="1107"/>
      <c r="X24" s="1045"/>
      <c r="Y24" s="3388"/>
      <c r="Z24" s="1044"/>
      <c r="AA24" s="1044">
        <v>1</v>
      </c>
      <c r="AB24" s="1044">
        <v>1</v>
      </c>
      <c r="AC24" s="2105">
        <v>1</v>
      </c>
    </row>
    <row r="25" spans="1:29" ht="27">
      <c r="A25" s="1046"/>
      <c r="B25" s="1114" t="s">
        <v>1418</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3"/>
      <c r="Q25" s="704" t="str">
        <f>B25</f>
        <v>毗邻道路的类型与等级</v>
      </c>
      <c r="R25" s="1106" t="s">
        <v>1398</v>
      </c>
      <c r="S25" s="1107">
        <f>F25</f>
        <v>100</v>
      </c>
      <c r="T25" s="1106" t="s">
        <v>1398</v>
      </c>
      <c r="U25" s="1107">
        <f>H25</f>
        <v>100</v>
      </c>
      <c r="V25" s="1106" t="s">
        <v>1398</v>
      </c>
      <c r="W25" s="1107">
        <f>J25</f>
        <v>100</v>
      </c>
      <c r="X25" s="1045"/>
      <c r="Y25" s="3388"/>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83"/>
      <c r="Q26" s="704"/>
      <c r="R26" s="1106"/>
      <c r="S26" s="1107"/>
      <c r="T26" s="1106"/>
      <c r="U26" s="1107"/>
      <c r="V26" s="1106"/>
      <c r="W26" s="1107"/>
      <c r="X26" s="1045"/>
      <c r="Y26" s="3388"/>
      <c r="Z26" s="1044"/>
      <c r="AA26" s="1044">
        <v>1</v>
      </c>
      <c r="AB26" s="1044">
        <v>1</v>
      </c>
      <c r="AC26" s="2105">
        <v>1</v>
      </c>
    </row>
    <row r="27" spans="1:29" ht="15">
      <c r="A27" s="1083"/>
      <c r="B27" s="1119" t="s">
        <v>1419</v>
      </c>
      <c r="C27" s="1128" t="s">
        <v>1420</v>
      </c>
      <c r="D27" s="705">
        <v>100</v>
      </c>
      <c r="E27" s="1128" t="s">
        <v>1420</v>
      </c>
      <c r="F27" s="705">
        <f>SUMIF(89:89,E27,90:90)-SUMIF(89:89,C27,90:90)+100</f>
        <v>100</v>
      </c>
      <c r="G27" s="1128" t="s">
        <v>1421</v>
      </c>
      <c r="H27" s="705">
        <f>SUMIF(89:89,G27,90:90)-SUMIF(89:89,C27,90:90)+100</f>
        <v>103</v>
      </c>
      <c r="I27" s="1128" t="s">
        <v>1420</v>
      </c>
      <c r="J27" s="705">
        <f>SUMIF(89:89,I27,90:90)-SUMIF(89:89,C27,90:90)+100</f>
        <v>100</v>
      </c>
      <c r="K27" s="1132">
        <v>3</v>
      </c>
      <c r="L27" s="1095"/>
      <c r="M27" s="1041"/>
      <c r="N27" s="1041"/>
      <c r="O27" s="1041"/>
      <c r="P27" s="3383"/>
      <c r="Q27" s="704" t="str">
        <f t="shared" ref="Q27:Q47" si="11">B27</f>
        <v>楼层</v>
      </c>
      <c r="R27" s="1106" t="s">
        <v>1398</v>
      </c>
      <c r="S27" s="1107">
        <f>F27</f>
        <v>100</v>
      </c>
      <c r="T27" s="1106" t="s">
        <v>1398</v>
      </c>
      <c r="U27" s="1107">
        <f>H27</f>
        <v>103</v>
      </c>
      <c r="V27" s="1106" t="s">
        <v>1398</v>
      </c>
      <c r="W27" s="1107">
        <f>J27</f>
        <v>100</v>
      </c>
      <c r="X27" s="1045"/>
      <c r="Y27" s="3388"/>
      <c r="Z27" s="1044" t="str">
        <f>Q27</f>
        <v>楼层</v>
      </c>
      <c r="AA27" s="1044">
        <f t="shared" si="3"/>
        <v>1</v>
      </c>
      <c r="AB27" s="1044">
        <f t="shared" si="4"/>
        <v>0.970873786407767</v>
      </c>
      <c r="AC27" s="2105">
        <f t="shared" si="5"/>
        <v>1</v>
      </c>
    </row>
    <row r="28" spans="1:29" s="1008" customFormat="1" ht="15" hidden="1">
      <c r="A28" s="1089"/>
      <c r="B28" s="1114" t="s">
        <v>1422</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83"/>
      <c r="Q28" s="808" t="str">
        <f t="shared" si="11"/>
        <v>朝向</v>
      </c>
      <c r="R28" s="1064" t="s">
        <v>1398</v>
      </c>
      <c r="S28" s="1065">
        <f>F28</f>
        <v>100</v>
      </c>
      <c r="T28" s="1064" t="s">
        <v>1398</v>
      </c>
      <c r="U28" s="1065">
        <f>H28</f>
        <v>100</v>
      </c>
      <c r="V28" s="1064" t="s">
        <v>1398</v>
      </c>
      <c r="W28" s="1065">
        <f>J28</f>
        <v>100</v>
      </c>
      <c r="X28" s="1066"/>
      <c r="Y28" s="3388"/>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83"/>
      <c r="Q29" s="704">
        <f t="shared" si="11"/>
        <v>111</v>
      </c>
      <c r="R29" s="1106" t="s">
        <v>1398</v>
      </c>
      <c r="S29" s="1107">
        <f t="shared" ref="S29:S47" si="12">F29</f>
        <v>100</v>
      </c>
      <c r="T29" s="1106" t="s">
        <v>1398</v>
      </c>
      <c r="U29" s="1107">
        <f t="shared" ref="U29:U47" si="13">H29</f>
        <v>100</v>
      </c>
      <c r="V29" s="1106" t="s">
        <v>1398</v>
      </c>
      <c r="W29" s="1107">
        <f t="shared" ref="W29:W47" si="14">J29</f>
        <v>100</v>
      </c>
      <c r="X29" s="1045"/>
      <c r="Y29" s="3388"/>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83"/>
      <c r="Q30" s="704">
        <f t="shared" si="11"/>
        <v>111</v>
      </c>
      <c r="R30" s="1106" t="s">
        <v>1398</v>
      </c>
      <c r="S30" s="1107">
        <f t="shared" si="12"/>
        <v>100</v>
      </c>
      <c r="T30" s="1106" t="s">
        <v>1398</v>
      </c>
      <c r="U30" s="1107">
        <f t="shared" si="13"/>
        <v>100</v>
      </c>
      <c r="V30" s="1106" t="s">
        <v>1398</v>
      </c>
      <c r="W30" s="1107">
        <f t="shared" si="14"/>
        <v>100</v>
      </c>
      <c r="X30" s="1045"/>
      <c r="Y30" s="3388"/>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83"/>
      <c r="Q31" s="704">
        <f t="shared" si="11"/>
        <v>111</v>
      </c>
      <c r="R31" s="1106" t="s">
        <v>1398</v>
      </c>
      <c r="S31" s="1107">
        <f t="shared" si="12"/>
        <v>100</v>
      </c>
      <c r="T31" s="1106" t="s">
        <v>1398</v>
      </c>
      <c r="U31" s="1107">
        <f t="shared" si="13"/>
        <v>100</v>
      </c>
      <c r="V31" s="1106" t="s">
        <v>1398</v>
      </c>
      <c r="W31" s="1107">
        <f t="shared" si="14"/>
        <v>100</v>
      </c>
      <c r="X31" s="1045"/>
      <c r="Y31" s="3388"/>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83"/>
      <c r="Q32" s="704">
        <f t="shared" si="11"/>
        <v>111</v>
      </c>
      <c r="R32" s="1106" t="s">
        <v>1398</v>
      </c>
      <c r="S32" s="1107">
        <f t="shared" si="12"/>
        <v>100</v>
      </c>
      <c r="T32" s="1106" t="s">
        <v>1398</v>
      </c>
      <c r="U32" s="1107">
        <f t="shared" si="13"/>
        <v>100</v>
      </c>
      <c r="V32" s="1106" t="s">
        <v>1398</v>
      </c>
      <c r="W32" s="1107">
        <f t="shared" si="14"/>
        <v>100</v>
      </c>
      <c r="X32" s="1045"/>
      <c r="Y32" s="3388"/>
      <c r="Z32" s="1044">
        <f t="shared" si="15"/>
        <v>111</v>
      </c>
      <c r="AA32" s="1044">
        <f t="shared" si="3"/>
        <v>1</v>
      </c>
      <c r="AB32" s="1044">
        <f t="shared" si="4"/>
        <v>1</v>
      </c>
      <c r="AC32" s="2105">
        <f t="shared" si="5"/>
        <v>1</v>
      </c>
    </row>
    <row r="33" spans="1:29" ht="15">
      <c r="A33" s="1100" t="s">
        <v>1423</v>
      </c>
      <c r="B33" s="1071" t="s">
        <v>1424</v>
      </c>
      <c r="C33" s="1399" t="s">
        <v>1425</v>
      </c>
      <c r="D33" s="1037">
        <v>100</v>
      </c>
      <c r="E33" s="1399" t="s">
        <v>1425</v>
      </c>
      <c r="F33" s="1182">
        <f>SUMIF(101:101,E33,102:102)-SUMIF(101:101,C33,102:102)+100</f>
        <v>100</v>
      </c>
      <c r="G33" s="1399" t="s">
        <v>1425</v>
      </c>
      <c r="H33" s="705">
        <f>SUMIF(101:101,G33,102:102)-SUMIF(101:101,C33,102:102)+100</f>
        <v>100</v>
      </c>
      <c r="I33" s="1399" t="s">
        <v>1425</v>
      </c>
      <c r="J33" s="1037">
        <f>SUMIF(101:101,I33,102:102)-SUMIF(101:101,C33,102:102)+100</f>
        <v>100</v>
      </c>
      <c r="K33" s="1132"/>
      <c r="L33" s="1095"/>
      <c r="M33" s="1041"/>
      <c r="N33" s="1041"/>
      <c r="O33" s="1041"/>
      <c r="P33" s="3384" t="s">
        <v>1426</v>
      </c>
      <c r="Q33" s="704" t="str">
        <f t="shared" si="11"/>
        <v>建筑类型</v>
      </c>
      <c r="R33" s="1106" t="s">
        <v>1398</v>
      </c>
      <c r="S33" s="1107">
        <f t="shared" si="12"/>
        <v>100</v>
      </c>
      <c r="T33" s="1106" t="s">
        <v>1398</v>
      </c>
      <c r="U33" s="1107">
        <f t="shared" si="13"/>
        <v>100</v>
      </c>
      <c r="V33" s="1106" t="s">
        <v>1398</v>
      </c>
      <c r="W33" s="1107">
        <f t="shared" si="14"/>
        <v>100</v>
      </c>
      <c r="X33" s="1045"/>
      <c r="Y33" s="3389" t="s">
        <v>1426</v>
      </c>
      <c r="Z33" s="1044" t="str">
        <f t="shared" si="15"/>
        <v>建筑类型</v>
      </c>
      <c r="AA33" s="1044">
        <f t="shared" si="3"/>
        <v>1</v>
      </c>
      <c r="AB33" s="1044">
        <f t="shared" si="4"/>
        <v>1</v>
      </c>
      <c r="AC33" s="2105">
        <f t="shared" si="5"/>
        <v>1</v>
      </c>
    </row>
    <row r="34" spans="1:29" s="1010" customFormat="1" ht="15">
      <c r="A34" s="1156"/>
      <c r="B34" s="1076" t="s">
        <v>1427</v>
      </c>
      <c r="C34" s="1391">
        <f>'数据-汇总表'!F19</f>
        <v>62.23</v>
      </c>
      <c r="D34" s="1078">
        <v>100</v>
      </c>
      <c r="E34" s="1391">
        <v>56.74</v>
      </c>
      <c r="F34" s="1076">
        <f>LOOKUP(E34,104:104,105:105)-LOOKUP(C34,104:104,105:105)+100</f>
        <v>100</v>
      </c>
      <c r="G34" s="1391">
        <v>65.19</v>
      </c>
      <c r="H34" s="1078">
        <f>LOOKUP(G34,104:104,105:105)-LOOKUP(C34,104:104,105:105)+100</f>
        <v>100</v>
      </c>
      <c r="I34" s="1391">
        <v>56.74</v>
      </c>
      <c r="J34" s="1078">
        <f>LOOKUP(I34,104:104,105:105)-LOOKUP(C34,104:104,105:105)+100</f>
        <v>100</v>
      </c>
      <c r="K34" s="1130"/>
      <c r="L34" s="1087"/>
      <c r="M34" s="1142"/>
      <c r="N34" s="1142"/>
      <c r="O34" s="1142"/>
      <c r="P34" s="3385"/>
      <c r="Q34" s="1403" t="str">
        <f t="shared" si="11"/>
        <v>项目建筑规模</v>
      </c>
      <c r="R34" s="1144" t="s">
        <v>1398</v>
      </c>
      <c r="S34" s="1145">
        <f t="shared" si="12"/>
        <v>100</v>
      </c>
      <c r="T34" s="1144" t="s">
        <v>1398</v>
      </c>
      <c r="U34" s="1145">
        <f t="shared" si="13"/>
        <v>100</v>
      </c>
      <c r="V34" s="1144" t="s">
        <v>1398</v>
      </c>
      <c r="W34" s="1145">
        <f t="shared" si="14"/>
        <v>100</v>
      </c>
      <c r="X34" s="1146"/>
      <c r="Y34" s="3389"/>
      <c r="Z34" s="1147" t="str">
        <f t="shared" si="15"/>
        <v>项目建筑规模</v>
      </c>
      <c r="AA34" s="1044">
        <f t="shared" si="3"/>
        <v>1</v>
      </c>
      <c r="AB34" s="1044">
        <f t="shared" si="4"/>
        <v>1</v>
      </c>
      <c r="AC34" s="2105">
        <f t="shared" si="5"/>
        <v>1</v>
      </c>
    </row>
    <row r="35" spans="1:29" ht="15">
      <c r="A35" s="1151"/>
      <c r="B35" s="1076" t="s">
        <v>1428</v>
      </c>
      <c r="C35" s="1404" t="s">
        <v>1429</v>
      </c>
      <c r="D35" s="705">
        <v>100</v>
      </c>
      <c r="E35" s="1404" t="s">
        <v>1429</v>
      </c>
      <c r="F35" s="1182">
        <f>SUMIF(106:106,E35,107:107)-SUMIF(106:106,C35,107:107)+100</f>
        <v>100</v>
      </c>
      <c r="G35" s="1404" t="s">
        <v>1429</v>
      </c>
      <c r="H35" s="705">
        <f>SUMIF(106:106,G35,107:107)-SUMIF(106:106,C35,107:107)+100</f>
        <v>100</v>
      </c>
      <c r="I35" s="1404" t="s">
        <v>1429</v>
      </c>
      <c r="J35" s="705">
        <f>SUMIF(106:106,I35,107:107)-SUMIF(106:106,C35,107:107)+100</f>
        <v>100</v>
      </c>
      <c r="K35" s="1132"/>
      <c r="L35" s="1095"/>
      <c r="M35" s="1041"/>
      <c r="N35" s="1041"/>
      <c r="O35" s="1041"/>
      <c r="P35" s="3385"/>
      <c r="Q35" s="704" t="str">
        <f t="shared" si="11"/>
        <v>建筑结构</v>
      </c>
      <c r="R35" s="1106" t="s">
        <v>1398</v>
      </c>
      <c r="S35" s="1107">
        <f t="shared" si="12"/>
        <v>100</v>
      </c>
      <c r="T35" s="1106" t="s">
        <v>1398</v>
      </c>
      <c r="U35" s="1107">
        <f t="shared" si="13"/>
        <v>100</v>
      </c>
      <c r="V35" s="1106" t="s">
        <v>1398</v>
      </c>
      <c r="W35" s="1107">
        <f t="shared" si="14"/>
        <v>100</v>
      </c>
      <c r="X35" s="1045"/>
      <c r="Y35" s="3389"/>
      <c r="Z35" s="1044" t="str">
        <f t="shared" si="15"/>
        <v>建筑结构</v>
      </c>
      <c r="AA35" s="1044">
        <f t="shared" si="3"/>
        <v>1</v>
      </c>
      <c r="AB35" s="1044">
        <f t="shared" si="4"/>
        <v>1</v>
      </c>
      <c r="AC35" s="2105">
        <f t="shared" si="5"/>
        <v>1</v>
      </c>
    </row>
    <row r="36" spans="1:29" ht="15">
      <c r="A36" s="1151"/>
      <c r="B36" s="1076" t="s">
        <v>1430</v>
      </c>
      <c r="C36" s="1404" t="s">
        <v>1431</v>
      </c>
      <c r="D36" s="705">
        <v>100</v>
      </c>
      <c r="E36" s="1404" t="s">
        <v>1431</v>
      </c>
      <c r="F36" s="1182">
        <f>SUMIF(108:108,E36,109:109)-SUMIF(108:108,C36,109:109)+100</f>
        <v>100</v>
      </c>
      <c r="G36" s="1404" t="s">
        <v>1431</v>
      </c>
      <c r="H36" s="705">
        <f>SUMIF(108:108,G36,109:109)-SUMIF(108:108,C36,109:109)+100</f>
        <v>100</v>
      </c>
      <c r="I36" s="1404" t="s">
        <v>1431</v>
      </c>
      <c r="J36" s="705">
        <f>SUMIF(108:108,I36,109:109)-SUMIF(108:108,C36,109:109)+100</f>
        <v>100</v>
      </c>
      <c r="K36" s="1132"/>
      <c r="L36" s="1095"/>
      <c r="M36" s="1041"/>
      <c r="N36" s="1041"/>
      <c r="O36" s="1041"/>
      <c r="P36" s="3385"/>
      <c r="Q36" s="704" t="str">
        <f t="shared" si="11"/>
        <v>公共部分装修</v>
      </c>
      <c r="R36" s="1106" t="s">
        <v>1398</v>
      </c>
      <c r="S36" s="1107">
        <f t="shared" si="12"/>
        <v>100</v>
      </c>
      <c r="T36" s="1106" t="s">
        <v>1398</v>
      </c>
      <c r="U36" s="1107">
        <f t="shared" si="13"/>
        <v>100</v>
      </c>
      <c r="V36" s="1106" t="s">
        <v>1398</v>
      </c>
      <c r="W36" s="1107">
        <f t="shared" si="14"/>
        <v>100</v>
      </c>
      <c r="X36" s="1045"/>
      <c r="Y36" s="3389"/>
      <c r="Z36" s="1044" t="str">
        <f t="shared" si="15"/>
        <v>公共部分装修</v>
      </c>
      <c r="AA36" s="1044">
        <f t="shared" si="3"/>
        <v>1</v>
      </c>
      <c r="AB36" s="1044">
        <f t="shared" si="4"/>
        <v>1</v>
      </c>
      <c r="AC36" s="2105">
        <f t="shared" si="5"/>
        <v>1</v>
      </c>
    </row>
    <row r="37" spans="1:29" ht="15">
      <c r="A37" s="1151"/>
      <c r="B37" s="1076" t="s">
        <v>686</v>
      </c>
      <c r="C37" s="1400">
        <f>'数据-取费表'!N6</f>
        <v>0.85</v>
      </c>
      <c r="D37" s="705">
        <v>100</v>
      </c>
      <c r="E37" s="1400">
        <f>C37</f>
        <v>0.85</v>
      </c>
      <c r="F37" s="1182">
        <f>LOOKUP(E37,111:111,112:112)-LOOKUP(C37,111:111,112:112)+100</f>
        <v>100</v>
      </c>
      <c r="G37" s="1400">
        <f>E37</f>
        <v>0.85</v>
      </c>
      <c r="H37" s="1182">
        <f>LOOKUP(G37,111:111,112:112)-LOOKUP(C37,111:111,112:112)+100</f>
        <v>100</v>
      </c>
      <c r="I37" s="1400">
        <f>G37</f>
        <v>0.85</v>
      </c>
      <c r="J37" s="705">
        <f>LOOKUP(I37,111:111,112:112)-LOOKUP(C37,111:111,112:112)+100</f>
        <v>100</v>
      </c>
      <c r="K37" s="1132"/>
      <c r="L37" s="1095"/>
      <c r="M37" s="1041"/>
      <c r="N37" s="1041"/>
      <c r="O37" s="1041"/>
      <c r="P37" s="3385"/>
      <c r="Q37" s="704" t="str">
        <f t="shared" si="11"/>
        <v>成新度</v>
      </c>
      <c r="R37" s="1106" t="s">
        <v>1398</v>
      </c>
      <c r="S37" s="1107">
        <f t="shared" si="12"/>
        <v>100</v>
      </c>
      <c r="T37" s="1106" t="s">
        <v>1398</v>
      </c>
      <c r="U37" s="1107">
        <f t="shared" si="13"/>
        <v>100</v>
      </c>
      <c r="V37" s="1106" t="s">
        <v>1398</v>
      </c>
      <c r="W37" s="1107">
        <f t="shared" si="14"/>
        <v>100</v>
      </c>
      <c r="X37" s="1045"/>
      <c r="Y37" s="3389"/>
      <c r="Z37" s="1044" t="str">
        <f t="shared" si="15"/>
        <v>成新度</v>
      </c>
      <c r="AA37" s="1044">
        <f t="shared" si="3"/>
        <v>1</v>
      </c>
      <c r="AB37" s="1044">
        <f t="shared" si="4"/>
        <v>1</v>
      </c>
      <c r="AC37" s="2105">
        <f t="shared" si="5"/>
        <v>1</v>
      </c>
    </row>
    <row r="38" spans="1:29" s="1008" customFormat="1" ht="15">
      <c r="A38" s="1153"/>
      <c r="B38" s="1076" t="s">
        <v>1432</v>
      </c>
      <c r="C38" s="1404" t="s">
        <v>1433</v>
      </c>
      <c r="D38" s="1078">
        <v>100</v>
      </c>
      <c r="E38" s="1404" t="s">
        <v>1433</v>
      </c>
      <c r="F38" s="1182">
        <f>SUMIF(113:113,E38,114:114)-SUMIF(113:113,C38,114:114)+100</f>
        <v>100</v>
      </c>
      <c r="G38" s="1404" t="s">
        <v>1433</v>
      </c>
      <c r="H38" s="705">
        <f>SUMIF(113:113,G38,114:114)-SUMIF(113:113,C38,114:114)+100</f>
        <v>100</v>
      </c>
      <c r="I38" s="1404" t="s">
        <v>1433</v>
      </c>
      <c r="J38" s="705">
        <f>SUMIF(113:113,I38,114:114)-SUMIF(113:113,C38,114:114)+100</f>
        <v>100</v>
      </c>
      <c r="K38" s="1132"/>
      <c r="L38" s="1061"/>
      <c r="M38" s="1062"/>
      <c r="N38" s="1062"/>
      <c r="O38" s="1062"/>
      <c r="P38" s="3385"/>
      <c r="Q38" s="808" t="str">
        <f t="shared" si="11"/>
        <v>写字楼等级</v>
      </c>
      <c r="R38" s="1064" t="s">
        <v>1398</v>
      </c>
      <c r="S38" s="1065">
        <f t="shared" si="12"/>
        <v>100</v>
      </c>
      <c r="T38" s="1064" t="s">
        <v>1398</v>
      </c>
      <c r="U38" s="1065">
        <f t="shared" si="13"/>
        <v>100</v>
      </c>
      <c r="V38" s="1064" t="s">
        <v>1398</v>
      </c>
      <c r="W38" s="1065">
        <f t="shared" si="14"/>
        <v>100</v>
      </c>
      <c r="X38" s="1066"/>
      <c r="Y38" s="3389"/>
      <c r="Z38" s="1068" t="str">
        <f t="shared" si="15"/>
        <v>写字楼等级</v>
      </c>
      <c r="AA38" s="1068">
        <f t="shared" si="3"/>
        <v>1</v>
      </c>
      <c r="AB38" s="1068">
        <f t="shared" si="4"/>
        <v>1</v>
      </c>
      <c r="AC38" s="2102">
        <f t="shared" si="5"/>
        <v>1</v>
      </c>
    </row>
    <row r="39" spans="1:29" ht="15">
      <c r="A39" s="1151"/>
      <c r="B39" s="1076" t="s">
        <v>1434</v>
      </c>
      <c r="C39" s="1404" t="s">
        <v>1435</v>
      </c>
      <c r="D39" s="705">
        <v>100</v>
      </c>
      <c r="E39" s="1404" t="s">
        <v>1435</v>
      </c>
      <c r="F39" s="1182">
        <f>SUMIF(115:115,E39,116:116)-SUMIF(115:115,C39,116:116)+100</f>
        <v>100</v>
      </c>
      <c r="G39" s="1404" t="s">
        <v>1435</v>
      </c>
      <c r="H39" s="705">
        <f>SUMIF(115:115,G39,116:116)-SUMIF(115:115,C39,116:116)+100</f>
        <v>100</v>
      </c>
      <c r="I39" s="1404" t="s">
        <v>1435</v>
      </c>
      <c r="J39" s="705">
        <f>SUMIF(115:115,I39,116:116)-SUMIF(115:115,C39,116:116)+100</f>
        <v>100</v>
      </c>
      <c r="K39" s="1132"/>
      <c r="L39" s="1095"/>
      <c r="M39" s="1041"/>
      <c r="N39" s="1041"/>
      <c r="O39" s="1041"/>
      <c r="P39" s="3385" t="s">
        <v>1426</v>
      </c>
      <c r="Q39" s="704" t="str">
        <f t="shared" si="11"/>
        <v>物业管理</v>
      </c>
      <c r="R39" s="1106" t="s">
        <v>1398</v>
      </c>
      <c r="S39" s="1107">
        <f t="shared" si="12"/>
        <v>100</v>
      </c>
      <c r="T39" s="1106" t="s">
        <v>1398</v>
      </c>
      <c r="U39" s="1107">
        <f t="shared" si="13"/>
        <v>100</v>
      </c>
      <c r="V39" s="1106" t="s">
        <v>1398</v>
      </c>
      <c r="W39" s="1107">
        <f t="shared" si="14"/>
        <v>100</v>
      </c>
      <c r="X39" s="1045"/>
      <c r="Y39" s="3389" t="s">
        <v>1426</v>
      </c>
      <c r="Z39" s="1044" t="str">
        <f t="shared" si="15"/>
        <v>物业管理</v>
      </c>
      <c r="AA39" s="1044">
        <f t="shared" si="3"/>
        <v>1</v>
      </c>
      <c r="AB39" s="1044">
        <f t="shared" si="4"/>
        <v>1</v>
      </c>
      <c r="AC39" s="2105">
        <f t="shared" si="5"/>
        <v>1</v>
      </c>
    </row>
    <row r="40" spans="1:29" ht="15">
      <c r="A40" s="1151"/>
      <c r="B40" s="1076" t="s">
        <v>1436</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5"/>
      <c r="Q40" s="704" t="str">
        <f t="shared" si="11"/>
        <v>市政基础设施</v>
      </c>
      <c r="R40" s="1106" t="s">
        <v>1398</v>
      </c>
      <c r="S40" s="1107">
        <f t="shared" si="12"/>
        <v>100</v>
      </c>
      <c r="T40" s="1106" t="s">
        <v>1398</v>
      </c>
      <c r="U40" s="1107">
        <f t="shared" si="13"/>
        <v>100</v>
      </c>
      <c r="V40" s="1106" t="s">
        <v>1398</v>
      </c>
      <c r="W40" s="1107">
        <f t="shared" si="14"/>
        <v>100</v>
      </c>
      <c r="X40" s="1045"/>
      <c r="Y40" s="3389"/>
      <c r="Z40" s="1044" t="str">
        <f t="shared" si="15"/>
        <v>市政基础设施</v>
      </c>
      <c r="AA40" s="1044">
        <f t="shared" si="3"/>
        <v>1</v>
      </c>
      <c r="AB40" s="1044">
        <f t="shared" si="4"/>
        <v>1</v>
      </c>
      <c r="AC40" s="2105">
        <f t="shared" si="5"/>
        <v>1</v>
      </c>
    </row>
    <row r="41" spans="1:29" ht="15">
      <c r="A41" s="1151"/>
      <c r="B41" s="1076" t="s">
        <v>1437</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85"/>
      <c r="Q41" s="704" t="str">
        <f t="shared" si="11"/>
        <v>层高</v>
      </c>
      <c r="R41" s="1106" t="s">
        <v>1398</v>
      </c>
      <c r="S41" s="1107">
        <f t="shared" si="12"/>
        <v>100</v>
      </c>
      <c r="T41" s="1106" t="s">
        <v>1398</v>
      </c>
      <c r="U41" s="1107">
        <f t="shared" si="13"/>
        <v>100</v>
      </c>
      <c r="V41" s="1106" t="s">
        <v>1398</v>
      </c>
      <c r="W41" s="1107">
        <f t="shared" si="14"/>
        <v>100</v>
      </c>
      <c r="X41" s="1045"/>
      <c r="Y41" s="3389"/>
      <c r="Z41" s="1044" t="str">
        <f t="shared" si="15"/>
        <v>层高</v>
      </c>
      <c r="AA41" s="1044">
        <f t="shared" si="3"/>
        <v>1</v>
      </c>
      <c r="AB41" s="1044">
        <f t="shared" si="4"/>
        <v>1</v>
      </c>
      <c r="AC41" s="2105">
        <f t="shared" si="5"/>
        <v>1</v>
      </c>
    </row>
    <row r="42" spans="1:29" s="1010" customFormat="1" ht="15">
      <c r="A42" s="1156"/>
      <c r="B42" s="1182" t="s">
        <v>1438</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5"/>
      <c r="Q42" s="1403" t="str">
        <f t="shared" si="11"/>
        <v>单套建筑面积</v>
      </c>
      <c r="R42" s="1144" t="s">
        <v>1398</v>
      </c>
      <c r="S42" s="1145">
        <f t="shared" si="12"/>
        <v>100</v>
      </c>
      <c r="T42" s="1144" t="s">
        <v>1398</v>
      </c>
      <c r="U42" s="1145">
        <f t="shared" si="13"/>
        <v>100</v>
      </c>
      <c r="V42" s="1144" t="s">
        <v>1398</v>
      </c>
      <c r="W42" s="1145">
        <f t="shared" si="14"/>
        <v>100</v>
      </c>
      <c r="X42" s="1146"/>
      <c r="Y42" s="3389"/>
      <c r="Z42" s="1147" t="str">
        <f t="shared" si="15"/>
        <v>单套建筑面积</v>
      </c>
      <c r="AA42" s="1044">
        <f t="shared" si="3"/>
        <v>1</v>
      </c>
      <c r="AB42" s="1044">
        <f t="shared" si="4"/>
        <v>1</v>
      </c>
      <c r="AC42" s="2105">
        <f t="shared" si="5"/>
        <v>1</v>
      </c>
    </row>
    <row r="43" spans="1:29" ht="15">
      <c r="A43" s="1151"/>
      <c r="B43" s="1076" t="s">
        <v>1439</v>
      </c>
      <c r="C43" s="1404" t="s">
        <v>1440</v>
      </c>
      <c r="D43" s="705">
        <v>100</v>
      </c>
      <c r="E43" s="1404" t="s">
        <v>1440</v>
      </c>
      <c r="F43" s="1182">
        <f>SUMIF(123:123,E43,124:124)-SUMIF(123:123,C43,124:124)+100</f>
        <v>100</v>
      </c>
      <c r="G43" s="1404" t="s">
        <v>1440</v>
      </c>
      <c r="H43" s="705">
        <f>SUMIF(123:123,G43,124:124)-SUMIF(123:123,C43,124:124)+100</f>
        <v>100</v>
      </c>
      <c r="I43" s="1404" t="s">
        <v>1440</v>
      </c>
      <c r="J43" s="705">
        <f>SUMIF(123:123,I43,124:124)-SUMIF(123:123,C43,124:124)+100</f>
        <v>100</v>
      </c>
      <c r="K43" s="1132">
        <v>2</v>
      </c>
      <c r="L43" s="1095"/>
      <c r="M43" s="1041"/>
      <c r="N43" s="1041"/>
      <c r="O43" s="1041"/>
      <c r="P43" s="3385"/>
      <c r="Q43" s="704" t="str">
        <f t="shared" si="11"/>
        <v>内部装修</v>
      </c>
      <c r="R43" s="1106" t="s">
        <v>1398</v>
      </c>
      <c r="S43" s="1107">
        <f t="shared" si="12"/>
        <v>100</v>
      </c>
      <c r="T43" s="1106" t="s">
        <v>1398</v>
      </c>
      <c r="U43" s="1107">
        <f t="shared" si="13"/>
        <v>100</v>
      </c>
      <c r="V43" s="1106" t="s">
        <v>1398</v>
      </c>
      <c r="W43" s="1107">
        <f t="shared" si="14"/>
        <v>100</v>
      </c>
      <c r="X43" s="1045"/>
      <c r="Y43" s="3389"/>
      <c r="Z43" s="1044" t="str">
        <f t="shared" si="15"/>
        <v>内部装修</v>
      </c>
      <c r="AA43" s="1044">
        <f t="shared" si="3"/>
        <v>1</v>
      </c>
      <c r="AB43" s="1044">
        <f t="shared" si="4"/>
        <v>1</v>
      </c>
      <c r="AC43" s="2105">
        <f t="shared" si="5"/>
        <v>1</v>
      </c>
    </row>
    <row r="44" spans="1:29" ht="15">
      <c r="A44" s="1151"/>
      <c r="B44" s="1076" t="s">
        <v>1441</v>
      </c>
      <c r="C44" s="1404" t="s">
        <v>1417</v>
      </c>
      <c r="D44" s="705">
        <v>100</v>
      </c>
      <c r="E44" s="1404" t="s">
        <v>1417</v>
      </c>
      <c r="F44" s="1182">
        <f>SUMIF(125:125,E44,126:126)-SUMIF(125:125,C44,126:126)+100</f>
        <v>100</v>
      </c>
      <c r="G44" s="1404" t="s">
        <v>1417</v>
      </c>
      <c r="H44" s="705">
        <f>SUMIF(125:125,G44,126:126)-SUMIF(125:125,C44,126:126)+100</f>
        <v>100</v>
      </c>
      <c r="I44" s="1404" t="s">
        <v>1417</v>
      </c>
      <c r="J44" s="705">
        <f>SUMIF(125:125,I44,126:126)-SUMIF(125:125,C44,126:126)+100</f>
        <v>100</v>
      </c>
      <c r="K44" s="1132">
        <v>2</v>
      </c>
      <c r="L44" s="1095"/>
      <c r="M44" s="1041"/>
      <c r="N44" s="1041"/>
      <c r="O44" s="1041"/>
      <c r="P44" s="3385"/>
      <c r="Q44" s="704" t="str">
        <f t="shared" si="11"/>
        <v>内部装修维护情况</v>
      </c>
      <c r="R44" s="1106" t="s">
        <v>1398</v>
      </c>
      <c r="S44" s="1107">
        <f t="shared" si="12"/>
        <v>100</v>
      </c>
      <c r="T44" s="1106" t="s">
        <v>1398</v>
      </c>
      <c r="U44" s="1107">
        <f t="shared" si="13"/>
        <v>100</v>
      </c>
      <c r="V44" s="1106" t="s">
        <v>1398</v>
      </c>
      <c r="W44" s="1107">
        <f t="shared" si="14"/>
        <v>100</v>
      </c>
      <c r="X44" s="1045"/>
      <c r="Y44" s="3389"/>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5"/>
      <c r="Q45" s="808">
        <f t="shared" si="11"/>
        <v>111</v>
      </c>
      <c r="R45" s="1064" t="s">
        <v>1398</v>
      </c>
      <c r="S45" s="1065">
        <f t="shared" si="12"/>
        <v>100</v>
      </c>
      <c r="T45" s="1064" t="s">
        <v>1398</v>
      </c>
      <c r="U45" s="1065">
        <f t="shared" si="13"/>
        <v>100</v>
      </c>
      <c r="V45" s="1064" t="s">
        <v>1398</v>
      </c>
      <c r="W45" s="1065">
        <f t="shared" si="14"/>
        <v>100</v>
      </c>
      <c r="X45" s="1066"/>
      <c r="Y45" s="3389"/>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5"/>
      <c r="Q46" s="704">
        <f t="shared" si="11"/>
        <v>111</v>
      </c>
      <c r="R46" s="1106" t="s">
        <v>1398</v>
      </c>
      <c r="S46" s="1107">
        <f t="shared" si="12"/>
        <v>100</v>
      </c>
      <c r="T46" s="1106" t="s">
        <v>1398</v>
      </c>
      <c r="U46" s="1107">
        <f t="shared" si="13"/>
        <v>100</v>
      </c>
      <c r="V46" s="1106" t="s">
        <v>1398</v>
      </c>
      <c r="W46" s="1107">
        <f t="shared" si="14"/>
        <v>100</v>
      </c>
      <c r="X46" s="1045"/>
      <c r="Y46" s="3389"/>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6"/>
      <c r="Q47" s="704">
        <f t="shared" si="11"/>
        <v>111</v>
      </c>
      <c r="R47" s="1106" t="s">
        <v>1398</v>
      </c>
      <c r="S47" s="1107">
        <f t="shared" si="12"/>
        <v>100</v>
      </c>
      <c r="T47" s="1106" t="s">
        <v>1398</v>
      </c>
      <c r="U47" s="1107">
        <f t="shared" si="13"/>
        <v>100</v>
      </c>
      <c r="V47" s="1106" t="s">
        <v>1398</v>
      </c>
      <c r="W47" s="1107">
        <f t="shared" si="14"/>
        <v>100</v>
      </c>
      <c r="X47" s="1045"/>
      <c r="Y47" s="3390"/>
      <c r="Z47" s="1044">
        <f t="shared" si="15"/>
        <v>111</v>
      </c>
      <c r="AA47" s="1044">
        <f t="shared" si="3"/>
        <v>1</v>
      </c>
      <c r="AB47" s="1044">
        <f t="shared" si="4"/>
        <v>1</v>
      </c>
      <c r="AC47" s="2105">
        <f t="shared" si="5"/>
        <v>1</v>
      </c>
    </row>
    <row r="48" spans="1:29" ht="15">
      <c r="A48" s="1159" t="s">
        <v>1442</v>
      </c>
      <c r="B48" s="1408"/>
      <c r="C48" s="1409" t="s">
        <v>124</v>
      </c>
      <c r="D48" s="1162"/>
      <c r="E48" s="1163">
        <v>11456</v>
      </c>
      <c r="F48" s="1164"/>
      <c r="G48" s="1163">
        <v>10738</v>
      </c>
      <c r="H48" s="1166"/>
      <c r="I48" s="1163">
        <v>10928</v>
      </c>
      <c r="J48" s="1166"/>
      <c r="K48" s="1167"/>
      <c r="L48" s="1168"/>
      <c r="M48" s="1041"/>
      <c r="N48" s="1041"/>
      <c r="O48" s="1041"/>
      <c r="P48" s="3379" t="str">
        <f>A48</f>
        <v>成交单价（元/平方米）</v>
      </c>
      <c r="Q48" s="3380"/>
      <c r="R48" s="3381">
        <f>E48</f>
        <v>11456</v>
      </c>
      <c r="S48" s="3381"/>
      <c r="T48" s="3381">
        <f>G48</f>
        <v>10738</v>
      </c>
      <c r="U48" s="3381"/>
      <c r="V48" s="3381">
        <f>I48</f>
        <v>10928</v>
      </c>
      <c r="W48" s="3381"/>
      <c r="X48" s="1169"/>
      <c r="Y48" s="1170"/>
      <c r="Z48" s="1169"/>
      <c r="AA48" s="1169"/>
      <c r="AB48" s="1169"/>
      <c r="AC48" s="1108"/>
    </row>
    <row r="49" spans="1:29" ht="15">
      <c r="A49" s="1171" t="s">
        <v>1443</v>
      </c>
      <c r="B49" s="1410"/>
      <c r="C49" s="1411">
        <f>R50</f>
        <v>10416</v>
      </c>
      <c r="D49" s="1174" t="s">
        <v>1444</v>
      </c>
      <c r="E49" s="1412">
        <f>R49</f>
        <v>10910</v>
      </c>
      <c r="F49" s="1175"/>
      <c r="G49" s="1411">
        <f>T49</f>
        <v>9929</v>
      </c>
      <c r="H49" s="1175"/>
      <c r="I49" s="1412">
        <f>V49</f>
        <v>10408</v>
      </c>
      <c r="J49" s="1175"/>
      <c r="K49" s="1177">
        <f>F49+H49+J49</f>
        <v>0</v>
      </c>
      <c r="L49" s="1168"/>
      <c r="M49" s="1041"/>
      <c r="N49" s="1041"/>
      <c r="O49" s="1041"/>
      <c r="P49" s="3379" t="str">
        <f>A49</f>
        <v>比较价值（元/平方米）</v>
      </c>
      <c r="Q49" s="3380"/>
      <c r="R49" s="3381">
        <f>IF(F1="售价",ROUND(PRODUCT(R48,AA7:AA47),0),ROUND(PRODUCT(R48,AA7:AA47),1))</f>
        <v>10910</v>
      </c>
      <c r="S49" s="3381"/>
      <c r="T49" s="3381">
        <f>IF(F1="售价",ROUND(PRODUCT(T48,AB7:AB47),0),ROUND(PRODUCT(T48,AB7:AB47),1))</f>
        <v>9929</v>
      </c>
      <c r="U49" s="3381"/>
      <c r="V49" s="3381">
        <f>IF(F1="售价",ROUND(PRODUCT(V48,AC7:AC47),0),ROUND(PRODUCT(V48,AC7:AC47),1))</f>
        <v>10408</v>
      </c>
      <c r="W49" s="3381"/>
      <c r="X49" s="1169"/>
      <c r="Y49" s="1169"/>
      <c r="Z49" s="1169"/>
      <c r="AA49" s="1169"/>
      <c r="AB49" s="1169"/>
      <c r="AC49" s="1108"/>
    </row>
    <row r="50" spans="1:29" ht="15">
      <c r="A50" s="1178" t="s">
        <v>1445</v>
      </c>
      <c r="B50" s="1179"/>
      <c r="C50" s="1050">
        <f>R50</f>
        <v>10416</v>
      </c>
      <c r="D50" s="1050"/>
      <c r="E50" s="1050"/>
      <c r="F50" s="1050"/>
      <c r="G50" s="1050"/>
      <c r="H50" s="1050"/>
      <c r="I50" s="1050"/>
      <c r="J50" s="1180"/>
      <c r="K50" s="1181"/>
      <c r="L50" s="1168"/>
      <c r="M50" s="1041"/>
      <c r="N50" s="1041"/>
      <c r="O50" s="1041"/>
      <c r="P50" s="3391" t="str">
        <f>A50</f>
        <v>估价对象XX用房的比较价值（楼面单价，元/平方米）</v>
      </c>
      <c r="Q50" s="3392"/>
      <c r="R50" s="3393">
        <f>IF(F1="售价",ROUND(IF(D49="简单平均",AVERAGE(R49:V49),R49*F49+T49*H49+V49*J49),0),ROUND(IF(D49="简单平均",AVERAGE(R49:V49),R49*F49+T49*H49+V49*J49),1))</f>
        <v>10416</v>
      </c>
      <c r="S50" s="3393"/>
      <c r="T50" s="3393"/>
      <c r="U50" s="3393"/>
      <c r="V50" s="3393"/>
      <c r="W50" s="3393"/>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1446</v>
      </c>
      <c r="D53" s="771"/>
      <c r="E53" s="1187">
        <f>IF(E48&lt;E49,E49/E48-1,E48/E49-1)</f>
        <v>5.0045829514207218E-2</v>
      </c>
      <c r="F53" s="1188" t="str">
        <f>IF(OR(E53&gt;=0.3,E53&lt;=-0.3),"超过30%","")</f>
        <v/>
      </c>
      <c r="G53" s="1187">
        <f>IF(G48&lt;G49,G49/G48-1,G48/G49-1)</f>
        <v>8.1478497331050503E-2</v>
      </c>
      <c r="H53" s="1188" t="str">
        <f>IF(OR(G53&gt;=0.3,G53&lt;=-0.3),"超过30%","")</f>
        <v/>
      </c>
      <c r="I53" s="1187">
        <f>IF(I48&lt;I49,I49/I48-1,I48/I49-1)</f>
        <v>4.9961568024596392E-2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1447</v>
      </c>
      <c r="D54" s="770"/>
      <c r="E54" s="1187">
        <f>IF(E49&lt;G49,G49/E49-1,E49/G49-1)</f>
        <v>9.880149058314025E-2</v>
      </c>
      <c r="F54" s="1188" t="str">
        <f>IF(OR(E54&gt;=0.2,E54&lt;=-0.2),"超过20%","")</f>
        <v/>
      </c>
      <c r="G54" s="1187">
        <f>IF(G49&lt;I49,I49/G49-1,G49/I49-1)</f>
        <v>4.8242521905529356E-2</v>
      </c>
      <c r="H54" s="1188" t="str">
        <f>IF(OR(G54&gt;=0.2,G54&lt;=-0.2),"超过20%","")</f>
        <v/>
      </c>
      <c r="I54" s="1187">
        <f>IF(I49&lt;E49,E49/I49-1,I49/E49-1)</f>
        <v>4.8232129131437373E-2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1448</v>
      </c>
      <c r="D55" s="770"/>
      <c r="E55" s="1187">
        <f>IF(E48&lt;G48,G48/E48-1,E48/G48-1)</f>
        <v>6.6865338051778703E-2</v>
      </c>
      <c r="F55" s="1188" t="str">
        <f>IF(OR(E55&gt;=0.3,E55&lt;=-0.3),"超过30%","")</f>
        <v/>
      </c>
      <c r="G55" s="1187">
        <f>IF(G48&lt;I48,I48/G48-1,G48/I48-1)</f>
        <v>1.76941702365432E-2</v>
      </c>
      <c r="H55" s="1188" t="str">
        <f>IF(OR(G55&gt;=0.3,G55&lt;=-0.3),"超过30%","")</f>
        <v/>
      </c>
      <c r="I55" s="1187">
        <f>IF(I48&lt;E48,E48/I48-1,I48/E48-1)</f>
        <v>4.8316251830161E-2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1449</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1396</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1450</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1399</v>
      </c>
      <c r="B62" s="1253"/>
      <c r="C62" s="1254" t="s">
        <v>1451</v>
      </c>
      <c r="D62" s="2087" t="s">
        <v>1401</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105</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1452</v>
      </c>
      <c r="B64" s="1262" t="s">
        <v>1404</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1407</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1409</v>
      </c>
      <c r="B77" s="1262" t="s">
        <v>1410</v>
      </c>
      <c r="C77" s="1305" t="s">
        <v>1453</v>
      </c>
      <c r="D77" s="1305" t="s">
        <v>1454</v>
      </c>
      <c r="E77" s="1305" t="s">
        <v>1455</v>
      </c>
      <c r="F77" s="1305" t="s">
        <v>1456</v>
      </c>
      <c r="G77" s="1305" t="s">
        <v>1457</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1413</v>
      </c>
      <c r="C79" s="1310" t="s">
        <v>1453</v>
      </c>
      <c r="D79" s="1310" t="s">
        <v>1454</v>
      </c>
      <c r="E79" s="1310" t="s">
        <v>1455</v>
      </c>
      <c r="F79" s="1310" t="s">
        <v>1456</v>
      </c>
      <c r="G79" s="1310" t="s">
        <v>1457</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1414</v>
      </c>
      <c r="C81" s="1310" t="s">
        <v>1453</v>
      </c>
      <c r="D81" s="1310" t="s">
        <v>1454</v>
      </c>
      <c r="E81" s="1310" t="s">
        <v>1455</v>
      </c>
      <c r="F81" s="1310" t="s">
        <v>1456</v>
      </c>
      <c r="G81" s="1310" t="s">
        <v>1457</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1415</v>
      </c>
      <c r="C83" s="1113" t="s">
        <v>1458</v>
      </c>
      <c r="D83" s="1113" t="s">
        <v>1459</v>
      </c>
      <c r="E83" s="1113" t="s">
        <v>1460</v>
      </c>
      <c r="F83" s="1113" t="s">
        <v>1461</v>
      </c>
      <c r="G83" s="1113" t="s">
        <v>1462</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1416</v>
      </c>
      <c r="C85" s="1310" t="s">
        <v>1453</v>
      </c>
      <c r="D85" s="1310" t="s">
        <v>1454</v>
      </c>
      <c r="E85" s="1310" t="s">
        <v>1455</v>
      </c>
      <c r="F85" s="1310" t="s">
        <v>1456</v>
      </c>
      <c r="G85" s="1310" t="s">
        <v>1457</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1418</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1463</v>
      </c>
      <c r="D89" s="2099" t="s">
        <v>1421</v>
      </c>
      <c r="E89" s="2099" t="s">
        <v>1420</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1423</v>
      </c>
      <c r="B101" s="1262" t="s">
        <v>1424</v>
      </c>
      <c r="C101" s="2098" t="s">
        <v>1425</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1427</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1428</v>
      </c>
      <c r="C106" s="2099" t="s">
        <v>1429</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1430</v>
      </c>
      <c r="C108" s="2099" t="s">
        <v>1431</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1432</v>
      </c>
      <c r="C113" s="2099" t="s">
        <v>1433</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1434</v>
      </c>
      <c r="C115" s="2099" t="s">
        <v>1435</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1436</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1464</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1465</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1439</v>
      </c>
      <c r="C123" s="2099" t="s">
        <v>1431</v>
      </c>
      <c r="D123" s="2099" t="s">
        <v>1466</v>
      </c>
      <c r="E123" s="2099" t="s">
        <v>1440</v>
      </c>
      <c r="F123" s="2111" t="s">
        <v>1467</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1441</v>
      </c>
      <c r="C125" s="1310" t="s">
        <v>1453</v>
      </c>
      <c r="D125" s="1310" t="s">
        <v>1454</v>
      </c>
      <c r="E125" s="1310" t="s">
        <v>1455</v>
      </c>
      <c r="F125" s="1310" t="s">
        <v>1456</v>
      </c>
      <c r="G125" s="1310" t="s">
        <v>1457</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1468</v>
      </c>
      <c r="C1" s="1379" t="s">
        <v>1381</v>
      </c>
      <c r="D1" s="1372" t="s">
        <v>229</v>
      </c>
      <c r="E1" s="1523" t="s">
        <v>1382</v>
      </c>
      <c r="F1" s="1374" t="s">
        <v>1383</v>
      </c>
      <c r="G1" s="1375" t="s">
        <v>1384</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1035</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1037</v>
      </c>
      <c r="B3" s="1032">
        <f>IF(C2="——",C49,ROUND(B2*10000/D3,0))</f>
        <v>24225</v>
      </c>
      <c r="C3" s="1386" t="s">
        <v>1385</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81" t="s">
        <v>1389</v>
      </c>
      <c r="AC4" s="3419" t="s">
        <v>1390</v>
      </c>
    </row>
    <row r="5" spans="1:29" ht="15">
      <c r="A5" s="1046"/>
      <c r="B5" s="1047"/>
      <c r="C5" s="3413" t="s">
        <v>1469</v>
      </c>
      <c r="D5" s="3370"/>
      <c r="E5" s="3414"/>
      <c r="F5" s="3415"/>
      <c r="G5" s="3413"/>
      <c r="H5" s="3370"/>
      <c r="I5" s="3413"/>
      <c r="J5" s="3370"/>
      <c r="K5" s="1039"/>
      <c r="L5" s="1040"/>
      <c r="M5" s="1041"/>
      <c r="N5" s="1041"/>
      <c r="O5" s="1041"/>
      <c r="P5" s="3422"/>
      <c r="Q5" s="3403"/>
      <c r="R5" s="3408"/>
      <c r="S5" s="3409"/>
      <c r="T5" s="3408"/>
      <c r="U5" s="3409"/>
      <c r="V5" s="3381"/>
      <c r="W5" s="3381"/>
      <c r="X5" s="1045"/>
      <c r="Y5" s="3408"/>
      <c r="Z5" s="3409"/>
      <c r="AA5" s="3395"/>
      <c r="AB5" s="3381"/>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81"/>
      <c r="AC6" s="3396"/>
    </row>
    <row r="7" spans="1:29" s="1008" customFormat="1" ht="15">
      <c r="A7" s="1053" t="s">
        <v>1396</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7" t="s">
        <v>1397</v>
      </c>
      <c r="Q7" s="3376"/>
      <c r="R7" s="1064" t="s">
        <v>1398</v>
      </c>
      <c r="S7" s="1065">
        <f t="shared" ref="S7:S15" si="0">F7</f>
        <v>100.5</v>
      </c>
      <c r="T7" s="1064" t="s">
        <v>1398</v>
      </c>
      <c r="U7" s="1065">
        <f t="shared" ref="U7:U15" si="1">H7</f>
        <v>100.5</v>
      </c>
      <c r="V7" s="1064" t="s">
        <v>1398</v>
      </c>
      <c r="W7" s="1065">
        <f t="shared" ref="W7:W15" si="2">J7</f>
        <v>100.5</v>
      </c>
      <c r="X7" s="1066"/>
      <c r="Y7" s="3377" t="s">
        <v>1397</v>
      </c>
      <c r="Z7" s="3378"/>
      <c r="AA7" s="1068">
        <f>D7/F7</f>
        <v>0.99502487562189057</v>
      </c>
      <c r="AB7" s="1068">
        <f>D7/H7</f>
        <v>0.99502487562189057</v>
      </c>
      <c r="AC7" s="1068">
        <f>D7/J7</f>
        <v>0.99502487562189057</v>
      </c>
    </row>
    <row r="8" spans="1:29" s="1008" customFormat="1" ht="15">
      <c r="A8" s="1053" t="s">
        <v>1399</v>
      </c>
      <c r="B8" s="1054"/>
      <c r="C8" s="1069" t="s">
        <v>1400</v>
      </c>
      <c r="D8" s="1056">
        <v>100</v>
      </c>
      <c r="E8" s="1069" t="s">
        <v>1401</v>
      </c>
      <c r="F8" s="1058">
        <f>SUMIF(61:61,E8,62:62)-SUMIF(61:61,C8,62:62)+100</f>
        <v>102</v>
      </c>
      <c r="G8" s="1069" t="s">
        <v>1401</v>
      </c>
      <c r="H8" s="1056">
        <f>SUMIF(61:61,G8,62:62)-SUMIF(61:61,C8,62:62)+100</f>
        <v>102</v>
      </c>
      <c r="I8" s="1069" t="s">
        <v>1401</v>
      </c>
      <c r="J8" s="1056">
        <f>SUMIF(61:61,I8,62:62)-SUMIF(61:61,C8,62:62)+100</f>
        <v>102</v>
      </c>
      <c r="K8" s="1060"/>
      <c r="L8" s="1061"/>
      <c r="M8" s="1062"/>
      <c r="N8" s="1062"/>
      <c r="O8" s="1062"/>
      <c r="P8" s="3377" t="s">
        <v>1402</v>
      </c>
      <c r="Q8" s="3378"/>
      <c r="R8" s="1064" t="s">
        <v>1398</v>
      </c>
      <c r="S8" s="1065">
        <f t="shared" si="0"/>
        <v>102</v>
      </c>
      <c r="T8" s="1064" t="s">
        <v>1398</v>
      </c>
      <c r="U8" s="1065">
        <f t="shared" si="1"/>
        <v>102</v>
      </c>
      <c r="V8" s="1064" t="s">
        <v>1398</v>
      </c>
      <c r="W8" s="1065">
        <f t="shared" si="2"/>
        <v>102</v>
      </c>
      <c r="X8" s="1066"/>
      <c r="Y8" s="3377" t="s">
        <v>1402</v>
      </c>
      <c r="Z8" s="3378"/>
      <c r="AA8" s="1068">
        <f t="shared" ref="AA8:AA46" si="3">D8/F8</f>
        <v>0.98039215686274495</v>
      </c>
      <c r="AB8" s="1068">
        <f t="shared" ref="AB8:AB46" si="4">D8/H8</f>
        <v>0.98039215686274495</v>
      </c>
      <c r="AC8" s="1068">
        <f t="shared" ref="AC8:AC46" si="5">D8/J8</f>
        <v>0.98039215686274495</v>
      </c>
    </row>
    <row r="9" spans="1:29" s="1008" customFormat="1">
      <c r="A9" s="1070" t="s">
        <v>1403</v>
      </c>
      <c r="B9" s="1071" t="s">
        <v>1404</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79" t="s">
        <v>1405</v>
      </c>
      <c r="Q9" s="808" t="str">
        <f t="shared" ref="Q9:Q15" si="6">B9</f>
        <v>用途</v>
      </c>
      <c r="R9" s="1064" t="s">
        <v>1398</v>
      </c>
      <c r="S9" s="1065">
        <f t="shared" si="0"/>
        <v>100</v>
      </c>
      <c r="T9" s="1064" t="s">
        <v>1398</v>
      </c>
      <c r="U9" s="1065">
        <f t="shared" si="1"/>
        <v>100</v>
      </c>
      <c r="V9" s="1064" t="s">
        <v>1398</v>
      </c>
      <c r="W9" s="1065">
        <f t="shared" si="2"/>
        <v>100</v>
      </c>
      <c r="X9" s="1066"/>
      <c r="Y9" s="3356"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79"/>
      <c r="Q10" s="808" t="str">
        <f t="shared" si="6"/>
        <v>土地使用年限（年）</v>
      </c>
      <c r="R10" s="1064" t="s">
        <v>1398</v>
      </c>
      <c r="S10" s="1065">
        <f t="shared" si="0"/>
        <v>100</v>
      </c>
      <c r="T10" s="1064" t="s">
        <v>1398</v>
      </c>
      <c r="U10" s="1065">
        <f t="shared" si="1"/>
        <v>100</v>
      </c>
      <c r="V10" s="1064" t="s">
        <v>1398</v>
      </c>
      <c r="W10" s="1065">
        <f t="shared" si="2"/>
        <v>100</v>
      </c>
      <c r="X10" s="1066"/>
      <c r="Y10" s="3356"/>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79"/>
      <c r="Q11" s="808" t="str">
        <f t="shared" si="6"/>
        <v>容积率</v>
      </c>
      <c r="R11" s="1064" t="s">
        <v>1398</v>
      </c>
      <c r="S11" s="1065">
        <f t="shared" si="0"/>
        <v>100</v>
      </c>
      <c r="T11" s="1064" t="s">
        <v>1398</v>
      </c>
      <c r="U11" s="1065">
        <f t="shared" si="1"/>
        <v>100</v>
      </c>
      <c r="V11" s="1064" t="s">
        <v>1398</v>
      </c>
      <c r="W11" s="1065">
        <f t="shared" si="2"/>
        <v>100</v>
      </c>
      <c r="X11" s="1066"/>
      <c r="Y11" s="3356"/>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79"/>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79"/>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79"/>
      <c r="Q14" s="808">
        <f t="shared" si="6"/>
        <v>111</v>
      </c>
      <c r="R14" s="1064" t="s">
        <v>1398</v>
      </c>
      <c r="S14" s="1065">
        <f t="shared" si="0"/>
        <v>100</v>
      </c>
      <c r="T14" s="1064" t="s">
        <v>1398</v>
      </c>
      <c r="U14" s="1065">
        <f t="shared" si="1"/>
        <v>100</v>
      </c>
      <c r="V14" s="1064" t="s">
        <v>1398</v>
      </c>
      <c r="W14" s="1065">
        <f t="shared" si="2"/>
        <v>100</v>
      </c>
      <c r="X14" s="1066"/>
      <c r="Y14" s="3356"/>
      <c r="Z14" s="1068">
        <f t="shared" si="7"/>
        <v>111</v>
      </c>
      <c r="AA14" s="1068">
        <f t="shared" si="3"/>
        <v>1</v>
      </c>
      <c r="AB14" s="1068">
        <f t="shared" si="4"/>
        <v>1</v>
      </c>
      <c r="AC14" s="1068">
        <f t="shared" si="5"/>
        <v>1</v>
      </c>
    </row>
    <row r="15" spans="1:29" ht="15">
      <c r="A15" s="1100" t="s">
        <v>1409</v>
      </c>
      <c r="B15" s="1341" t="s">
        <v>1470</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2" t="s">
        <v>1411</v>
      </c>
      <c r="Q15" s="704" t="str">
        <f t="shared" si="6"/>
        <v>商业繁华度</v>
      </c>
      <c r="R15" s="1106" t="s">
        <v>1398</v>
      </c>
      <c r="S15" s="1107">
        <f t="shared" si="0"/>
        <v>100</v>
      </c>
      <c r="T15" s="1106" t="s">
        <v>1398</v>
      </c>
      <c r="U15" s="1107">
        <f t="shared" si="1"/>
        <v>100</v>
      </c>
      <c r="V15" s="1106" t="s">
        <v>1398</v>
      </c>
      <c r="W15" s="1107">
        <f t="shared" si="2"/>
        <v>103</v>
      </c>
      <c r="X15" s="1045"/>
      <c r="Y15" s="3387" t="s">
        <v>1411</v>
      </c>
      <c r="Z15" s="1044" t="str">
        <f t="shared" si="7"/>
        <v>商业繁华度</v>
      </c>
      <c r="AA15" s="1044">
        <f t="shared" si="3"/>
        <v>1</v>
      </c>
      <c r="AB15" s="1044">
        <f t="shared" si="4"/>
        <v>1</v>
      </c>
      <c r="AC15" s="1044">
        <f t="shared" si="5"/>
        <v>0.970873786407767</v>
      </c>
    </row>
    <row r="16" spans="1:29" ht="15">
      <c r="A16" s="1083"/>
      <c r="B16" s="1169"/>
      <c r="C16" s="1109" t="s">
        <v>1412</v>
      </c>
      <c r="D16" s="1110"/>
      <c r="E16" s="1109" t="s">
        <v>1412</v>
      </c>
      <c r="F16" s="1052"/>
      <c r="G16" s="1109" t="s">
        <v>1412</v>
      </c>
      <c r="H16" s="1112"/>
      <c r="I16" s="1109" t="s">
        <v>1417</v>
      </c>
      <c r="J16" s="1110"/>
      <c r="K16" s="1395"/>
      <c r="L16" s="1095"/>
      <c r="M16" s="1041"/>
      <c r="N16" s="1041"/>
      <c r="O16" s="1041"/>
      <c r="P16" s="3383"/>
      <c r="Q16" s="704"/>
      <c r="R16" s="1106"/>
      <c r="S16" s="1107"/>
      <c r="T16" s="1106"/>
      <c r="U16" s="1107"/>
      <c r="V16" s="1106"/>
      <c r="W16" s="1107"/>
      <c r="X16" s="1045"/>
      <c r="Y16" s="3388"/>
      <c r="Z16" s="1044"/>
      <c r="AA16" s="1044">
        <v>1</v>
      </c>
      <c r="AB16" s="1044">
        <v>1</v>
      </c>
      <c r="AC16" s="1044">
        <v>1</v>
      </c>
    </row>
    <row r="17" spans="1:29" ht="15">
      <c r="A17" s="1083"/>
      <c r="B17" s="1343" t="s">
        <v>1413</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3"/>
      <c r="Q17" s="704" t="str">
        <f>B17</f>
        <v>交通便捷度</v>
      </c>
      <c r="R17" s="1106" t="s">
        <v>1398</v>
      </c>
      <c r="S17" s="1107">
        <f>F17</f>
        <v>100</v>
      </c>
      <c r="T17" s="1106" t="s">
        <v>1398</v>
      </c>
      <c r="U17" s="1107">
        <f>H17</f>
        <v>100</v>
      </c>
      <c r="V17" s="1106" t="s">
        <v>1398</v>
      </c>
      <c r="W17" s="1107">
        <f>J17</f>
        <v>102</v>
      </c>
      <c r="X17" s="1045"/>
      <c r="Y17" s="3388"/>
      <c r="Z17" s="1044" t="str">
        <f>Q17</f>
        <v>交通便捷度</v>
      </c>
      <c r="AA17" s="1044">
        <f t="shared" si="3"/>
        <v>1</v>
      </c>
      <c r="AB17" s="1044">
        <f t="shared" si="4"/>
        <v>1</v>
      </c>
      <c r="AC17" s="1044">
        <f t="shared" si="5"/>
        <v>0.98039215686274495</v>
      </c>
    </row>
    <row r="18" spans="1:29" ht="15">
      <c r="A18" s="1083"/>
      <c r="B18" s="1148"/>
      <c r="C18" s="1109" t="s">
        <v>1412</v>
      </c>
      <c r="D18" s="1112"/>
      <c r="E18" s="1109" t="s">
        <v>1412</v>
      </c>
      <c r="F18" s="1048"/>
      <c r="G18" s="1109" t="s">
        <v>1412</v>
      </c>
      <c r="H18" s="1110"/>
      <c r="I18" s="1109" t="s">
        <v>1417</v>
      </c>
      <c r="J18" s="1110"/>
      <c r="K18" s="1395"/>
      <c r="L18" s="1095"/>
      <c r="M18" s="1041"/>
      <c r="N18" s="1041"/>
      <c r="O18" s="1041"/>
      <c r="P18" s="3383"/>
      <c r="Q18" s="704"/>
      <c r="R18" s="1106"/>
      <c r="S18" s="1107"/>
      <c r="T18" s="1106"/>
      <c r="U18" s="1107"/>
      <c r="V18" s="1106"/>
      <c r="W18" s="1107"/>
      <c r="X18" s="1045"/>
      <c r="Y18" s="3388"/>
      <c r="Z18" s="1044"/>
      <c r="AA18" s="1044">
        <v>1</v>
      </c>
      <c r="AB18" s="1044">
        <v>1</v>
      </c>
      <c r="AC18" s="1044">
        <v>1</v>
      </c>
    </row>
    <row r="19" spans="1:29" ht="15">
      <c r="A19" s="1083"/>
      <c r="B19" s="1343" t="s">
        <v>1414</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3"/>
      <c r="Q19" s="704" t="str">
        <f>B19</f>
        <v>公共配套设施</v>
      </c>
      <c r="R19" s="1106" t="s">
        <v>1398</v>
      </c>
      <c r="S19" s="1107">
        <f>F19</f>
        <v>100</v>
      </c>
      <c r="T19" s="1106" t="s">
        <v>1398</v>
      </c>
      <c r="U19" s="1107">
        <f>H19</f>
        <v>100</v>
      </c>
      <c r="V19" s="1106" t="s">
        <v>1398</v>
      </c>
      <c r="W19" s="1107">
        <f>J19</f>
        <v>100</v>
      </c>
      <c r="X19" s="1045"/>
      <c r="Y19" s="3388"/>
      <c r="Z19" s="1044" t="str">
        <f>Q19</f>
        <v>公共配套设施</v>
      </c>
      <c r="AA19" s="1044">
        <f t="shared" si="3"/>
        <v>1</v>
      </c>
      <c r="AB19" s="1044">
        <f t="shared" si="4"/>
        <v>1</v>
      </c>
      <c r="AC19" s="1044">
        <f t="shared" si="5"/>
        <v>1</v>
      </c>
    </row>
    <row r="20" spans="1:29" ht="15">
      <c r="A20" s="1083"/>
      <c r="B20" s="1148"/>
      <c r="C20" s="1109" t="s">
        <v>1417</v>
      </c>
      <c r="D20" s="1110"/>
      <c r="E20" s="1344" t="s">
        <v>1417</v>
      </c>
      <c r="F20" s="1052"/>
      <c r="G20" s="1121" t="s">
        <v>1417</v>
      </c>
      <c r="H20" s="1110"/>
      <c r="I20" s="1344" t="s">
        <v>1417</v>
      </c>
      <c r="J20" s="1110"/>
      <c r="K20" s="1395"/>
      <c r="L20" s="1095"/>
      <c r="M20" s="1041"/>
      <c r="N20" s="1041"/>
      <c r="O20" s="1041"/>
      <c r="P20" s="3383"/>
      <c r="Q20" s="704"/>
      <c r="R20" s="1106"/>
      <c r="S20" s="1107"/>
      <c r="T20" s="1106"/>
      <c r="U20" s="1107"/>
      <c r="V20" s="1106"/>
      <c r="W20" s="1107"/>
      <c r="X20" s="1045"/>
      <c r="Y20" s="3388"/>
      <c r="Z20" s="1044"/>
      <c r="AA20" s="1044">
        <v>1</v>
      </c>
      <c r="AB20" s="1044">
        <v>1</v>
      </c>
      <c r="AC20" s="1044">
        <v>1</v>
      </c>
    </row>
    <row r="21" spans="1:29" ht="15">
      <c r="A21" s="1083"/>
      <c r="B21" s="1349" t="s">
        <v>1415</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3"/>
      <c r="Q21" s="704" t="str">
        <f>B21</f>
        <v>基础设施水平</v>
      </c>
      <c r="R21" s="1106" t="s">
        <v>1398</v>
      </c>
      <c r="S21" s="1107">
        <f>F21</f>
        <v>100</v>
      </c>
      <c r="T21" s="1106" t="s">
        <v>1398</v>
      </c>
      <c r="U21" s="1107">
        <f>H21</f>
        <v>100</v>
      </c>
      <c r="V21" s="1106" t="s">
        <v>1398</v>
      </c>
      <c r="W21" s="1107">
        <f>J21</f>
        <v>100</v>
      </c>
      <c r="X21" s="1045"/>
      <c r="Y21" s="3388"/>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3"/>
      <c r="Q22" s="704"/>
      <c r="R22" s="1106"/>
      <c r="S22" s="1107"/>
      <c r="T22" s="1106"/>
      <c r="U22" s="1107"/>
      <c r="V22" s="1106"/>
      <c r="W22" s="1107"/>
      <c r="X22" s="1045"/>
      <c r="Y22" s="3388"/>
      <c r="Z22" s="1044"/>
      <c r="AA22" s="1044">
        <v>1</v>
      </c>
      <c r="AB22" s="1044">
        <v>1</v>
      </c>
      <c r="AC22" s="1044">
        <v>1</v>
      </c>
    </row>
    <row r="23" spans="1:29" ht="15">
      <c r="A23" s="1083"/>
      <c r="B23" s="1343" t="s">
        <v>1471</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3"/>
      <c r="Q23" s="704" t="str">
        <f>B23</f>
        <v>自然及人文环境</v>
      </c>
      <c r="R23" s="1106" t="s">
        <v>1398</v>
      </c>
      <c r="S23" s="1107">
        <f>F23</f>
        <v>100</v>
      </c>
      <c r="T23" s="1106" t="s">
        <v>1398</v>
      </c>
      <c r="U23" s="1107">
        <f>H23</f>
        <v>100</v>
      </c>
      <c r="V23" s="1106" t="s">
        <v>1398</v>
      </c>
      <c r="W23" s="1107">
        <f>J23</f>
        <v>100</v>
      </c>
      <c r="X23" s="1045"/>
      <c r="Y23" s="3388"/>
      <c r="Z23" s="1044" t="str">
        <f>Q23</f>
        <v>自然及人文环境</v>
      </c>
      <c r="AA23" s="1044">
        <f t="shared" si="3"/>
        <v>1</v>
      </c>
      <c r="AB23" s="1044">
        <f t="shared" si="4"/>
        <v>1</v>
      </c>
      <c r="AC23" s="1044">
        <f t="shared" si="5"/>
        <v>1</v>
      </c>
    </row>
    <row r="24" spans="1:29" ht="15">
      <c r="A24" s="1083"/>
      <c r="B24" s="1148"/>
      <c r="C24" s="1109" t="s">
        <v>1417</v>
      </c>
      <c r="D24" s="1110"/>
      <c r="E24" s="1344" t="s">
        <v>1417</v>
      </c>
      <c r="F24" s="1052"/>
      <c r="G24" s="1121" t="s">
        <v>1417</v>
      </c>
      <c r="H24" s="1110"/>
      <c r="I24" s="1344" t="s">
        <v>1417</v>
      </c>
      <c r="J24" s="1110"/>
      <c r="K24" s="1395"/>
      <c r="L24" s="1095"/>
      <c r="M24" s="1041"/>
      <c r="N24" s="1041"/>
      <c r="O24" s="1041"/>
      <c r="P24" s="3383"/>
      <c r="Q24" s="704"/>
      <c r="R24" s="1106"/>
      <c r="S24" s="1107"/>
      <c r="T24" s="1106"/>
      <c r="U24" s="1107"/>
      <c r="V24" s="1106"/>
      <c r="W24" s="1107"/>
      <c r="X24" s="1045"/>
      <c r="Y24" s="3388"/>
      <c r="Z24" s="1044"/>
      <c r="AA24" s="1044">
        <v>1</v>
      </c>
      <c r="AB24" s="1044">
        <v>1</v>
      </c>
      <c r="AC24" s="1044">
        <v>1</v>
      </c>
    </row>
    <row r="25" spans="1:29" ht="15">
      <c r="A25" s="1083"/>
      <c r="B25" s="1076" t="s">
        <v>1472</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3"/>
      <c r="Q25" s="704" t="str">
        <f t="shared" ref="Q25:Q46" si="11">B25</f>
        <v>临街状况</v>
      </c>
      <c r="R25" s="1106" t="s">
        <v>1398</v>
      </c>
      <c r="S25" s="1107">
        <f>F25</f>
        <v>100</v>
      </c>
      <c r="T25" s="1106" t="s">
        <v>1398</v>
      </c>
      <c r="U25" s="1107">
        <f>H25</f>
        <v>100</v>
      </c>
      <c r="V25" s="1106" t="s">
        <v>1398</v>
      </c>
      <c r="W25" s="1107">
        <f>J25</f>
        <v>100</v>
      </c>
      <c r="X25" s="1045"/>
      <c r="Y25" s="3388"/>
      <c r="Z25" s="1044" t="str">
        <f>Q25</f>
        <v>临街状况</v>
      </c>
      <c r="AA25" s="1044">
        <f t="shared" si="3"/>
        <v>1</v>
      </c>
      <c r="AB25" s="1044">
        <f t="shared" si="4"/>
        <v>1</v>
      </c>
      <c r="AC25" s="1044">
        <f t="shared" si="5"/>
        <v>1</v>
      </c>
    </row>
    <row r="26" spans="1:29" ht="15">
      <c r="A26" s="1083"/>
      <c r="B26" s="1245" t="s">
        <v>1473</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3"/>
      <c r="Q26" s="704" t="str">
        <f t="shared" si="11"/>
        <v>平面位置/可视性</v>
      </c>
      <c r="R26" s="1106" t="s">
        <v>1398</v>
      </c>
      <c r="S26" s="1107">
        <f>F26</f>
        <v>100</v>
      </c>
      <c r="T26" s="1106" t="s">
        <v>1398</v>
      </c>
      <c r="U26" s="1107">
        <f>H26</f>
        <v>100</v>
      </c>
      <c r="V26" s="1106" t="s">
        <v>1398</v>
      </c>
      <c r="W26" s="1107">
        <f>J26</f>
        <v>100</v>
      </c>
      <c r="X26" s="1045"/>
      <c r="Y26" s="3388"/>
      <c r="Z26" s="1044" t="str">
        <f>Q26</f>
        <v>平面位置/可视性</v>
      </c>
      <c r="AA26" s="1044">
        <f t="shared" si="3"/>
        <v>1</v>
      </c>
      <c r="AB26" s="1044">
        <f t="shared" si="4"/>
        <v>1</v>
      </c>
      <c r="AC26" s="1044">
        <f t="shared" si="5"/>
        <v>1</v>
      </c>
    </row>
    <row r="27" spans="1:29" s="1008" customFormat="1" ht="15">
      <c r="A27" s="1089"/>
      <c r="B27" s="1343" t="s">
        <v>1474</v>
      </c>
      <c r="C27" s="2076" t="s">
        <v>1417</v>
      </c>
      <c r="D27" s="1119">
        <v>100</v>
      </c>
      <c r="E27" s="2076" t="s">
        <v>1417</v>
      </c>
      <c r="F27" s="1148">
        <f>SUMIF(90:90,E27,91:91)-SUMIF(90:90,C27,91:91)+100</f>
        <v>100</v>
      </c>
      <c r="G27" s="2076" t="s">
        <v>1417</v>
      </c>
      <c r="H27" s="1119">
        <f>SUMIF(90:90,G27,91:91)-SUMIF(90:90,C27,91:91)+100</f>
        <v>100</v>
      </c>
      <c r="I27" s="2076" t="s">
        <v>1417</v>
      </c>
      <c r="J27" s="1119">
        <f>SUMIF(90:90,I27,91:91)-SUMIF(90:90,C27,91:91)+100</f>
        <v>100</v>
      </c>
      <c r="K27" s="1132">
        <v>3</v>
      </c>
      <c r="L27" s="1061"/>
      <c r="M27" s="1062"/>
      <c r="N27" s="1062"/>
      <c r="O27" s="1062"/>
      <c r="P27" s="3383"/>
      <c r="Q27" s="808" t="str">
        <f t="shared" si="11"/>
        <v>人流量</v>
      </c>
      <c r="R27" s="1064" t="s">
        <v>1398</v>
      </c>
      <c r="S27" s="1065">
        <f>F27</f>
        <v>100</v>
      </c>
      <c r="T27" s="1064" t="s">
        <v>1398</v>
      </c>
      <c r="U27" s="1065">
        <f>H27</f>
        <v>100</v>
      </c>
      <c r="V27" s="1064" t="s">
        <v>1398</v>
      </c>
      <c r="W27" s="1065">
        <f>J27</f>
        <v>100</v>
      </c>
      <c r="X27" s="1066"/>
      <c r="Y27" s="3388"/>
      <c r="Z27" s="1068" t="str">
        <f>Q27</f>
        <v>人流量</v>
      </c>
      <c r="AA27" s="1044">
        <f t="shared" si="3"/>
        <v>1</v>
      </c>
      <c r="AB27" s="1044">
        <f t="shared" si="4"/>
        <v>1</v>
      </c>
      <c r="AC27" s="1044">
        <f t="shared" si="5"/>
        <v>1</v>
      </c>
    </row>
    <row r="28" spans="1:29" ht="15">
      <c r="A28" s="1083"/>
      <c r="B28" s="1076" t="s">
        <v>1419</v>
      </c>
      <c r="C28" s="1127" t="s">
        <v>1420</v>
      </c>
      <c r="D28" s="705">
        <v>100</v>
      </c>
      <c r="E28" s="1127" t="s">
        <v>1420</v>
      </c>
      <c r="F28" s="1182">
        <f>SUMIF(92:92,E28,93:93)-SUMIF(92:92,C28,93:93)+100</f>
        <v>100</v>
      </c>
      <c r="G28" s="1127" t="s">
        <v>1420</v>
      </c>
      <c r="H28" s="705">
        <f>SUMIF(92:92,G28,93:93)-SUMIF(92:92,C28,93:93)+100</f>
        <v>100</v>
      </c>
      <c r="I28" s="1127" t="s">
        <v>1463</v>
      </c>
      <c r="J28" s="705">
        <f>SUMIF(92:92,I28,93:93)-SUMIF(92:92,C28,93:93)+100</f>
        <v>104</v>
      </c>
      <c r="K28" s="1130"/>
      <c r="L28" s="1095"/>
      <c r="M28" s="1041"/>
      <c r="N28" s="1041"/>
      <c r="O28" s="1041"/>
      <c r="P28" s="3383"/>
      <c r="Q28" s="704" t="str">
        <f t="shared" si="11"/>
        <v>楼层</v>
      </c>
      <c r="R28" s="1106" t="s">
        <v>1398</v>
      </c>
      <c r="S28" s="1107">
        <f t="shared" ref="S28:S46" si="12">F28</f>
        <v>100</v>
      </c>
      <c r="T28" s="1106" t="s">
        <v>1398</v>
      </c>
      <c r="U28" s="1107">
        <f t="shared" ref="U28:U46" si="13">H28</f>
        <v>100</v>
      </c>
      <c r="V28" s="1106" t="s">
        <v>1398</v>
      </c>
      <c r="W28" s="1107">
        <f t="shared" ref="W28:W46" si="14">J28</f>
        <v>104</v>
      </c>
      <c r="X28" s="1045"/>
      <c r="Y28" s="3388"/>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3"/>
      <c r="Q29" s="704">
        <f t="shared" si="11"/>
        <v>111</v>
      </c>
      <c r="R29" s="1106" t="s">
        <v>1398</v>
      </c>
      <c r="S29" s="1107">
        <f t="shared" si="12"/>
        <v>100</v>
      </c>
      <c r="T29" s="1106" t="s">
        <v>1398</v>
      </c>
      <c r="U29" s="1107">
        <f t="shared" si="13"/>
        <v>100</v>
      </c>
      <c r="V29" s="1106" t="s">
        <v>1398</v>
      </c>
      <c r="W29" s="1107">
        <f t="shared" si="14"/>
        <v>100</v>
      </c>
      <c r="X29" s="1045"/>
      <c r="Y29" s="3388"/>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3"/>
      <c r="Q30" s="704">
        <f t="shared" si="11"/>
        <v>111</v>
      </c>
      <c r="R30" s="1106" t="s">
        <v>1398</v>
      </c>
      <c r="S30" s="1107">
        <f t="shared" si="12"/>
        <v>100</v>
      </c>
      <c r="T30" s="1106" t="s">
        <v>1398</v>
      </c>
      <c r="U30" s="1107">
        <f t="shared" si="13"/>
        <v>100</v>
      </c>
      <c r="V30" s="1106" t="s">
        <v>1398</v>
      </c>
      <c r="W30" s="1107">
        <f t="shared" si="14"/>
        <v>100</v>
      </c>
      <c r="X30" s="1045"/>
      <c r="Y30" s="3388"/>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3"/>
      <c r="Q31" s="704">
        <f t="shared" si="11"/>
        <v>111</v>
      </c>
      <c r="R31" s="1106" t="s">
        <v>1398</v>
      </c>
      <c r="S31" s="1107">
        <f t="shared" si="12"/>
        <v>100</v>
      </c>
      <c r="T31" s="1106" t="s">
        <v>1398</v>
      </c>
      <c r="U31" s="1107">
        <f t="shared" si="13"/>
        <v>100</v>
      </c>
      <c r="V31" s="1106" t="s">
        <v>1398</v>
      </c>
      <c r="W31" s="1107">
        <f t="shared" si="14"/>
        <v>100</v>
      </c>
      <c r="X31" s="1045"/>
      <c r="Y31" s="3388"/>
      <c r="Z31" s="1044">
        <f t="shared" si="15"/>
        <v>111</v>
      </c>
      <c r="AA31" s="1044">
        <f t="shared" si="3"/>
        <v>1</v>
      </c>
      <c r="AB31" s="1044">
        <f t="shared" si="4"/>
        <v>1</v>
      </c>
      <c r="AC31" s="1044">
        <f t="shared" si="5"/>
        <v>1</v>
      </c>
    </row>
    <row r="32" spans="1:29" ht="15">
      <c r="A32" s="1100" t="s">
        <v>1423</v>
      </c>
      <c r="B32" s="1071" t="s">
        <v>1475</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4" t="s">
        <v>1426</v>
      </c>
      <c r="Q32" s="704" t="str">
        <f t="shared" si="11"/>
        <v>商业类型</v>
      </c>
      <c r="R32" s="1106" t="s">
        <v>1398</v>
      </c>
      <c r="S32" s="1107">
        <f t="shared" si="12"/>
        <v>100</v>
      </c>
      <c r="T32" s="1106" t="s">
        <v>1398</v>
      </c>
      <c r="U32" s="1107">
        <f t="shared" si="13"/>
        <v>100</v>
      </c>
      <c r="V32" s="1106" t="s">
        <v>1398</v>
      </c>
      <c r="W32" s="1107">
        <f t="shared" si="14"/>
        <v>100</v>
      </c>
      <c r="X32" s="1045"/>
      <c r="Y32" s="3389" t="s">
        <v>1426</v>
      </c>
      <c r="Z32" s="1044" t="str">
        <f t="shared" si="15"/>
        <v>商业类型</v>
      </c>
      <c r="AA32" s="1044">
        <f t="shared" si="3"/>
        <v>1</v>
      </c>
      <c r="AB32" s="1044">
        <f t="shared" si="4"/>
        <v>1</v>
      </c>
      <c r="AC32" s="1044">
        <f t="shared" si="5"/>
        <v>1</v>
      </c>
    </row>
    <row r="33" spans="1:29" s="1010" customFormat="1" ht="15">
      <c r="A33" s="1156"/>
      <c r="B33" s="1076" t="s">
        <v>1427</v>
      </c>
      <c r="C33" s="1391">
        <f>'数据-基础表'!I13</f>
        <v>62.23</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85"/>
      <c r="Q33" s="1403" t="str">
        <f t="shared" si="11"/>
        <v>项目建筑规模</v>
      </c>
      <c r="R33" s="1144" t="s">
        <v>1398</v>
      </c>
      <c r="S33" s="1145">
        <f t="shared" si="12"/>
        <v>100</v>
      </c>
      <c r="T33" s="1144" t="s">
        <v>1398</v>
      </c>
      <c r="U33" s="1145">
        <f t="shared" si="13"/>
        <v>101</v>
      </c>
      <c r="V33" s="1144" t="s">
        <v>1398</v>
      </c>
      <c r="W33" s="1145">
        <f t="shared" si="14"/>
        <v>101</v>
      </c>
      <c r="X33" s="1146"/>
      <c r="Y33" s="3389"/>
      <c r="Z33" s="1147" t="str">
        <f t="shared" si="15"/>
        <v>项目建筑规模</v>
      </c>
      <c r="AA33" s="1044">
        <f t="shared" si="3"/>
        <v>1</v>
      </c>
      <c r="AB33" s="1044">
        <f t="shared" si="4"/>
        <v>0.99009900990098998</v>
      </c>
      <c r="AC33" s="1044">
        <f t="shared" si="5"/>
        <v>0.99009900990098998</v>
      </c>
    </row>
    <row r="34" spans="1:29" ht="15">
      <c r="A34" s="1151"/>
      <c r="B34" s="1076" t="s">
        <v>1428</v>
      </c>
      <c r="C34" s="1404" t="s">
        <v>1429</v>
      </c>
      <c r="D34" s="705">
        <v>100</v>
      </c>
      <c r="E34" s="1404" t="s">
        <v>1429</v>
      </c>
      <c r="F34" s="1182">
        <f>SUMIF(105:105,E34,106:106)-SUMIF(105:105,C34,106:106)+100</f>
        <v>100</v>
      </c>
      <c r="G34" s="2077" t="s">
        <v>1429</v>
      </c>
      <c r="H34" s="705">
        <f>SUMIF(105:105,G34,106:106)-SUMIF(105:105,C34,106:106)+100</f>
        <v>100</v>
      </c>
      <c r="I34" s="2077" t="s">
        <v>1429</v>
      </c>
      <c r="J34" s="705">
        <f>SUMIF(105:105,I34,106:106)-SUMIF(105:105,C34,106:106)+100</f>
        <v>100</v>
      </c>
      <c r="K34" s="1132"/>
      <c r="L34" s="1095"/>
      <c r="M34" s="1041"/>
      <c r="N34" s="1041"/>
      <c r="O34" s="1041"/>
      <c r="P34" s="3385"/>
      <c r="Q34" s="704" t="str">
        <f t="shared" si="11"/>
        <v>建筑结构</v>
      </c>
      <c r="R34" s="1106" t="s">
        <v>1398</v>
      </c>
      <c r="S34" s="1107">
        <f t="shared" si="12"/>
        <v>100</v>
      </c>
      <c r="T34" s="1106" t="s">
        <v>1398</v>
      </c>
      <c r="U34" s="1107">
        <f t="shared" si="13"/>
        <v>100</v>
      </c>
      <c r="V34" s="1106" t="s">
        <v>1398</v>
      </c>
      <c r="W34" s="1107">
        <f t="shared" si="14"/>
        <v>100</v>
      </c>
      <c r="X34" s="1045"/>
      <c r="Y34" s="3389"/>
      <c r="Z34" s="1044" t="str">
        <f t="shared" si="15"/>
        <v>建筑结构</v>
      </c>
      <c r="AA34" s="1044">
        <f t="shared" si="3"/>
        <v>1</v>
      </c>
      <c r="AB34" s="1044">
        <f t="shared" si="4"/>
        <v>1</v>
      </c>
      <c r="AC34" s="1044">
        <f t="shared" si="5"/>
        <v>1</v>
      </c>
    </row>
    <row r="35" spans="1:29" ht="15">
      <c r="A35" s="1151"/>
      <c r="B35" s="1076" t="s">
        <v>1430</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5"/>
      <c r="Q35" s="704" t="str">
        <f t="shared" si="11"/>
        <v>公共部分装修</v>
      </c>
      <c r="R35" s="1106" t="s">
        <v>1398</v>
      </c>
      <c r="S35" s="1107">
        <f t="shared" si="12"/>
        <v>100</v>
      </c>
      <c r="T35" s="1106" t="s">
        <v>1398</v>
      </c>
      <c r="U35" s="1107">
        <f t="shared" si="13"/>
        <v>100</v>
      </c>
      <c r="V35" s="1106" t="s">
        <v>1398</v>
      </c>
      <c r="W35" s="1107">
        <f t="shared" si="14"/>
        <v>100</v>
      </c>
      <c r="X35" s="1045"/>
      <c r="Y35" s="3389"/>
      <c r="Z35" s="1044" t="str">
        <f t="shared" si="15"/>
        <v>公共部分装修</v>
      </c>
      <c r="AA35" s="1044">
        <f t="shared" si="3"/>
        <v>1</v>
      </c>
      <c r="AB35" s="1044">
        <f t="shared" si="4"/>
        <v>1</v>
      </c>
      <c r="AC35" s="1044">
        <f t="shared" si="5"/>
        <v>1</v>
      </c>
    </row>
    <row r="36" spans="1:29" ht="15">
      <c r="A36" s="1151"/>
      <c r="B36" s="1076" t="s">
        <v>686</v>
      </c>
      <c r="C36" s="1400">
        <f>'数据-取费表'!N6</f>
        <v>0.85</v>
      </c>
      <c r="D36" s="705">
        <v>100</v>
      </c>
      <c r="E36" s="1400">
        <f>C36</f>
        <v>0.85</v>
      </c>
      <c r="F36" s="1182">
        <f>LOOKUP(E36,110:110,111:111)-LOOKUP(C36,110:110,111:111)+100</f>
        <v>100</v>
      </c>
      <c r="G36" s="1400">
        <f>E36</f>
        <v>0.85</v>
      </c>
      <c r="H36" s="1182">
        <f>LOOKUP(G36,110:110,111:111)-LOOKUP(C36,110:110,111:111)+100</f>
        <v>100</v>
      </c>
      <c r="I36" s="1400">
        <f>G36</f>
        <v>0.85</v>
      </c>
      <c r="J36" s="705">
        <f>LOOKUP(I36,110:110,111:111)-LOOKUP(C36,110:110,111:111)+100</f>
        <v>100</v>
      </c>
      <c r="K36" s="1132"/>
      <c r="L36" s="1095"/>
      <c r="M36" s="1041"/>
      <c r="N36" s="1041"/>
      <c r="O36" s="1041"/>
      <c r="P36" s="3385"/>
      <c r="Q36" s="704" t="str">
        <f t="shared" si="11"/>
        <v>成新度</v>
      </c>
      <c r="R36" s="1106" t="s">
        <v>1398</v>
      </c>
      <c r="S36" s="1107">
        <f t="shared" si="12"/>
        <v>100</v>
      </c>
      <c r="T36" s="1106" t="s">
        <v>1398</v>
      </c>
      <c r="U36" s="1107">
        <f t="shared" si="13"/>
        <v>100</v>
      </c>
      <c r="V36" s="1106" t="s">
        <v>1398</v>
      </c>
      <c r="W36" s="1107">
        <f t="shared" si="14"/>
        <v>100</v>
      </c>
      <c r="X36" s="1045"/>
      <c r="Y36" s="3389"/>
      <c r="Z36" s="1044" t="str">
        <f t="shared" si="15"/>
        <v>成新度</v>
      </c>
      <c r="AA36" s="1044">
        <f t="shared" si="3"/>
        <v>1</v>
      </c>
      <c r="AB36" s="1044">
        <f t="shared" si="4"/>
        <v>1</v>
      </c>
      <c r="AC36" s="1044">
        <f t="shared" si="5"/>
        <v>1</v>
      </c>
    </row>
    <row r="37" spans="1:29" s="1008" customFormat="1" ht="15">
      <c r="A37" s="1153"/>
      <c r="B37" s="1076" t="s">
        <v>1436</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5"/>
      <c r="Q37" s="808" t="str">
        <f t="shared" si="11"/>
        <v>市政基础设施</v>
      </c>
      <c r="R37" s="1064" t="s">
        <v>1398</v>
      </c>
      <c r="S37" s="1065">
        <f t="shared" si="12"/>
        <v>100</v>
      </c>
      <c r="T37" s="1064" t="s">
        <v>1398</v>
      </c>
      <c r="U37" s="1065">
        <f t="shared" si="13"/>
        <v>100</v>
      </c>
      <c r="V37" s="1064" t="s">
        <v>1398</v>
      </c>
      <c r="W37" s="1065">
        <f t="shared" si="14"/>
        <v>100</v>
      </c>
      <c r="X37" s="1066"/>
      <c r="Y37" s="3389"/>
      <c r="Z37" s="1068" t="str">
        <f t="shared" si="15"/>
        <v>市政基础设施</v>
      </c>
      <c r="AA37" s="1068">
        <f t="shared" si="3"/>
        <v>1</v>
      </c>
      <c r="AB37" s="1068">
        <f t="shared" si="4"/>
        <v>1</v>
      </c>
      <c r="AC37" s="1068">
        <f t="shared" si="5"/>
        <v>1</v>
      </c>
    </row>
    <row r="38" spans="1:29" ht="15">
      <c r="A38" s="1151"/>
      <c r="B38" s="1076" t="s">
        <v>1476</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5" t="s">
        <v>1426</v>
      </c>
      <c r="Q38" s="704" t="str">
        <f t="shared" si="11"/>
        <v>业态</v>
      </c>
      <c r="R38" s="1106" t="s">
        <v>1398</v>
      </c>
      <c r="S38" s="1107">
        <f t="shared" si="12"/>
        <v>100</v>
      </c>
      <c r="T38" s="1106" t="s">
        <v>1398</v>
      </c>
      <c r="U38" s="1107">
        <f t="shared" si="13"/>
        <v>100</v>
      </c>
      <c r="V38" s="1106" t="s">
        <v>1398</v>
      </c>
      <c r="W38" s="1107">
        <f t="shared" si="14"/>
        <v>100</v>
      </c>
      <c r="X38" s="1045"/>
      <c r="Y38" s="3389" t="s">
        <v>1426</v>
      </c>
      <c r="Z38" s="1044" t="str">
        <f t="shared" si="15"/>
        <v>业态</v>
      </c>
      <c r="AA38" s="1044">
        <f t="shared" si="3"/>
        <v>1</v>
      </c>
      <c r="AB38" s="1044">
        <f t="shared" si="4"/>
        <v>1</v>
      </c>
      <c r="AC38" s="1044">
        <f t="shared" si="5"/>
        <v>1</v>
      </c>
    </row>
    <row r="39" spans="1:29" ht="15">
      <c r="A39" s="1151"/>
      <c r="B39" s="1076" t="s">
        <v>1437</v>
      </c>
      <c r="C39" s="1152" t="s">
        <v>1477</v>
      </c>
      <c r="D39" s="705">
        <v>100</v>
      </c>
      <c r="E39" s="1152" t="s">
        <v>1478</v>
      </c>
      <c r="F39" s="1182">
        <f>SUMIF(116:116,E39,117:117)-SUMIF(116:116,C39,117:117)+100</f>
        <v>104</v>
      </c>
      <c r="G39" s="1152" t="s">
        <v>1478</v>
      </c>
      <c r="H39" s="705">
        <f>SUMIF(116:116,G39,117:117)-SUMIF(116:116,C39,117:117)+100</f>
        <v>104</v>
      </c>
      <c r="I39" s="1152" t="s">
        <v>1478</v>
      </c>
      <c r="J39" s="705">
        <f>SUMIF(116:116,I39,117:117)-SUMIF(116:116,C39,117:117)+100</f>
        <v>104</v>
      </c>
      <c r="K39" s="1132">
        <v>-4</v>
      </c>
      <c r="L39" s="1095"/>
      <c r="M39" s="1041"/>
      <c r="N39" s="1041"/>
      <c r="O39" s="1041"/>
      <c r="P39" s="3385"/>
      <c r="Q39" s="704" t="str">
        <f t="shared" si="11"/>
        <v>层高</v>
      </c>
      <c r="R39" s="1106" t="s">
        <v>1398</v>
      </c>
      <c r="S39" s="1107">
        <f t="shared" si="12"/>
        <v>104</v>
      </c>
      <c r="T39" s="1106" t="s">
        <v>1398</v>
      </c>
      <c r="U39" s="1107">
        <f t="shared" si="13"/>
        <v>104</v>
      </c>
      <c r="V39" s="1106" t="s">
        <v>1398</v>
      </c>
      <c r="W39" s="1107">
        <f t="shared" si="14"/>
        <v>104</v>
      </c>
      <c r="X39" s="1045"/>
      <c r="Y39" s="3389"/>
      <c r="Z39" s="1044" t="str">
        <f t="shared" si="15"/>
        <v>层高</v>
      </c>
      <c r="AA39" s="1044">
        <f t="shared" si="3"/>
        <v>0.96153846153846201</v>
      </c>
      <c r="AB39" s="1044">
        <f t="shared" si="4"/>
        <v>0.96153846153846201</v>
      </c>
      <c r="AC39" s="1044">
        <f t="shared" si="5"/>
        <v>0.96153846153846201</v>
      </c>
    </row>
    <row r="40" spans="1:29" ht="15">
      <c r="A40" s="1151"/>
      <c r="B40" s="1076" t="s">
        <v>1465</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85"/>
      <c r="Q40" s="704" t="str">
        <f t="shared" si="11"/>
        <v>单套建筑面积</v>
      </c>
      <c r="R40" s="1106" t="s">
        <v>1398</v>
      </c>
      <c r="S40" s="1107">
        <f t="shared" si="12"/>
        <v>100</v>
      </c>
      <c r="T40" s="1106" t="s">
        <v>1398</v>
      </c>
      <c r="U40" s="1107">
        <f t="shared" si="13"/>
        <v>100</v>
      </c>
      <c r="V40" s="1106" t="s">
        <v>1398</v>
      </c>
      <c r="W40" s="1107">
        <f t="shared" si="14"/>
        <v>100</v>
      </c>
      <c r="X40" s="1045"/>
      <c r="Y40" s="3389"/>
      <c r="Z40" s="1044" t="str">
        <f t="shared" si="15"/>
        <v>单套建筑面积</v>
      </c>
      <c r="AA40" s="1044">
        <f t="shared" si="3"/>
        <v>1</v>
      </c>
      <c r="AB40" s="1044">
        <f t="shared" si="4"/>
        <v>1</v>
      </c>
      <c r="AC40" s="1044">
        <f t="shared" si="5"/>
        <v>1</v>
      </c>
    </row>
    <row r="41" spans="1:29" s="1010" customFormat="1" ht="15">
      <c r="A41" s="1156"/>
      <c r="B41" s="1182" t="s">
        <v>1479</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5"/>
      <c r="Q41" s="1403" t="str">
        <f t="shared" si="11"/>
        <v>进深比</v>
      </c>
      <c r="R41" s="1144" t="s">
        <v>1398</v>
      </c>
      <c r="S41" s="1145">
        <f t="shared" si="12"/>
        <v>100</v>
      </c>
      <c r="T41" s="1144" t="s">
        <v>1398</v>
      </c>
      <c r="U41" s="1145">
        <f t="shared" si="13"/>
        <v>100</v>
      </c>
      <c r="V41" s="1144" t="s">
        <v>1398</v>
      </c>
      <c r="W41" s="1145">
        <f t="shared" si="14"/>
        <v>100</v>
      </c>
      <c r="X41" s="1146"/>
      <c r="Y41" s="3389"/>
      <c r="Z41" s="1147" t="str">
        <f t="shared" si="15"/>
        <v>进深比</v>
      </c>
      <c r="AA41" s="1044">
        <f t="shared" si="3"/>
        <v>1</v>
      </c>
      <c r="AB41" s="1044">
        <f t="shared" si="4"/>
        <v>1</v>
      </c>
      <c r="AC41" s="1044">
        <f t="shared" si="5"/>
        <v>1</v>
      </c>
    </row>
    <row r="42" spans="1:29" ht="15">
      <c r="A42" s="1151"/>
      <c r="B42" s="1076" t="s">
        <v>1439</v>
      </c>
      <c r="C42" s="1152" t="s">
        <v>1440</v>
      </c>
      <c r="D42" s="705">
        <v>100</v>
      </c>
      <c r="E42" s="1152" t="s">
        <v>1440</v>
      </c>
      <c r="F42" s="1182">
        <f>SUMIF(122:122,E42,123:123)-SUMIF(122:122,C42,123:123)+100</f>
        <v>100</v>
      </c>
      <c r="G42" s="1152" t="s">
        <v>1440</v>
      </c>
      <c r="H42" s="705">
        <f>SUMIF(122:122,G42,123:123)-SUMIF(122:122,C42,123:123)+100</f>
        <v>100</v>
      </c>
      <c r="I42" s="1152" t="s">
        <v>1440</v>
      </c>
      <c r="J42" s="705">
        <f>SUMIF(122:122,I42,123:123)-SUMIF(122:122,C42,123:123)+100</f>
        <v>100</v>
      </c>
      <c r="K42" s="1132">
        <v>3</v>
      </c>
      <c r="L42" s="1095"/>
      <c r="M42" s="1041"/>
      <c r="N42" s="1041"/>
      <c r="O42" s="1041"/>
      <c r="P42" s="3385"/>
      <c r="Q42" s="704" t="str">
        <f t="shared" si="11"/>
        <v>内部装修</v>
      </c>
      <c r="R42" s="1106" t="s">
        <v>1398</v>
      </c>
      <c r="S42" s="1107">
        <f t="shared" si="12"/>
        <v>100</v>
      </c>
      <c r="T42" s="1106" t="s">
        <v>1398</v>
      </c>
      <c r="U42" s="1107">
        <f t="shared" si="13"/>
        <v>100</v>
      </c>
      <c r="V42" s="1106" t="s">
        <v>1398</v>
      </c>
      <c r="W42" s="1107">
        <f t="shared" si="14"/>
        <v>100</v>
      </c>
      <c r="X42" s="1045"/>
      <c r="Y42" s="3389"/>
      <c r="Z42" s="1044" t="str">
        <f t="shared" si="15"/>
        <v>内部装修</v>
      </c>
      <c r="AA42" s="1044">
        <f t="shared" si="3"/>
        <v>1</v>
      </c>
      <c r="AB42" s="1044">
        <f t="shared" si="4"/>
        <v>1</v>
      </c>
      <c r="AC42" s="1044">
        <f t="shared" si="5"/>
        <v>1</v>
      </c>
    </row>
    <row r="43" spans="1:29" ht="15">
      <c r="A43" s="1151"/>
      <c r="B43" s="1076" t="s">
        <v>1441</v>
      </c>
      <c r="C43" s="1152" t="s">
        <v>1417</v>
      </c>
      <c r="D43" s="705">
        <v>100</v>
      </c>
      <c r="E43" s="1152" t="s">
        <v>1417</v>
      </c>
      <c r="F43" s="1182">
        <f>SUMIF(124:124,E43,125:125)-SUMIF(124:124,C43,125:125)+100</f>
        <v>100</v>
      </c>
      <c r="G43" s="1152" t="s">
        <v>1417</v>
      </c>
      <c r="H43" s="705">
        <f>SUMIF(124:124,G43,125:125)-SUMIF(124:124,C43,125:125)+100</f>
        <v>100</v>
      </c>
      <c r="I43" s="1152" t="s">
        <v>1417</v>
      </c>
      <c r="J43" s="705">
        <f>SUMIF(124:124,I43,125:125)-SUMIF(124:124,C43,125:125)+100</f>
        <v>100</v>
      </c>
      <c r="K43" s="1132">
        <v>2</v>
      </c>
      <c r="L43" s="1095"/>
      <c r="M43" s="1041"/>
      <c r="N43" s="1041"/>
      <c r="O43" s="1041"/>
      <c r="P43" s="3385"/>
      <c r="Q43" s="704" t="str">
        <f t="shared" si="11"/>
        <v>内部装修维护情况</v>
      </c>
      <c r="R43" s="1106" t="s">
        <v>1398</v>
      </c>
      <c r="S43" s="1107">
        <f t="shared" si="12"/>
        <v>100</v>
      </c>
      <c r="T43" s="1106" t="s">
        <v>1398</v>
      </c>
      <c r="U43" s="1107">
        <f t="shared" si="13"/>
        <v>100</v>
      </c>
      <c r="V43" s="1106" t="s">
        <v>1398</v>
      </c>
      <c r="W43" s="1107">
        <f t="shared" si="14"/>
        <v>100</v>
      </c>
      <c r="X43" s="1045"/>
      <c r="Y43" s="3389"/>
      <c r="Z43" s="1044" t="str">
        <f t="shared" si="15"/>
        <v>内部装修维护情况</v>
      </c>
      <c r="AA43" s="1044">
        <f t="shared" si="3"/>
        <v>1</v>
      </c>
      <c r="AB43" s="1044">
        <f t="shared" si="4"/>
        <v>1</v>
      </c>
      <c r="AC43" s="1044">
        <f t="shared" si="5"/>
        <v>1</v>
      </c>
    </row>
    <row r="44" spans="1:29" s="1008" customFormat="1" ht="15">
      <c r="A44" s="1153"/>
      <c r="B44" s="2080" t="s">
        <v>1480</v>
      </c>
      <c r="C44" s="1391" t="s">
        <v>1481</v>
      </c>
      <c r="D44" s="1078">
        <v>100</v>
      </c>
      <c r="E44" s="2081" t="s">
        <v>1482</v>
      </c>
      <c r="F44" s="1076">
        <f>SUMIF(126:126,E44,127:127)-SUMIF(126:126,C44,127:127)+100</f>
        <v>90</v>
      </c>
      <c r="G44" s="2081" t="s">
        <v>1482</v>
      </c>
      <c r="H44" s="1078">
        <f>SUMIF(126:126,G44,127:127)-SUMIF(126:126,C44,127:127)+100</f>
        <v>90</v>
      </c>
      <c r="I44" s="2081" t="s">
        <v>1482</v>
      </c>
      <c r="J44" s="1078">
        <f>SUMIF(126:126,I44,127:127)-SUMIF(126:126,C44,127:127)+100</f>
        <v>90</v>
      </c>
      <c r="K44" s="1130"/>
      <c r="L44" s="1061"/>
      <c r="M44" s="1062"/>
      <c r="N44" s="1062"/>
      <c r="O44" s="1062"/>
      <c r="P44" s="3385"/>
      <c r="Q44" s="808" t="str">
        <f t="shared" si="11"/>
        <v>户型</v>
      </c>
      <c r="R44" s="1064" t="s">
        <v>1398</v>
      </c>
      <c r="S44" s="1065">
        <f t="shared" si="12"/>
        <v>90</v>
      </c>
      <c r="T44" s="1064" t="s">
        <v>1398</v>
      </c>
      <c r="U44" s="1065">
        <f t="shared" si="13"/>
        <v>90</v>
      </c>
      <c r="V44" s="1064" t="s">
        <v>1398</v>
      </c>
      <c r="W44" s="1065">
        <f t="shared" si="14"/>
        <v>90</v>
      </c>
      <c r="X44" s="1066"/>
      <c r="Y44" s="3389"/>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5"/>
      <c r="Q45" s="704">
        <f t="shared" si="11"/>
        <v>111</v>
      </c>
      <c r="R45" s="1106" t="s">
        <v>1398</v>
      </c>
      <c r="S45" s="1107">
        <f t="shared" si="12"/>
        <v>100</v>
      </c>
      <c r="T45" s="1106" t="s">
        <v>1398</v>
      </c>
      <c r="U45" s="1107">
        <f t="shared" si="13"/>
        <v>100</v>
      </c>
      <c r="V45" s="1106" t="s">
        <v>1398</v>
      </c>
      <c r="W45" s="1107">
        <f t="shared" si="14"/>
        <v>100</v>
      </c>
      <c r="X45" s="1045"/>
      <c r="Y45" s="3389"/>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6"/>
      <c r="Q46" s="704">
        <f t="shared" si="11"/>
        <v>111</v>
      </c>
      <c r="R46" s="1106" t="s">
        <v>1398</v>
      </c>
      <c r="S46" s="1107">
        <f t="shared" si="12"/>
        <v>100</v>
      </c>
      <c r="T46" s="1106" t="s">
        <v>1398</v>
      </c>
      <c r="U46" s="1107">
        <f t="shared" si="13"/>
        <v>100</v>
      </c>
      <c r="V46" s="1106" t="s">
        <v>1398</v>
      </c>
      <c r="W46" s="1107">
        <f t="shared" si="14"/>
        <v>100</v>
      </c>
      <c r="X46" s="1045"/>
      <c r="Y46" s="3390"/>
      <c r="Z46" s="1044">
        <f t="shared" si="15"/>
        <v>111</v>
      </c>
      <c r="AA46" s="1044">
        <f t="shared" si="3"/>
        <v>1</v>
      </c>
      <c r="AB46" s="1044">
        <f t="shared" si="4"/>
        <v>1</v>
      </c>
      <c r="AC46" s="1044">
        <f t="shared" si="5"/>
        <v>1</v>
      </c>
    </row>
    <row r="47" spans="1:29" ht="15">
      <c r="A47" s="1159" t="s">
        <v>1442</v>
      </c>
      <c r="B47" s="1408"/>
      <c r="C47" s="1409" t="s">
        <v>124</v>
      </c>
      <c r="D47" s="1162"/>
      <c r="E47" s="1163">
        <v>23131</v>
      </c>
      <c r="F47" s="1164"/>
      <c r="G47" s="1163">
        <v>24588</v>
      </c>
      <c r="H47" s="1166"/>
      <c r="I47" s="1163">
        <v>24559</v>
      </c>
      <c r="J47" s="1166"/>
      <c r="K47" s="1167"/>
      <c r="L47" s="1168"/>
      <c r="M47" s="1041"/>
      <c r="N47" s="1041"/>
      <c r="O47" s="1041"/>
      <c r="P47" s="3380" t="str">
        <f>A47</f>
        <v>成交单价（元/平方米）</v>
      </c>
      <c r="Q47" s="3380"/>
      <c r="R47" s="3381">
        <f>E47</f>
        <v>23131</v>
      </c>
      <c r="S47" s="3381"/>
      <c r="T47" s="3381">
        <f>G47</f>
        <v>24588</v>
      </c>
      <c r="U47" s="3381"/>
      <c r="V47" s="3381">
        <f>I47</f>
        <v>24559</v>
      </c>
      <c r="W47" s="3381"/>
      <c r="X47" s="1169"/>
      <c r="Y47" s="1170"/>
      <c r="Z47" s="1169"/>
      <c r="AA47" s="1169"/>
      <c r="AB47" s="1169"/>
      <c r="AC47" s="1169"/>
    </row>
    <row r="48" spans="1:29" ht="15">
      <c r="A48" s="1171" t="s">
        <v>1443</v>
      </c>
      <c r="B48" s="1410"/>
      <c r="C48" s="1411">
        <f>R49</f>
        <v>24225</v>
      </c>
      <c r="D48" s="1174" t="s">
        <v>1444</v>
      </c>
      <c r="E48" s="1412">
        <f>R48</f>
        <v>24108</v>
      </c>
      <c r="F48" s="1175">
        <v>0.4</v>
      </c>
      <c r="G48" s="1411">
        <f>T48</f>
        <v>25372</v>
      </c>
      <c r="H48" s="1175">
        <v>0.2</v>
      </c>
      <c r="I48" s="1412">
        <f>V48</f>
        <v>23194</v>
      </c>
      <c r="J48" s="1175">
        <v>0.4</v>
      </c>
      <c r="K48" s="1177">
        <f>F48+H48+J48</f>
        <v>1</v>
      </c>
      <c r="L48" s="1168"/>
      <c r="M48" s="1041"/>
      <c r="N48" s="1041"/>
      <c r="O48" s="1041"/>
      <c r="P48" s="3380" t="str">
        <f>A48</f>
        <v>比较价值（元/平方米）</v>
      </c>
      <c r="Q48" s="3380"/>
      <c r="R48" s="3381">
        <f>IF(F1="售价",ROUND(PRODUCT(R47,AA7:AA46),0),ROUND(PRODUCT(R47,AA7:AA46),1))</f>
        <v>24108</v>
      </c>
      <c r="S48" s="3381"/>
      <c r="T48" s="3381">
        <f>IF(F1="售价",ROUND(PRODUCT(T47,AB7:AB46),0),ROUND(PRODUCT(T47,AB7:AB46),1))</f>
        <v>25372</v>
      </c>
      <c r="U48" s="3381"/>
      <c r="V48" s="3381">
        <f>IF(F1="售价",ROUND(PRODUCT(V47,AC7:AC46),0),ROUND(PRODUCT(V47,AC7:AC46),1))</f>
        <v>23194</v>
      </c>
      <c r="W48" s="3381"/>
      <c r="X48" s="1169"/>
      <c r="Y48" s="1169"/>
      <c r="Z48" s="1169"/>
      <c r="AA48" s="1169"/>
      <c r="AB48" s="1169"/>
      <c r="AC48" s="1169"/>
    </row>
    <row r="49" spans="1:29" ht="15">
      <c r="A49" s="1178" t="s">
        <v>1445</v>
      </c>
      <c r="B49" s="1179"/>
      <c r="C49" s="1050">
        <f>R49</f>
        <v>24225</v>
      </c>
      <c r="D49" s="1050"/>
      <c r="E49" s="1050"/>
      <c r="F49" s="1050"/>
      <c r="G49" s="1050"/>
      <c r="H49" s="1050"/>
      <c r="I49" s="1050"/>
      <c r="J49" s="1050"/>
      <c r="K49" s="1181"/>
      <c r="L49" s="1168"/>
      <c r="M49" s="1041"/>
      <c r="N49" s="1041"/>
      <c r="O49" s="1041"/>
      <c r="P49" s="3416" t="str">
        <f>A49</f>
        <v>估价对象XX用房的比较价值（楼面单价，元/平方米）</v>
      </c>
      <c r="Q49" s="3417"/>
      <c r="R49" s="3418">
        <f>IF(F1="售价",ROUND(IF(D48="简单平均",AVERAGE(R48:V48),R48*F48+T48*H48+V48*J48),0),ROUND(IF(D48="简单平均",AVERAGE(R48:V48),R48*F48+T48*H48+V48*J48),1))</f>
        <v>24225</v>
      </c>
      <c r="S49" s="3418"/>
      <c r="T49" s="3418"/>
      <c r="U49" s="3418"/>
      <c r="V49" s="3418"/>
      <c r="W49" s="3418"/>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1446</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1447</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1448</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1449</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1396</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1450</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1399</v>
      </c>
      <c r="B61" s="1253"/>
      <c r="C61" s="1254" t="s">
        <v>1451</v>
      </c>
      <c r="D61" s="2087" t="s">
        <v>1401</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1452</v>
      </c>
      <c r="B63" s="1262" t="s">
        <v>1404</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1407</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1408</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1409</v>
      </c>
      <c r="B76" s="1262" t="s">
        <v>1483</v>
      </c>
      <c r="C76" s="1305" t="s">
        <v>1453</v>
      </c>
      <c r="D76" s="1305" t="s">
        <v>1454</v>
      </c>
      <c r="E76" s="1305" t="s">
        <v>1455</v>
      </c>
      <c r="F76" s="1305" t="s">
        <v>1456</v>
      </c>
      <c r="G76" s="1305" t="s">
        <v>1457</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1413</v>
      </c>
      <c r="C78" s="1310" t="s">
        <v>1453</v>
      </c>
      <c r="D78" s="1310" t="s">
        <v>1454</v>
      </c>
      <c r="E78" s="1310" t="s">
        <v>1455</v>
      </c>
      <c r="F78" s="1310" t="s">
        <v>1456</v>
      </c>
      <c r="G78" s="1310" t="s">
        <v>1457</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1414</v>
      </c>
      <c r="C80" s="1310" t="s">
        <v>1453</v>
      </c>
      <c r="D80" s="1310" t="s">
        <v>1454</v>
      </c>
      <c r="E80" s="1310" t="s">
        <v>1455</v>
      </c>
      <c r="F80" s="1310" t="s">
        <v>1456</v>
      </c>
      <c r="G80" s="1310" t="s">
        <v>1457</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1415</v>
      </c>
      <c r="C82" s="1113" t="s">
        <v>1458</v>
      </c>
      <c r="D82" s="1113" t="s">
        <v>1459</v>
      </c>
      <c r="E82" s="1113" t="s">
        <v>1460</v>
      </c>
      <c r="F82" s="1113" t="s">
        <v>1461</v>
      </c>
      <c r="G82" s="1113" t="s">
        <v>1462</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1471</v>
      </c>
      <c r="C84" s="1310" t="s">
        <v>1453</v>
      </c>
      <c r="D84" s="1310" t="s">
        <v>1454</v>
      </c>
      <c r="E84" s="1310" t="s">
        <v>1455</v>
      </c>
      <c r="F84" s="1310" t="s">
        <v>1456</v>
      </c>
      <c r="G84" s="1310" t="s">
        <v>1457</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1472</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1417</v>
      </c>
      <c r="E90" s="1286" t="s">
        <v>1412</v>
      </c>
      <c r="F90" s="1286" t="s">
        <v>1485</v>
      </c>
      <c r="G90" s="1286" t="s">
        <v>1486</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1463</v>
      </c>
      <c r="D92" s="2094" t="s">
        <v>1421</v>
      </c>
      <c r="E92" s="2094" t="s">
        <v>1420</v>
      </c>
      <c r="F92" s="2095"/>
      <c r="G92" s="2095"/>
      <c r="H92" s="1286"/>
      <c r="I92" s="1286"/>
      <c r="J92" s="1286"/>
      <c r="K92" s="1286"/>
      <c r="L92" s="1420"/>
      <c r="M92" s="1421"/>
      <c r="N92" s="1266" t="s">
        <v>1487</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1488</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1489</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1490</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1491</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1492</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1493</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1423</v>
      </c>
      <c r="B100" s="1262" t="s">
        <v>1475</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1427</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1428</v>
      </c>
      <c r="C105" s="2099" t="s">
        <v>1429</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1430</v>
      </c>
      <c r="C107" s="2099" t="s">
        <v>1431</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1436</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1476</v>
      </c>
      <c r="C114" s="2099" t="s">
        <v>1494</v>
      </c>
      <c r="D114" s="2099" t="s">
        <v>1495</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1437</v>
      </c>
      <c r="C116" s="2099" t="s">
        <v>1477</v>
      </c>
      <c r="D116" s="2099" t="s">
        <v>1478</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1465</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1496</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1439</v>
      </c>
      <c r="C122" s="2099" t="s">
        <v>1431</v>
      </c>
      <c r="D122" s="2099" t="s">
        <v>1440</v>
      </c>
      <c r="E122" s="2099" t="s">
        <v>1467</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1441</v>
      </c>
      <c r="C124" s="1310" t="s">
        <v>1453</v>
      </c>
      <c r="D124" s="1310" t="s">
        <v>1454</v>
      </c>
      <c r="E124" s="1310" t="s">
        <v>1455</v>
      </c>
      <c r="F124" s="1310" t="s">
        <v>1456</v>
      </c>
      <c r="G124" s="1310" t="s">
        <v>1457</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1482</v>
      </c>
      <c r="D126" s="1286" t="s">
        <v>1481</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t="s">
        <v>230</v>
      </c>
      <c r="D1" s="1802" t="s">
        <v>124</v>
      </c>
      <c r="E1" s="1803" t="s">
        <v>1193</v>
      </c>
      <c r="F1" s="1804">
        <f ca="1">J53</f>
        <v>37.729999999999997</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1810">
        <f ca="1">ROUND(D2/10000,4)</f>
        <v>40.989899999999999</v>
      </c>
      <c r="C2" s="1811" t="s">
        <v>1195</v>
      </c>
      <c r="D2" s="1812">
        <f ca="1">C40+J29+L46</f>
        <v>409899</v>
      </c>
      <c r="E2" s="1813" t="s">
        <v>1497</v>
      </c>
      <c r="F2" s="1814"/>
      <c r="G2" s="1815"/>
      <c r="H2" s="1816"/>
      <c r="I2" s="1816"/>
      <c r="J2" s="1816"/>
      <c r="K2" s="1817"/>
      <c r="L2" s="1816"/>
      <c r="M2" s="1816"/>
    </row>
    <row r="3" spans="1:37" ht="18" customHeight="1">
      <c r="A3" s="1818" t="s">
        <v>1196</v>
      </c>
      <c r="B3" s="1819">
        <f ca="1">IF(ISERROR(D2/F43),0,ROUND(D2/F43,0))</f>
        <v>6587</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23489</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ROUND(F6*F8*F7*(1-F9),0)</f>
        <v>23460</v>
      </c>
      <c r="D6" s="1835" t="s">
        <v>1498</v>
      </c>
      <c r="E6" s="1836" t="s">
        <v>1208</v>
      </c>
      <c r="F6" s="1837">
        <f ca="1">INDIRECT("'数据-取费表'!u"&amp;$G$1)</f>
        <v>2300</v>
      </c>
      <c r="G6" s="550"/>
      <c r="H6" s="1833" t="s">
        <v>945</v>
      </c>
      <c r="I6" s="3362" t="s">
        <v>1206</v>
      </c>
      <c r="J6" s="1838">
        <f ca="1">ROUND(M6*M8*M7*(1-M9),0)</f>
        <v>0</v>
      </c>
      <c r="K6" s="1839" t="s">
        <v>1499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1</v>
      </c>
      <c r="G7" s="550"/>
      <c r="H7" s="1844"/>
      <c r="I7" s="3363"/>
      <c r="J7" s="1845"/>
      <c r="K7" s="1842"/>
      <c r="L7" s="1836" t="s">
        <v>1210</v>
      </c>
      <c r="M7" s="1837">
        <f ca="1">F7</f>
        <v>1</v>
      </c>
    </row>
    <row r="8" spans="1:37" ht="18" customHeight="1">
      <c r="A8" s="1844"/>
      <c r="B8" s="3363"/>
      <c r="C8" s="1845"/>
      <c r="D8" s="1842"/>
      <c r="E8" s="1836" t="s">
        <v>1211</v>
      </c>
      <c r="F8" s="1837">
        <f ca="1">INDIRECT("'数据-取费表'!ai"&amp;$G$1)</f>
        <v>12</v>
      </c>
      <c r="G8" s="550"/>
      <c r="H8" s="1844"/>
      <c r="I8" s="3363"/>
      <c r="J8" s="1845"/>
      <c r="K8" s="1842"/>
      <c r="L8" s="1836" t="s">
        <v>1211</v>
      </c>
      <c r="M8" s="1837">
        <f ca="1">INDIRECT("'数据-取费表'!ai"&amp;$G$1)</f>
        <v>12</v>
      </c>
    </row>
    <row r="9" spans="1:37" ht="18" customHeight="1">
      <c r="A9" s="1844"/>
      <c r="B9" s="3364"/>
      <c r="C9" s="1845"/>
      <c r="D9" s="1842"/>
      <c r="E9" s="1836" t="s">
        <v>1212</v>
      </c>
      <c r="F9" s="1846">
        <f ca="1">INDIRECT("'数据-取费表'!w"&amp;$G$1)</f>
        <v>0.15</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29</v>
      </c>
      <c r="D10" s="1850" t="s">
        <v>1214</v>
      </c>
      <c r="E10" s="1847" t="s">
        <v>1215</v>
      </c>
      <c r="F10" s="1851" t="s">
        <v>1500</v>
      </c>
      <c r="G10" s="550"/>
      <c r="H10" s="1833" t="s">
        <v>949</v>
      </c>
      <c r="I10" s="1849" t="s">
        <v>1213</v>
      </c>
      <c r="J10" s="1838">
        <f ca="1">ROUND(IF(M10="押一",J6/12*M11,IF(M10="押二",J6/12*2*M11,IF(M10="押三",J6/12*3*M11,J11*M11))),0)</f>
        <v>0</v>
      </c>
      <c r="K10" s="1852" t="s">
        <v>1501</v>
      </c>
      <c r="L10" s="1847" t="s">
        <v>1215</v>
      </c>
      <c r="M10" s="1851"/>
    </row>
    <row r="11" spans="1:37" ht="18" customHeight="1">
      <c r="A11" s="1853"/>
      <c r="B11" s="1854" t="s">
        <v>1502</v>
      </c>
      <c r="C11" s="1855"/>
      <c r="D11" s="1842"/>
      <c r="E11" s="1847" t="s">
        <v>1217</v>
      </c>
      <c r="F11" s="1848">
        <f ca="1">'数据-取费表'!B39</f>
        <v>1.4999999999999999E-2</v>
      </c>
      <c r="G11" s="550"/>
      <c r="H11" s="1856"/>
      <c r="I11" s="1854" t="s">
        <v>1503</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349314</v>
      </c>
      <c r="D13" s="1870" t="s">
        <v>1220</v>
      </c>
      <c r="E13" s="1870" t="s">
        <v>1221</v>
      </c>
      <c r="F13" s="1871">
        <f ca="1">INDIRECT("'数据-取费表'!y"&amp;$G$1)</f>
        <v>0.85</v>
      </c>
      <c r="G13" s="550"/>
      <c r="H13" s="1867">
        <v>2</v>
      </c>
      <c r="I13" s="1868" t="s">
        <v>1219</v>
      </c>
      <c r="J13" s="1872">
        <f ca="1">ROUND(J14*J15,0)</f>
        <v>0</v>
      </c>
      <c r="K13" s="1873" t="s">
        <v>1220</v>
      </c>
      <c r="L13" s="1874"/>
      <c r="M13" s="1875"/>
    </row>
    <row r="14" spans="1:37" ht="18" customHeight="1">
      <c r="A14" s="1876" t="s">
        <v>968</v>
      </c>
      <c r="B14" s="1836" t="s">
        <v>1222</v>
      </c>
      <c r="C14" s="1877">
        <f ca="1">ROUND(INDIRECT("'数据-取费表'!l"&amp;$G$1)*F43+'数据-取费表'!L14*INDIRECT("'数据-取费表'!S"&amp;$G$1),0)</f>
        <v>280035</v>
      </c>
      <c r="D14" s="1878" t="s">
        <v>1223</v>
      </c>
      <c r="E14" s="1879"/>
      <c r="F14" s="1880"/>
      <c r="G14" s="550"/>
      <c r="H14" s="1876" t="s">
        <v>945</v>
      </c>
      <c r="I14" s="1836" t="s">
        <v>1224</v>
      </c>
      <c r="J14" s="993">
        <f ca="1">C29</f>
        <v>410958</v>
      </c>
      <c r="K14" s="1881"/>
      <c r="L14" s="1882"/>
      <c r="M14" s="1883"/>
    </row>
    <row r="15" spans="1:37" s="1798" customFormat="1" ht="18" customHeight="1">
      <c r="A15" s="1876" t="s">
        <v>972</v>
      </c>
      <c r="B15" s="1836" t="s">
        <v>1153</v>
      </c>
      <c r="C15" s="993">
        <f ca="1">ROUND(C14*F15,0)</f>
        <v>14002</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ROUND(INDIRECT("'数据-取费表'!l"&amp;$G$1)*F43*F16,0)</f>
        <v>0</v>
      </c>
      <c r="D16" s="1836" t="s">
        <v>1225</v>
      </c>
      <c r="E16" s="1836" t="s">
        <v>1226</v>
      </c>
      <c r="F16" s="1891">
        <f ca="1">IF(INDIRECT("'数据-取费表'!c"&amp;$G$1)="住宅",'数据-取费表'!B34,0)</f>
        <v>0</v>
      </c>
      <c r="G16" s="550"/>
      <c r="H16" s="1867" t="s">
        <v>1227</v>
      </c>
      <c r="I16" s="1868" t="s">
        <v>1228</v>
      </c>
      <c r="J16" s="1869">
        <f ca="1">ROUND(J17+J22+J23+J24,0)</f>
        <v>2055</v>
      </c>
      <c r="K16" s="1873" t="s">
        <v>1229</v>
      </c>
      <c r="L16" s="1892"/>
      <c r="M16" s="1832"/>
    </row>
    <row r="17" spans="1:37" s="1798" customFormat="1" ht="18" customHeight="1">
      <c r="A17" s="1876" t="s">
        <v>1230</v>
      </c>
      <c r="B17" s="1836" t="s">
        <v>1231</v>
      </c>
      <c r="C17" s="993">
        <f ca="1">ROUND(F17*(F43+INDIRECT("'数据-取费表'!S"&amp;$G$1)),0)</f>
        <v>12446</v>
      </c>
      <c r="D17" s="1836" t="s">
        <v>1232</v>
      </c>
      <c r="E17" s="1836" t="s">
        <v>1233</v>
      </c>
      <c r="F17" s="1893">
        <f>'数据-取费表'!B35</f>
        <v>200</v>
      </c>
      <c r="G17" s="1886"/>
      <c r="H17" s="1876" t="s">
        <v>945</v>
      </c>
      <c r="I17" s="1836" t="s">
        <v>1234</v>
      </c>
      <c r="J17" s="1894">
        <f ca="1">ROUND(IF(AND(项目基本情况!B11="自然人",项目基本情况!B10="北京市"),J6*M17/(1+'数据-取费表'!C42),J18+J19+J20),0)</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5601</v>
      </c>
      <c r="D18" s="1836" t="s">
        <v>1225</v>
      </c>
      <c r="E18" s="1836" t="s">
        <v>1226</v>
      </c>
      <c r="F18" s="1891">
        <f>'数据-取费表'!B36</f>
        <v>0.02</v>
      </c>
      <c r="G18" s="1886"/>
      <c r="H18" s="1876" t="s">
        <v>968</v>
      </c>
      <c r="I18" s="1836" t="s">
        <v>1238</v>
      </c>
      <c r="J18" s="993">
        <f ca="1">ROUND(J6*M18/(1+'数据-取费表'!C42),0)</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312084</v>
      </c>
      <c r="D19" s="1897" t="s">
        <v>1241</v>
      </c>
      <c r="E19" s="995"/>
      <c r="F19" s="1893"/>
      <c r="G19" s="550"/>
      <c r="H19" s="1876" t="s">
        <v>972</v>
      </c>
      <c r="I19" s="1836" t="s">
        <v>1242</v>
      </c>
      <c r="J19" s="993">
        <f ca="1">IF(K19="按租金收入计税",ROUND(J6*M19/(1+'数据-取费表'!C42),0),ROUND(C29*M19*0.7,0))</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9363</v>
      </c>
      <c r="D20" s="1899" t="s">
        <v>1245</v>
      </c>
      <c r="E20" s="1836" t="s">
        <v>1226</v>
      </c>
      <c r="F20" s="1891">
        <f>'数据-取费表'!B37</f>
        <v>0.03</v>
      </c>
      <c r="G20" s="1886"/>
      <c r="H20" s="1876" t="s">
        <v>975</v>
      </c>
      <c r="I20" s="1835" t="s">
        <v>1246</v>
      </c>
      <c r="J20" s="1900">
        <f ca="1">ROUND(M20*M21,0)</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ROUND(J14*M22,0)</f>
        <v>2055</v>
      </c>
      <c r="K22" s="1895" t="s">
        <v>1255</v>
      </c>
      <c r="L22" s="1836" t="s">
        <v>1226</v>
      </c>
      <c r="M22" s="1907">
        <f ca="1">INDIRECT("'数据-取费表'!Ak"&amp;$G$1)</f>
        <v>5.0000000000000001E-3</v>
      </c>
    </row>
    <row r="23" spans="1:37" s="1798" customFormat="1" ht="18" customHeight="1">
      <c r="A23" s="1876" t="s">
        <v>968</v>
      </c>
      <c r="B23" s="1836" t="s">
        <v>1256</v>
      </c>
      <c r="C23" s="993">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ROUND(J13*M23,0)</f>
        <v>0</v>
      </c>
      <c r="K23" s="1895" t="s">
        <v>1259</v>
      </c>
      <c r="L23" s="1836" t="s">
        <v>1226</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ROUND(J5*M24,0)</f>
        <v>0</v>
      </c>
      <c r="K24" s="1911" t="s">
        <v>1262</v>
      </c>
      <c r="L24" s="1863" t="s">
        <v>1226</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1001</v>
      </c>
      <c r="B25" s="1836" t="s">
        <v>1263</v>
      </c>
      <c r="C25" s="993"/>
      <c r="D25" s="1897" t="s">
        <v>1264</v>
      </c>
      <c r="E25" s="995"/>
      <c r="F25" s="1893"/>
      <c r="G25" s="550"/>
      <c r="H25" s="1867" t="s">
        <v>1265</v>
      </c>
      <c r="I25" s="1912" t="s">
        <v>1266</v>
      </c>
      <c r="J25" s="1869">
        <f ca="1">J5-J16</f>
        <v>-2055</v>
      </c>
      <c r="K25" s="1913" t="s">
        <v>1267</v>
      </c>
      <c r="L25" s="1914"/>
      <c r="M25" s="1915"/>
    </row>
    <row r="26" spans="1:37" ht="18" customHeight="1">
      <c r="A26" s="1876" t="s">
        <v>968</v>
      </c>
      <c r="B26" s="1836" t="s">
        <v>1268</v>
      </c>
      <c r="C26" s="993">
        <f ca="1">ROUND((C19+C20)*F26,0)</f>
        <v>48217</v>
      </c>
      <c r="D26" s="1899" t="s">
        <v>1269</v>
      </c>
      <c r="E26" s="1847" t="s">
        <v>1270</v>
      </c>
      <c r="F26" s="1846">
        <f ca="1">INDIRECT("'数据-取费表'!q"&amp;$G$1)</f>
        <v>0.15</v>
      </c>
      <c r="G26" s="550"/>
      <c r="H26" s="1827" t="s">
        <v>1271</v>
      </c>
      <c r="I26" s="1828" t="s">
        <v>1272</v>
      </c>
      <c r="J26" s="1838">
        <f ca="1">IF(J5&lt;&gt;0,ROUND(J25*(1-((1+M28)/(1+M26))^M27)/(M26-M28),0),0)</f>
        <v>0</v>
      </c>
      <c r="K26" s="1901" t="s">
        <v>1273</v>
      </c>
      <c r="L26" s="1836" t="s">
        <v>1274</v>
      </c>
      <c r="M26" s="1846">
        <f ca="1">INDIRECT("'数据-取费表'!I"&amp;$G$1)</f>
        <v>5.5E-2</v>
      </c>
    </row>
    <row r="27" spans="1:37" ht="18" customHeight="1">
      <c r="A27" s="1876" t="s">
        <v>972</v>
      </c>
      <c r="B27" s="1836" t="s">
        <v>1275</v>
      </c>
      <c r="C27" s="993">
        <f ca="1">ROUND(F21*F26,4)</f>
        <v>3.0000000000000001E-3</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410958</v>
      </c>
      <c r="D29" s="1911"/>
      <c r="E29" s="1863"/>
      <c r="F29" s="1920"/>
      <c r="G29" s="1886"/>
      <c r="H29" s="1921" t="s">
        <v>1283</v>
      </c>
      <c r="I29" s="1922" t="s">
        <v>1284</v>
      </c>
      <c r="J29" s="1923">
        <f ca="1">ROUND(J26/(1+F40)^F41,0)</f>
        <v>0</v>
      </c>
      <c r="K29" s="1924" t="s">
        <v>1285</v>
      </c>
      <c r="L29" s="1925"/>
      <c r="M29" s="1926">
        <f ca="1">INDIRECT("'数据-取费表'!k"&amp;$G$1)</f>
        <v>62.23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4085</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ROUND(IF(AND(项目基本情况!B11="自然人",项目基本情况!B10="北京市"),C6*F31/(1+'数据-取费表'!C42),C32+C33+C34),0)</f>
        <v>1564</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IF(项目基本情况!B11="自然人","——",ROUND(C6*F32/(1+'数据-取费表'!C42),0))</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IF(项目基本情况!B11="自然人","——",IF(D33="按租金收入计税",ROUND(C6*F33/(1+'数据-取费表'!C42),0),IF(D33="按房产原值计税",ROUND(C29*F33*0.7,0),INDIRECT("'数据-取费表'!Aj"&amp;$G$1))))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IF(项目基本情况!B11="自然人","——",ROUND(F34*F35,0))</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ROUND(C29*F36,0)</f>
        <v>2055</v>
      </c>
      <c r="D36" s="1895" t="s">
        <v>1287</v>
      </c>
      <c r="E36" s="1836" t="s">
        <v>1226</v>
      </c>
      <c r="F36" s="1907">
        <f ca="1">INDIRECT("'数据-取费表'!Ak"&amp;$G$1)</f>
        <v>5.0000000000000001E-3</v>
      </c>
      <c r="G36" s="550"/>
      <c r="H36" s="1933"/>
      <c r="I36" s="1928"/>
      <c r="J36" s="1929"/>
      <c r="K36" s="1940"/>
      <c r="L36" s="1933"/>
      <c r="M36" s="1933"/>
    </row>
    <row r="37" spans="1:18" ht="18" customHeight="1">
      <c r="A37" s="1876" t="s">
        <v>994</v>
      </c>
      <c r="B37" s="1836" t="s">
        <v>1258</v>
      </c>
      <c r="C37" s="993">
        <f ca="1">ROUND(C13*F37,0)</f>
        <v>349</v>
      </c>
      <c r="D37" s="1895" t="s">
        <v>1259</v>
      </c>
      <c r="E37" s="1836" t="s">
        <v>1226</v>
      </c>
      <c r="F37" s="1908">
        <f ca="1">INDIRECT("'数据-取费表'!Al"&amp;$G$1)</f>
        <v>1E-3</v>
      </c>
      <c r="G37" s="550"/>
      <c r="H37" s="1933"/>
      <c r="I37" s="1928"/>
      <c r="J37" s="1929"/>
      <c r="K37" s="1940"/>
      <c r="L37" s="1933"/>
      <c r="M37" s="1933"/>
    </row>
    <row r="38" spans="1:18" ht="18" customHeight="1">
      <c r="A38" s="1887" t="s">
        <v>997</v>
      </c>
      <c r="B38" s="1863" t="s">
        <v>1244</v>
      </c>
      <c r="C38" s="1910">
        <f ca="1">ROUND(C5*F38,0)</f>
        <v>117</v>
      </c>
      <c r="D38" s="1911" t="s">
        <v>1262</v>
      </c>
      <c r="E38" s="1863" t="s">
        <v>1226</v>
      </c>
      <c r="F38" s="1864">
        <f ca="1">INDIRECT("'数据-取费表'!Am"&amp;$G$1)</f>
        <v>5.0000000000000001E-3</v>
      </c>
      <c r="G38" s="550"/>
      <c r="H38" s="1933"/>
      <c r="I38" s="1928"/>
      <c r="J38" s="1929"/>
      <c r="K38" s="1930"/>
      <c r="L38" s="1933"/>
      <c r="M38" s="1933"/>
    </row>
    <row r="39" spans="1:18" ht="24.6" customHeight="1">
      <c r="A39" s="1867" t="s">
        <v>1265</v>
      </c>
      <c r="B39" s="1912" t="s">
        <v>1266</v>
      </c>
      <c r="C39" s="1869">
        <f ca="1">C5-C30</f>
        <v>19404</v>
      </c>
      <c r="D39" s="1913" t="s">
        <v>1267</v>
      </c>
      <c r="E39" s="1914"/>
      <c r="F39" s="1915"/>
      <c r="G39" s="550"/>
      <c r="H39" s="1933"/>
      <c r="I39" s="1928"/>
      <c r="J39" s="1929"/>
      <c r="K39" s="1930"/>
      <c r="L39" s="1933"/>
      <c r="M39" s="1933"/>
    </row>
    <row r="40" spans="1:18" ht="18" customHeight="1">
      <c r="A40" s="1827" t="s">
        <v>1271</v>
      </c>
      <c r="B40" s="1828" t="s">
        <v>1288</v>
      </c>
      <c r="C40" s="1838">
        <f ca="1">ROUND(C39*(1-((1+F42)/(1+F40))^F41)/(F40-F42),0)</f>
        <v>399164</v>
      </c>
      <c r="D40" s="1901" t="s">
        <v>1273</v>
      </c>
      <c r="E40" s="1836" t="s">
        <v>1274</v>
      </c>
      <c r="F40" s="1846">
        <f ca="1">INDIRECT("'数据-取费表'!I"&amp;$G$1)</f>
        <v>5.5E-2</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37.729999999999997</v>
      </c>
      <c r="G41" s="550"/>
      <c r="H41" s="982"/>
      <c r="I41" s="1928"/>
      <c r="J41" s="1929"/>
      <c r="K41" s="1940"/>
      <c r="L41" s="982"/>
      <c r="M41" s="982"/>
    </row>
    <row r="42" spans="1:18" ht="18" customHeight="1">
      <c r="A42" s="1853"/>
      <c r="B42" s="1919"/>
      <c r="C42" s="1869"/>
      <c r="D42" s="1906"/>
      <c r="E42" s="1836" t="s">
        <v>1281</v>
      </c>
      <c r="F42" s="1846">
        <f ca="1">INDIRECT("'数据-取费表'!v"&amp;$G$1)</f>
        <v>0.02</v>
      </c>
      <c r="G42" s="550"/>
      <c r="H42" s="982"/>
      <c r="I42" s="1928"/>
      <c r="J42" s="1929"/>
      <c r="K42" s="1940"/>
      <c r="L42" s="982"/>
      <c r="M42" s="982"/>
    </row>
    <row r="43" spans="1:18" ht="18" customHeight="1">
      <c r="A43" s="1921" t="s">
        <v>1283</v>
      </c>
      <c r="B43" s="1922" t="s">
        <v>1289</v>
      </c>
      <c r="C43" s="1923">
        <f ca="1">ROUND(C40/F43,0)</f>
        <v>6414</v>
      </c>
      <c r="D43" s="1924" t="s">
        <v>1290</v>
      </c>
      <c r="E43" s="1925" t="s">
        <v>1291</v>
      </c>
      <c r="F43" s="1926">
        <f ca="1">INDIRECT("'数据-取费表'!k"&amp;$G$1)</f>
        <v>62.23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1504</v>
      </c>
      <c r="B45" s="1942"/>
      <c r="C45" s="1946">
        <f ca="1">ROUND((C68-C40)/10000,4)</f>
        <v>-43.707500000000003</v>
      </c>
      <c r="D45" s="1947" t="s">
        <v>1505</v>
      </c>
      <c r="E45" s="1942"/>
      <c r="F45" s="1942"/>
      <c r="O45" s="1948" t="s">
        <v>1292</v>
      </c>
      <c r="P45" s="1941"/>
      <c r="Q45" s="1941"/>
      <c r="R45" s="1941"/>
    </row>
    <row r="46" spans="1:18" s="550" customFormat="1">
      <c r="A46" s="1949" t="s">
        <v>1293</v>
      </c>
      <c r="C46" s="1950">
        <f ca="1">ROUND(C45,0)</f>
        <v>-44</v>
      </c>
      <c r="D46" s="1951" t="str">
        <f>C2</f>
        <v>万元</v>
      </c>
      <c r="I46" s="1952" t="s">
        <v>1294</v>
      </c>
      <c r="J46" s="1953"/>
      <c r="K46" s="1954"/>
      <c r="L46" s="1955">
        <f ca="1">IF(M47="住宅",0,IF(L48&gt;J51,L60,J60))</f>
        <v>10735</v>
      </c>
      <c r="O46" s="1956" t="s">
        <v>1295</v>
      </c>
      <c r="P46" s="1957" t="s">
        <v>1296</v>
      </c>
      <c r="Q46" s="1958" t="s">
        <v>1297</v>
      </c>
      <c r="R46" s="1958" t="s">
        <v>1298</v>
      </c>
    </row>
    <row r="47" spans="1:18" s="550" customFormat="1">
      <c r="A47" s="1959" t="s">
        <v>1199</v>
      </c>
      <c r="B47" s="1960" t="s">
        <v>1200</v>
      </c>
      <c r="C47" s="1960" t="s">
        <v>1201</v>
      </c>
      <c r="D47" s="1960" t="s">
        <v>1202</v>
      </c>
      <c r="E47" s="1961" t="s">
        <v>1203</v>
      </c>
      <c r="F47" s="986"/>
      <c r="G47" s="1962"/>
      <c r="I47" s="1963" t="s">
        <v>1299</v>
      </c>
      <c r="J47" s="1964" t="s">
        <v>1429</v>
      </c>
      <c r="K47" s="1965" t="s">
        <v>1300</v>
      </c>
      <c r="L47" s="1966">
        <f ca="1">INDIRECT("'数据-取费表'!d"&amp;$G$1)</f>
        <v>50</v>
      </c>
      <c r="M47" s="1967" t="str">
        <f>IF(ISNUMBER(FIND("住宅",C1)),"住宅","非住宅")</f>
        <v>非住宅</v>
      </c>
      <c r="O47" s="1968" t="s">
        <v>1050</v>
      </c>
      <c r="P47" s="1969" t="s">
        <v>1301</v>
      </c>
      <c r="Q47" s="1970">
        <f ca="1">C40+J29</f>
        <v>399164</v>
      </c>
      <c r="R47" s="1970" t="s">
        <v>1302</v>
      </c>
    </row>
    <row r="48" spans="1:18" s="550" customFormat="1" ht="27.75">
      <c r="A48" s="1971" t="s">
        <v>1303</v>
      </c>
      <c r="B48" s="1828" t="s">
        <v>1204</v>
      </c>
      <c r="C48" s="994">
        <f ca="1">C49+C53+C55</f>
        <v>0</v>
      </c>
      <c r="D48" s="1972"/>
      <c r="E48" s="1973"/>
      <c r="F48" s="1974"/>
      <c r="G48" s="1962"/>
      <c r="H48" s="1975"/>
      <c r="I48" s="1976" t="s">
        <v>1304</v>
      </c>
      <c r="J48" s="1977" t="s">
        <v>1506</v>
      </c>
      <c r="K48" s="1978" t="s">
        <v>1305</v>
      </c>
      <c r="L48" s="1979">
        <f ca="1">INDIRECT("'数据-取费表'!f"&amp;$G$1)</f>
        <v>37.729999999999997</v>
      </c>
      <c r="O48" s="1968" t="s">
        <v>1053</v>
      </c>
      <c r="P48" s="1969" t="s">
        <v>1306</v>
      </c>
      <c r="Q48" s="1970">
        <f ca="1">J60</f>
        <v>10735</v>
      </c>
      <c r="R48" s="1970" t="s">
        <v>1307</v>
      </c>
    </row>
    <row r="49" spans="1:18" s="550" customFormat="1">
      <c r="A49" s="1980" t="s">
        <v>1308</v>
      </c>
      <c r="B49" s="1981" t="s">
        <v>1309</v>
      </c>
      <c r="C49" s="1982">
        <f ca="1">ROUND(F49*F51*F50*(1-F52),0)</f>
        <v>0</v>
      </c>
      <c r="D49" s="1983" t="s">
        <v>1507</v>
      </c>
      <c r="E49" s="1984" t="s">
        <v>1310</v>
      </c>
      <c r="F49" s="1985"/>
      <c r="H49" s="1975"/>
      <c r="I49" s="1976" t="s">
        <v>1311</v>
      </c>
      <c r="J49" s="1986">
        <f>'数据-取费表'!N17</f>
        <v>2016</v>
      </c>
      <c r="K49" s="1978" t="s">
        <v>1312</v>
      </c>
      <c r="L49" s="1987"/>
      <c r="O49" s="1988" t="s">
        <v>1313</v>
      </c>
      <c r="P49" s="1969" t="s">
        <v>1314</v>
      </c>
      <c r="Q49" s="1970">
        <f ca="1">C29</f>
        <v>410958</v>
      </c>
      <c r="R49" s="1970" t="s">
        <v>1302</v>
      </c>
    </row>
    <row r="50" spans="1:18" s="550" customFormat="1">
      <c r="A50" s="1989"/>
      <c r="B50" s="924"/>
      <c r="C50" s="1990"/>
      <c r="D50" s="1991"/>
      <c r="E50" s="1992" t="s">
        <v>1210</v>
      </c>
      <c r="F50" s="1993">
        <f ca="1">F7</f>
        <v>1</v>
      </c>
      <c r="H50" s="1975"/>
      <c r="I50" s="1976" t="s">
        <v>1315</v>
      </c>
      <c r="J50" s="1994">
        <f>SUMPRODUCT((I63:I65=J47)*(J62:L62=J48)*(J63:L65))</f>
        <v>60</v>
      </c>
      <c r="K50" s="1978" t="s">
        <v>1316</v>
      </c>
      <c r="L50" s="1987"/>
      <c r="M50" s="1995"/>
      <c r="O50" s="1988" t="s">
        <v>1317</v>
      </c>
      <c r="P50" s="1969" t="s">
        <v>1318</v>
      </c>
      <c r="Q50" s="1996">
        <f ca="1">J58</f>
        <v>0.4</v>
      </c>
      <c r="R50" s="1970"/>
    </row>
    <row r="51" spans="1:18" s="550" customFormat="1">
      <c r="A51" s="1997"/>
      <c r="B51" s="924"/>
      <c r="C51" s="1990"/>
      <c r="D51" s="1991"/>
      <c r="E51" s="1998" t="s">
        <v>1211</v>
      </c>
      <c r="F51" s="1837">
        <f ca="1">F8</f>
        <v>12</v>
      </c>
      <c r="I51" s="1999" t="s">
        <v>1319</v>
      </c>
      <c r="J51" s="1979">
        <f>IF(J49="",J50,J49+J50-YEAR('数据-取费表'!B2))</f>
        <v>51</v>
      </c>
      <c r="K51" s="2000" t="s">
        <v>1320</v>
      </c>
      <c r="L51" s="2001">
        <f ca="1">ROUND(-PV(INDIRECT("'数据-取费表'!h"&amp;$G$1),J51,(C39-C13*C76),0),0)</f>
        <v>-92575</v>
      </c>
      <c r="M51" s="2002"/>
      <c r="O51" s="1988" t="s">
        <v>1321</v>
      </c>
      <c r="P51" s="1969" t="s">
        <v>1322</v>
      </c>
      <c r="Q51" s="1996">
        <f>J52</f>
        <v>7.4999999999999997E-2</v>
      </c>
      <c r="R51" s="1970"/>
    </row>
    <row r="52" spans="1:18" s="550" customFormat="1">
      <c r="A52" s="1997"/>
      <c r="B52" s="924"/>
      <c r="C52" s="1990"/>
      <c r="D52" s="1991"/>
      <c r="E52" s="1998" t="s">
        <v>1212</v>
      </c>
      <c r="F52" s="2003"/>
      <c r="I52" s="2004" t="s">
        <v>1323</v>
      </c>
      <c r="J52" s="2005">
        <v>7.4999999999999997E-2</v>
      </c>
      <c r="K52" s="2004" t="s">
        <v>1324</v>
      </c>
      <c r="L52" s="2005"/>
      <c r="O52" s="1988" t="s">
        <v>1325</v>
      </c>
      <c r="P52" s="1969" t="s">
        <v>1326</v>
      </c>
      <c r="Q52" s="1970">
        <f ca="1">J53</f>
        <v>37.729999999999997</v>
      </c>
      <c r="R52" s="1970" t="s">
        <v>1327</v>
      </c>
    </row>
    <row r="53" spans="1:18" s="550" customFormat="1" ht="30.75" customHeight="1">
      <c r="A53" s="2006" t="s">
        <v>1328</v>
      </c>
      <c r="B53" s="1899" t="s">
        <v>1213</v>
      </c>
      <c r="C53" s="992">
        <f ca="1">ROUND(IF(F53="押一",C49/12*F11,IF(F53="押二",C49/12*2*F11,IF(F53="押三",C49/12*3*F11,C54*F11))),0)</f>
        <v>0</v>
      </c>
      <c r="D53" s="1850" t="s">
        <v>1508</v>
      </c>
      <c r="E53" s="1847" t="s">
        <v>1215</v>
      </c>
      <c r="F53" s="1851"/>
      <c r="I53" s="2007" t="s">
        <v>1329</v>
      </c>
      <c r="J53" s="2008">
        <f ca="1">IF(M47="住宅",IF(D1="——",MAX(J51,L48),MAX(J51,L48-'数据-取费表'!B24)),IF(D1="——",MIN(J51,L48),MIN(J51,L48-'数据-取费表'!B24)))</f>
        <v>37.729999999999997</v>
      </c>
      <c r="K53" s="3360" t="s">
        <v>1330</v>
      </c>
      <c r="L53" s="3361"/>
      <c r="O53" s="1968" t="s">
        <v>1155</v>
      </c>
      <c r="P53" s="1969" t="s">
        <v>1331</v>
      </c>
      <c r="Q53" s="1970">
        <f ca="1">Q47+Q48</f>
        <v>409899</v>
      </c>
      <c r="R53" s="1970" t="s">
        <v>1332</v>
      </c>
    </row>
    <row r="54" spans="1:18" s="550" customFormat="1">
      <c r="A54" s="1980"/>
      <c r="B54" s="2009" t="s">
        <v>1503</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f ca="1">ROUND(IF(J47="钢混",J57/J50,1-(1-2%)*(J50-J57)/J50),3)</f>
        <v>0.221</v>
      </c>
      <c r="K55" s="2016" t="s">
        <v>1335</v>
      </c>
      <c r="L55" s="2017"/>
      <c r="O55" s="1956" t="s">
        <v>1295</v>
      </c>
      <c r="P55" s="1957" t="s">
        <v>1296</v>
      </c>
      <c r="Q55" s="1958" t="s">
        <v>1297</v>
      </c>
      <c r="R55" s="1958" t="s">
        <v>1298</v>
      </c>
    </row>
    <row r="56" spans="1:18" s="550" customFormat="1" ht="36" customHeight="1">
      <c r="A56" s="2018">
        <v>2</v>
      </c>
      <c r="B56" s="2019" t="s">
        <v>1219</v>
      </c>
      <c r="C56" s="376">
        <f ca="1">C13</f>
        <v>349314</v>
      </c>
      <c r="D56" s="2020"/>
      <c r="E56" s="2021"/>
      <c r="F56" s="2011"/>
      <c r="I56" s="2022" t="s">
        <v>1336</v>
      </c>
      <c r="J56" s="2023" t="s">
        <v>535</v>
      </c>
      <c r="K56" s="1976" t="s">
        <v>1337</v>
      </c>
      <c r="L56" s="1979" t="str">
        <f ca="1">IF(L48&lt;J51,"——",L48-J51)</f>
        <v>——</v>
      </c>
      <c r="O56" s="1968" t="s">
        <v>1050</v>
      </c>
      <c r="P56" s="1969" t="s">
        <v>1301</v>
      </c>
      <c r="Q56" s="1970">
        <f ca="1">C40+J29</f>
        <v>399164</v>
      </c>
      <c r="R56" s="1970" t="s">
        <v>1302</v>
      </c>
    </row>
    <row r="57" spans="1:18" s="550" customFormat="1" ht="24">
      <c r="A57" s="2024"/>
      <c r="B57" s="2025" t="s">
        <v>1282</v>
      </c>
      <c r="C57" s="386">
        <f ca="1">C29</f>
        <v>410958</v>
      </c>
      <c r="D57" s="2026"/>
      <c r="E57" s="2027"/>
      <c r="F57" s="2028"/>
      <c r="I57" s="2029" t="s">
        <v>1338</v>
      </c>
      <c r="J57" s="2030">
        <f ca="1">IF(OR(M47="住宅",J51&lt;L48,J56="是"),"——",J51-L48)</f>
        <v>13.270000000000003</v>
      </c>
      <c r="K57" s="1976" t="s">
        <v>1509</v>
      </c>
      <c r="L57" s="1979" t="str">
        <f ca="1">IF(L48&lt;J51,"——",IF(L55="比较法",L49,IF(L55="基准地价",L50,L51)))</f>
        <v>——</v>
      </c>
      <c r="O57" s="1968" t="s">
        <v>1053</v>
      </c>
      <c r="P57" s="1969" t="s">
        <v>1340</v>
      </c>
      <c r="Q57" s="1970">
        <f ca="1">L60</f>
        <v>0</v>
      </c>
      <c r="R57" s="1970" t="s">
        <v>1341</v>
      </c>
    </row>
    <row r="58" spans="1:18" s="550" customFormat="1" ht="24">
      <c r="A58" s="2031" t="s">
        <v>1227</v>
      </c>
      <c r="B58" s="2019" t="s">
        <v>1228</v>
      </c>
      <c r="C58" s="992">
        <f ca="1">ROUND(C59+C64+C65+C66,0)</f>
        <v>2404</v>
      </c>
      <c r="D58" s="2032" t="s">
        <v>1229</v>
      </c>
      <c r="E58" s="2033"/>
      <c r="F58" s="1974"/>
      <c r="I58" s="2029" t="s">
        <v>1342</v>
      </c>
      <c r="J58" s="2034">
        <f ca="1">IF(J55&lt;0.4,0.4,J55)</f>
        <v>0.4</v>
      </c>
      <c r="K58" s="2000" t="s">
        <v>1510</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f ca="1">IF(OR(M47="住宅",J51&lt;L48,J56="是"),"——",ROUND(C29*J58,0))</f>
        <v>164383</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IF(项目基本情况!B11="自然人","——",ROUND(C48*F60/(1+'数据-取费表'!C42),0))</f>
        <v>——</v>
      </c>
      <c r="D60" s="2036" t="s">
        <v>1239</v>
      </c>
      <c r="E60" s="2025" t="s">
        <v>1226</v>
      </c>
      <c r="F60" s="1909">
        <f t="shared" ref="F60:F66" si="0">F32</f>
        <v>5.5E-2</v>
      </c>
      <c r="I60" s="2037" t="s">
        <v>1347</v>
      </c>
      <c r="J60" s="2038">
        <f ca="1">IF(OR(M47="住宅",J51&lt;L48,J56="是"),"0",ROUND(J59/(1+J52)^J53,0))</f>
        <v>10735</v>
      </c>
      <c r="K60" s="2039" t="s">
        <v>1348</v>
      </c>
      <c r="L60" s="2038">
        <f ca="1">IF(OR(M47="住宅",L48&lt;J51),0,ROUND(L57*(L58/L59-1),0))</f>
        <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IF(项目基本情况!B11="自然人","——",IF(D61="按租金收入计税",ROUND(C49*F61/(1+'数据-取费表'!C42),0),IF(D61="按房产原值计税",ROUND(C57*F61*0.7,0),INDIRECT("'数据-取费表'!Aj"&amp;$G$1))))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IF(项目基本情况!B11="自然人","——",ROUND(F62*F63,0))</f>
        <v>——</v>
      </c>
      <c r="D62" s="2041" t="s">
        <v>1247</v>
      </c>
      <c r="E62" s="2025" t="s">
        <v>1248</v>
      </c>
      <c r="F62" s="1902">
        <f t="shared" si="0"/>
        <v>0</v>
      </c>
      <c r="I62" s="2042" t="s">
        <v>1352</v>
      </c>
      <c r="J62" s="1204" t="s">
        <v>1353</v>
      </c>
      <c r="K62" s="1204" t="s">
        <v>1354</v>
      </c>
      <c r="L62" s="1204" t="s">
        <v>1355</v>
      </c>
      <c r="M62" s="2043" t="s">
        <v>1356</v>
      </c>
      <c r="O62" s="1968" t="s">
        <v>1155</v>
      </c>
      <c r="P62" s="1969" t="s">
        <v>1331</v>
      </c>
      <c r="Q62" s="1970">
        <f ca="1">Q56+Q57</f>
        <v>399164</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ROUND(C57*F64,0)</f>
        <v>2055</v>
      </c>
      <c r="D64" s="2036" t="s">
        <v>1287</v>
      </c>
      <c r="E64" s="2025" t="s">
        <v>1226</v>
      </c>
      <c r="F64" s="1907">
        <f t="shared" ca="1" si="0"/>
        <v>5.0000000000000001E-3</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ROUND(C56*F65,0)</f>
        <v>349</v>
      </c>
      <c r="D65" s="2036" t="s">
        <v>1259</v>
      </c>
      <c r="E65" s="2025" t="s">
        <v>1226</v>
      </c>
      <c r="F65" s="1908">
        <f t="shared" ca="1" si="0"/>
        <v>1E-3</v>
      </c>
      <c r="I65" s="2042" t="s">
        <v>1360</v>
      </c>
      <c r="J65" s="1204">
        <v>40</v>
      </c>
      <c r="K65" s="1204">
        <v>30</v>
      </c>
      <c r="L65" s="1204">
        <v>50</v>
      </c>
      <c r="M65" s="2046">
        <v>0.02</v>
      </c>
      <c r="O65" s="1968" t="s">
        <v>1050</v>
      </c>
      <c r="P65" s="1969" t="s">
        <v>1301</v>
      </c>
      <c r="Q65" s="1970">
        <f ca="1">C40+J29</f>
        <v>399164</v>
      </c>
      <c r="R65" s="1970" t="s">
        <v>1302</v>
      </c>
    </row>
    <row r="66" spans="1:18" s="550" customFormat="1" ht="15.75">
      <c r="A66" s="1876" t="s">
        <v>997</v>
      </c>
      <c r="B66" s="2025" t="s">
        <v>1244</v>
      </c>
      <c r="C66" s="993">
        <f ca="1">ROUND(C48*F66,0)</f>
        <v>0</v>
      </c>
      <c r="D66" s="2036" t="s">
        <v>1262</v>
      </c>
      <c r="E66" s="2025" t="s">
        <v>1226</v>
      </c>
      <c r="F66" s="1846">
        <f t="shared" ca="1" si="0"/>
        <v>5.0000000000000001E-3</v>
      </c>
      <c r="O66" s="1968" t="s">
        <v>1053</v>
      </c>
      <c r="P66" s="1969" t="s">
        <v>1340</v>
      </c>
      <c r="Q66" s="1970">
        <f ca="1">L60</f>
        <v>0</v>
      </c>
      <c r="R66" s="1970" t="s">
        <v>1341</v>
      </c>
    </row>
    <row r="67" spans="1:18" s="550" customFormat="1" ht="15.75">
      <c r="A67" s="2018" t="s">
        <v>1265</v>
      </c>
      <c r="B67" s="2047" t="s">
        <v>1266</v>
      </c>
      <c r="C67" s="992">
        <f ca="1">C48-C58</f>
        <v>-2404</v>
      </c>
      <c r="D67" s="2035" t="s">
        <v>1267</v>
      </c>
      <c r="E67" s="2048"/>
      <c r="F67" s="2049"/>
      <c r="O67" s="1988" t="s">
        <v>1313</v>
      </c>
      <c r="P67" s="1969" t="s">
        <v>1344</v>
      </c>
      <c r="Q67" s="2050">
        <f ca="1">L51</f>
        <v>-92575</v>
      </c>
      <c r="R67" s="1970" t="s">
        <v>1361</v>
      </c>
    </row>
    <row r="68" spans="1:18" s="550" customFormat="1" ht="15.75">
      <c r="A68" s="2051" t="s">
        <v>1271</v>
      </c>
      <c r="B68" s="2052" t="s">
        <v>1288</v>
      </c>
      <c r="C68" s="1838">
        <f ca="1">ROUND(C67*(1-((1+F70)/(1+F68))^F69)/(F68-F70),0)</f>
        <v>-37911</v>
      </c>
      <c r="D68" s="2041" t="s">
        <v>1273</v>
      </c>
      <c r="E68" s="2025" t="s">
        <v>1274</v>
      </c>
      <c r="F68" s="1846">
        <f ca="1">F40</f>
        <v>5.5E-2</v>
      </c>
      <c r="O68" s="1988" t="s">
        <v>1317</v>
      </c>
      <c r="P68" s="2053" t="s">
        <v>1362</v>
      </c>
      <c r="Q68" s="1970">
        <f ca="1">ROUND(Q69-Q70*Q71,0)</f>
        <v>-5048</v>
      </c>
      <c r="R68" s="1970" t="s">
        <v>1363</v>
      </c>
    </row>
    <row r="69" spans="1:18" s="550" customFormat="1">
      <c r="A69" s="2054"/>
      <c r="B69" s="2055"/>
      <c r="C69" s="1845"/>
      <c r="D69" s="2056" t="s">
        <v>1277</v>
      </c>
      <c r="E69" s="2025" t="s">
        <v>1278</v>
      </c>
      <c r="F69" s="1918">
        <f ca="1">F41</f>
        <v>37.729999999999997</v>
      </c>
      <c r="O69" s="1988" t="s">
        <v>1364</v>
      </c>
      <c r="P69" s="2053" t="s">
        <v>1365</v>
      </c>
      <c r="Q69" s="1970">
        <f ca="1">C39</f>
        <v>19404</v>
      </c>
      <c r="R69" s="1970" t="s">
        <v>1302</v>
      </c>
    </row>
    <row r="70" spans="1:18" s="550" customFormat="1">
      <c r="A70" s="2057"/>
      <c r="B70" s="2058"/>
      <c r="C70" s="1869"/>
      <c r="D70" s="2045"/>
      <c r="E70" s="2025" t="s">
        <v>1281</v>
      </c>
      <c r="F70" s="2003"/>
      <c r="O70" s="1988" t="s">
        <v>1366</v>
      </c>
      <c r="P70" s="2053" t="s">
        <v>1367</v>
      </c>
      <c r="Q70" s="1970">
        <f ca="1">C13</f>
        <v>349314</v>
      </c>
      <c r="R70" s="1970" t="s">
        <v>1302</v>
      </c>
    </row>
    <row r="71" spans="1:18" s="550" customFormat="1">
      <c r="A71" s="2059" t="s">
        <v>1283</v>
      </c>
      <c r="B71" s="2060" t="s">
        <v>1289</v>
      </c>
      <c r="C71" s="1923">
        <f ca="1">ROUND(C68/F71,0)</f>
        <v>-609</v>
      </c>
      <c r="D71" s="2061" t="s">
        <v>1290</v>
      </c>
      <c r="E71" s="2062" t="s">
        <v>1291</v>
      </c>
      <c r="F71" s="1926">
        <f ca="1">F43</f>
        <v>62.23</v>
      </c>
      <c r="O71" s="1988" t="s">
        <v>1368</v>
      </c>
      <c r="P71" s="2053" t="s">
        <v>1369</v>
      </c>
      <c r="Q71" s="1996">
        <f ca="1">C76</f>
        <v>7.0000000000000007E-2</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24452</v>
      </c>
      <c r="D75" s="550"/>
      <c r="E75" s="550"/>
      <c r="F75" s="550"/>
      <c r="K75" s="1944"/>
      <c r="L75" s="550"/>
      <c r="O75" s="1968" t="s">
        <v>1155</v>
      </c>
      <c r="P75" s="1969" t="s">
        <v>1331</v>
      </c>
      <c r="Q75" s="1970">
        <f ca="1">Q65+Q66</f>
        <v>399164</v>
      </c>
      <c r="R75" s="1970" t="s">
        <v>1332</v>
      </c>
    </row>
    <row r="76" spans="1:18">
      <c r="B76" s="510" t="s">
        <v>1373</v>
      </c>
      <c r="C76" s="2066">
        <f ca="1">INDIRECT("'数据-取费表'!j"&amp;$G$1)</f>
        <v>7.0000000000000007E-2</v>
      </c>
      <c r="I76" s="550"/>
      <c r="J76" s="550"/>
      <c r="K76" s="1944"/>
      <c r="L76" s="550"/>
    </row>
    <row r="77" spans="1:18">
      <c r="B77" s="2067" t="s">
        <v>1374</v>
      </c>
      <c r="C77" s="2068"/>
      <c r="I77" s="550"/>
      <c r="J77" s="550"/>
      <c r="K77" s="1944"/>
      <c r="L77" s="550"/>
    </row>
    <row r="78" spans="1:18">
      <c r="B78" s="416" t="s">
        <v>1375</v>
      </c>
      <c r="C78" s="2069"/>
    </row>
    <row r="79" spans="1:18">
      <c r="B79" s="2064" t="s">
        <v>1376</v>
      </c>
      <c r="C79" s="419">
        <f ca="1">1-C80</f>
        <v>-0.26</v>
      </c>
    </row>
    <row r="80" spans="1:18">
      <c r="B80" s="2064" t="s">
        <v>1377</v>
      </c>
      <c r="C80" s="419">
        <f ca="1">ROUND(C75/C39,3)</f>
        <v>1.26</v>
      </c>
    </row>
    <row r="81" spans="2:3">
      <c r="B81" s="416" t="s">
        <v>1378</v>
      </c>
      <c r="C81" s="386"/>
    </row>
    <row r="82" spans="2:3">
      <c r="B82" s="418" t="s">
        <v>1129</v>
      </c>
      <c r="C82" s="420">
        <f ca="1">1-C83</f>
        <v>0.125</v>
      </c>
    </row>
    <row r="83" spans="2:3">
      <c r="B83" s="418" t="s">
        <v>1130</v>
      </c>
      <c r="C83" s="419">
        <f ca="1">ROUND(C13/C40,3)</f>
        <v>0.875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1511</v>
      </c>
      <c r="B1" s="1633"/>
      <c r="C1" s="1634"/>
      <c r="D1" s="1634"/>
      <c r="E1" s="1635"/>
      <c r="F1" s="1636"/>
      <c r="G1" s="1637"/>
      <c r="J1" s="1638" t="s">
        <v>1512</v>
      </c>
      <c r="K1" s="1639"/>
      <c r="L1" s="1639"/>
      <c r="M1" s="1639"/>
      <c r="N1" s="1639"/>
      <c r="O1" s="1639"/>
      <c r="P1" s="1639"/>
      <c r="Q1" s="1639"/>
      <c r="R1" s="1640"/>
      <c r="S1" s="1641"/>
      <c r="T1" s="1641"/>
      <c r="U1" s="1641"/>
    </row>
    <row r="2" spans="1:22" s="1626" customFormat="1" ht="13.15" customHeight="1">
      <c r="A2" s="1642" t="s">
        <v>1194</v>
      </c>
      <c r="B2" s="1643" t="e">
        <f>IF(D2="——",C40,C40+E2)</f>
        <v>#DIV/0!</v>
      </c>
      <c r="C2" s="1634" t="s">
        <v>1195</v>
      </c>
      <c r="D2" s="1644" t="s">
        <v>1513</v>
      </c>
      <c r="E2" s="1645"/>
      <c r="F2" s="1646"/>
      <c r="G2" s="1647"/>
      <c r="H2" s="1648"/>
      <c r="I2" s="1649"/>
      <c r="J2" s="3426" t="s">
        <v>1514</v>
      </c>
      <c r="K2" s="3427"/>
      <c r="L2" s="1650" t="s">
        <v>1515</v>
      </c>
      <c r="M2" s="1650" t="s">
        <v>1516</v>
      </c>
      <c r="N2" s="1650" t="s">
        <v>1517</v>
      </c>
      <c r="O2" s="1650" t="s">
        <v>1518</v>
      </c>
      <c r="P2" s="1650" t="s">
        <v>1519</v>
      </c>
      <c r="Q2" s="1651" t="s">
        <v>1520</v>
      </c>
      <c r="R2" s="1652" t="s">
        <v>1521</v>
      </c>
      <c r="S2" s="1641"/>
      <c r="T2" s="1641"/>
      <c r="U2" s="1641"/>
      <c r="V2" s="1649"/>
    </row>
    <row r="3" spans="1:22" s="1626" customFormat="1" ht="13.15" customHeight="1">
      <c r="A3" s="1653" t="s">
        <v>1196</v>
      </c>
      <c r="B3" s="1654" t="e">
        <f>ROUND(B2*10000/B4,0)</f>
        <v>#DIV/0!</v>
      </c>
      <c r="C3" s="1634" t="s">
        <v>1197</v>
      </c>
      <c r="D3" s="1634"/>
      <c r="E3" s="1655"/>
      <c r="F3" s="1646"/>
      <c r="G3" s="1647"/>
      <c r="H3" s="1648"/>
      <c r="I3" s="1649"/>
      <c r="J3" s="3428" t="s">
        <v>1522</v>
      </c>
      <c r="K3" s="3429"/>
      <c r="L3" s="1656"/>
      <c r="M3" s="1656"/>
      <c r="N3" s="1656"/>
      <c r="O3" s="1656"/>
      <c r="P3" s="1656"/>
      <c r="Q3" s="1657"/>
      <c r="R3" s="1658">
        <f>SUM(L3:Q3)</f>
        <v>0</v>
      </c>
      <c r="S3" s="1641"/>
      <c r="T3" s="1641"/>
      <c r="U3" s="1641"/>
      <c r="V3" s="1649"/>
    </row>
    <row r="4" spans="1:22" s="1626" customFormat="1" ht="13.15" customHeight="1">
      <c r="A4" s="1659" t="s">
        <v>1523</v>
      </c>
      <c r="B4" s="1660"/>
      <c r="C4" s="1634"/>
      <c r="D4" s="1634"/>
      <c r="E4" s="1655"/>
      <c r="F4" s="1646"/>
      <c r="G4" s="1647"/>
      <c r="H4" s="1648"/>
      <c r="I4" s="1649"/>
      <c r="J4" s="3428" t="s">
        <v>1524</v>
      </c>
      <c r="K4" s="3429"/>
      <c r="L4" s="1661"/>
      <c r="M4" s="1661"/>
      <c r="N4" s="1661"/>
      <c r="O4" s="1661"/>
      <c r="P4" s="1661"/>
      <c r="Q4" s="1662"/>
      <c r="R4" s="1663">
        <f>SUM(L4:Q4)</f>
        <v>0</v>
      </c>
      <c r="S4" s="1641"/>
      <c r="T4" s="1641"/>
      <c r="U4" s="1641"/>
      <c r="V4" s="1649"/>
    </row>
    <row r="5" spans="1:22" s="1626" customFormat="1" ht="13.15" customHeight="1">
      <c r="A5" s="1664" t="s">
        <v>1525</v>
      </c>
      <c r="B5" s="1665"/>
      <c r="C5" s="1634"/>
      <c r="D5" s="1666"/>
      <c r="E5" s="1646"/>
      <c r="F5" s="1646"/>
      <c r="G5" s="1647"/>
      <c r="H5" s="1648"/>
      <c r="I5" s="1649"/>
      <c r="J5" s="1667" t="s">
        <v>1526</v>
      </c>
      <c r="K5" s="1668"/>
      <c r="L5" s="1668"/>
      <c r="M5" s="1669"/>
      <c r="N5" s="1669"/>
      <c r="O5" s="1669"/>
      <c r="P5" s="1669"/>
      <c r="Q5" s="1669"/>
      <c r="R5" s="1652">
        <f>SUM(R14,R19,R24,R25,R27,R28)</f>
        <v>0</v>
      </c>
      <c r="S5" s="1641"/>
      <c r="T5" s="1641" t="s">
        <v>1527</v>
      </c>
      <c r="U5" s="1641" t="e">
        <f>ROUND(R5*10000/365/R3,1)</f>
        <v>#DIV/0!</v>
      </c>
      <c r="V5" s="1649"/>
    </row>
    <row r="6" spans="1:22" s="1626" customFormat="1" ht="13.15" customHeight="1">
      <c r="A6" s="3430" t="s">
        <v>1528</v>
      </c>
      <c r="B6" s="3431"/>
      <c r="C6" s="3432"/>
      <c r="D6" s="1670"/>
      <c r="E6" s="1671"/>
      <c r="F6" s="1672"/>
      <c r="G6" s="1673"/>
      <c r="H6" s="1648"/>
      <c r="I6" s="1649"/>
      <c r="J6" s="3439">
        <v>1</v>
      </c>
      <c r="K6" s="3442" t="s">
        <v>1529</v>
      </c>
      <c r="L6" s="1675" t="s">
        <v>1530</v>
      </c>
      <c r="M6" s="1676" t="s">
        <v>1531</v>
      </c>
      <c r="N6" s="1676" t="s">
        <v>1532</v>
      </c>
      <c r="O6" s="1676" t="s">
        <v>1533</v>
      </c>
      <c r="P6" s="1676" t="s">
        <v>1534</v>
      </c>
      <c r="Q6" s="1676" t="s">
        <v>1535</v>
      </c>
      <c r="R6" s="1658" t="s">
        <v>1536</v>
      </c>
      <c r="S6" s="1641"/>
      <c r="T6" s="1641" t="s">
        <v>1537</v>
      </c>
      <c r="U6" s="1641"/>
      <c r="V6" s="1649"/>
    </row>
    <row r="7" spans="1:22" s="1626" customFormat="1" ht="13.15" customHeight="1">
      <c r="A7" s="1677" t="s">
        <v>1538</v>
      </c>
      <c r="B7" s="1678"/>
      <c r="C7" s="1679"/>
      <c r="D7" s="1680">
        <f>SUM(D9,D10,D11,D17,0)</f>
        <v>0</v>
      </c>
      <c r="E7" s="1681" t="e">
        <f>E9+E10+E11+E17</f>
        <v>#DIV/0!</v>
      </c>
      <c r="F7" s="1682"/>
      <c r="G7" s="1683"/>
      <c r="H7" s="1648"/>
      <c r="I7" s="1649"/>
      <c r="J7" s="3439"/>
      <c r="K7" s="3443"/>
      <c r="L7" s="1684" t="s">
        <v>1539</v>
      </c>
      <c r="M7" s="1685"/>
      <c r="N7" s="1660"/>
      <c r="O7" s="1686"/>
      <c r="P7" s="1686"/>
      <c r="Q7" s="1687">
        <v>365</v>
      </c>
      <c r="R7" s="1688">
        <f>ROUND(M7*N7*O7*P7*Q7/10000,0)</f>
        <v>0</v>
      </c>
      <c r="S7" s="1641"/>
      <c r="T7" s="1641" t="s">
        <v>1540</v>
      </c>
      <c r="U7" s="1641"/>
      <c r="V7" s="1649"/>
    </row>
    <row r="8" spans="1:22" s="1626" customFormat="1" ht="13.15" customHeight="1">
      <c r="A8" s="1689" t="s">
        <v>1541</v>
      </c>
      <c r="B8" s="3433" t="s">
        <v>1542</v>
      </c>
      <c r="C8" s="3434"/>
      <c r="D8" s="1692" t="s">
        <v>1543</v>
      </c>
      <c r="E8" s="1693" t="s">
        <v>1544</v>
      </c>
      <c r="F8" s="1694" t="s">
        <v>1545</v>
      </c>
      <c r="G8" s="1695"/>
      <c r="H8" s="1648"/>
      <c r="I8" s="1649"/>
      <c r="J8" s="3439"/>
      <c r="K8" s="3443"/>
      <c r="L8" s="1684" t="s">
        <v>1546</v>
      </c>
      <c r="M8" s="1685"/>
      <c r="N8" s="1660"/>
      <c r="O8" s="1686"/>
      <c r="P8" s="1686"/>
      <c r="Q8" s="1687">
        <v>365</v>
      </c>
      <c r="R8" s="1688">
        <f t="shared" ref="R8:R13" si="0">ROUND(M8*N8*O8*P8*Q8/10000,0)</f>
        <v>0</v>
      </c>
      <c r="S8" s="1641"/>
      <c r="T8" s="1641" t="s">
        <v>1547</v>
      </c>
      <c r="U8" s="1641"/>
      <c r="V8" s="1649"/>
    </row>
    <row r="9" spans="1:22" s="1626" customFormat="1" ht="13.15" customHeight="1">
      <c r="A9" s="1689">
        <v>1</v>
      </c>
      <c r="B9" s="3433" t="s">
        <v>1548</v>
      </c>
      <c r="C9" s="3434"/>
      <c r="D9" s="1692">
        <f>ROUND(D6*E9,0)</f>
        <v>0</v>
      </c>
      <c r="E9" s="1696"/>
      <c r="F9" s="1697" t="s">
        <v>1549</v>
      </c>
      <c r="G9" s="1673"/>
      <c r="H9" s="1648"/>
      <c r="I9" s="1649"/>
      <c r="J9" s="3439"/>
      <c r="K9" s="3443"/>
      <c r="L9" s="1684" t="s">
        <v>1550</v>
      </c>
      <c r="M9" s="1685"/>
      <c r="N9" s="1660"/>
      <c r="O9" s="1686"/>
      <c r="P9" s="1686"/>
      <c r="Q9" s="1687">
        <v>365</v>
      </c>
      <c r="R9" s="1688">
        <f t="shared" si="0"/>
        <v>0</v>
      </c>
      <c r="S9" s="1641"/>
      <c r="T9" s="1641"/>
      <c r="U9" s="1641"/>
      <c r="V9" s="1649"/>
    </row>
    <row r="10" spans="1:22" s="1626" customFormat="1" ht="13.15" customHeight="1">
      <c r="A10" s="1689">
        <v>2</v>
      </c>
      <c r="B10" s="3433" t="s">
        <v>1551</v>
      </c>
      <c r="C10" s="3434"/>
      <c r="D10" s="1692">
        <f>ROUND(D6*E10,0)</f>
        <v>0</v>
      </c>
      <c r="E10" s="1696"/>
      <c r="F10" s="1697" t="s">
        <v>1552</v>
      </c>
      <c r="G10" s="1673"/>
      <c r="H10" s="1648"/>
      <c r="I10" s="1649"/>
      <c r="J10" s="3439"/>
      <c r="K10" s="3443"/>
      <c r="L10" s="1684" t="s">
        <v>1553</v>
      </c>
      <c r="M10" s="1685"/>
      <c r="N10" s="1660"/>
      <c r="O10" s="1686"/>
      <c r="P10" s="1686"/>
      <c r="Q10" s="1687">
        <v>365</v>
      </c>
      <c r="R10" s="1688">
        <f t="shared" si="0"/>
        <v>0</v>
      </c>
      <c r="S10" s="1641"/>
      <c r="T10" s="1641"/>
      <c r="U10" s="1641"/>
      <c r="V10" s="1649"/>
    </row>
    <row r="11" spans="1:22" s="1626" customFormat="1" ht="13.15" customHeight="1">
      <c r="A11" s="1689">
        <v>3</v>
      </c>
      <c r="B11" s="3433" t="s">
        <v>1554</v>
      </c>
      <c r="C11" s="3434"/>
      <c r="D11" s="1692">
        <f>D12+D14+D15+D16</f>
        <v>0</v>
      </c>
      <c r="E11" s="1698" t="e">
        <f>D11/D6</f>
        <v>#DIV/0!</v>
      </c>
      <c r="F11" s="1694"/>
      <c r="G11" s="1695"/>
      <c r="H11" s="1648"/>
      <c r="I11" s="1649"/>
      <c r="J11" s="3439"/>
      <c r="K11" s="3443"/>
      <c r="L11" s="1684" t="s">
        <v>1555</v>
      </c>
      <c r="M11" s="1685"/>
      <c r="N11" s="1660"/>
      <c r="O11" s="1686"/>
      <c r="P11" s="1686"/>
      <c r="Q11" s="1687">
        <v>365</v>
      </c>
      <c r="R11" s="1688">
        <f t="shared" si="0"/>
        <v>0</v>
      </c>
      <c r="S11" s="1641"/>
      <c r="T11" s="1641"/>
      <c r="U11" s="1641"/>
      <c r="V11" s="1649"/>
    </row>
    <row r="12" spans="1:22" s="1626" customFormat="1" ht="13.15" customHeight="1">
      <c r="A12" s="1699" t="s">
        <v>1556</v>
      </c>
      <c r="B12" s="3435" t="s">
        <v>1557</v>
      </c>
      <c r="C12" s="3436"/>
      <c r="D12" s="1702">
        <f>ROUND(D13*1.2%*(1-30%),0)</f>
        <v>0</v>
      </c>
      <c r="E12" s="1703">
        <v>1.2E-2</v>
      </c>
      <c r="F12" s="1694" t="s">
        <v>1558</v>
      </c>
      <c r="G12" s="1695"/>
      <c r="H12" s="1648"/>
      <c r="I12" s="1649"/>
      <c r="J12" s="3439"/>
      <c r="K12" s="3443"/>
      <c r="L12" s="1684" t="s">
        <v>1559</v>
      </c>
      <c r="M12" s="1685"/>
      <c r="N12" s="1660"/>
      <c r="O12" s="1686"/>
      <c r="P12" s="1686"/>
      <c r="Q12" s="1687">
        <v>365</v>
      </c>
      <c r="R12" s="1688">
        <f t="shared" si="0"/>
        <v>0</v>
      </c>
      <c r="S12" s="1641"/>
      <c r="T12" s="1641"/>
      <c r="U12" s="1641"/>
      <c r="V12" s="1649"/>
    </row>
    <row r="13" spans="1:22" s="1626" customFormat="1" ht="13.15" customHeight="1">
      <c r="A13" s="1699"/>
      <c r="B13" s="1700"/>
      <c r="C13" s="1704" t="s">
        <v>1560</v>
      </c>
      <c r="D13" s="1705"/>
      <c r="E13" s="1706"/>
      <c r="F13" s="1694"/>
      <c r="G13" s="1695"/>
      <c r="H13" s="1648"/>
      <c r="I13" s="1649"/>
      <c r="J13" s="3439"/>
      <c r="K13" s="3443"/>
      <c r="L13" s="1684" t="s">
        <v>1561</v>
      </c>
      <c r="M13" s="1685"/>
      <c r="N13" s="1660"/>
      <c r="O13" s="1686"/>
      <c r="P13" s="1686"/>
      <c r="Q13" s="1687">
        <v>365</v>
      </c>
      <c r="R13" s="1688">
        <f t="shared" si="0"/>
        <v>0</v>
      </c>
      <c r="S13" s="1641"/>
      <c r="T13" s="1641"/>
      <c r="U13" s="1641"/>
      <c r="V13" s="1649"/>
    </row>
    <row r="14" spans="1:22" s="1626" customFormat="1" ht="13.15" customHeight="1">
      <c r="A14" s="1699" t="s">
        <v>1562</v>
      </c>
      <c r="B14" s="3435" t="s">
        <v>1563</v>
      </c>
      <c r="C14" s="3436"/>
      <c r="D14" s="1702">
        <f>ROUND(E14*B5/10000,0)</f>
        <v>0</v>
      </c>
      <c r="E14" s="1687"/>
      <c r="F14" s="1694" t="s">
        <v>1564</v>
      </c>
      <c r="G14" s="1695"/>
      <c r="H14" s="1648"/>
      <c r="I14" s="1649"/>
      <c r="J14" s="3439"/>
      <c r="K14" s="3444"/>
      <c r="L14" s="1707" t="s">
        <v>1565</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1566</v>
      </c>
      <c r="B15" s="3435" t="s">
        <v>1567</v>
      </c>
      <c r="C15" s="3436"/>
      <c r="D15" s="1702">
        <f>ROUND(D6*E15,0)</f>
        <v>0</v>
      </c>
      <c r="E15" s="1703">
        <v>5.5E-2</v>
      </c>
      <c r="F15" s="1694" t="s">
        <v>1568</v>
      </c>
      <c r="G15" s="1673"/>
      <c r="H15" s="1648"/>
      <c r="I15" s="1649"/>
      <c r="J15" s="3439">
        <v>2</v>
      </c>
      <c r="K15" s="3442" t="s">
        <v>1569</v>
      </c>
      <c r="L15" s="1684" t="s">
        <v>1570</v>
      </c>
      <c r="M15" s="1685" t="s">
        <v>1571</v>
      </c>
      <c r="N15" s="1685" t="s">
        <v>1572</v>
      </c>
      <c r="O15" s="1686" t="s">
        <v>1573</v>
      </c>
      <c r="P15" s="1686" t="s">
        <v>1535</v>
      </c>
      <c r="Q15" s="1660" t="s">
        <v>124</v>
      </c>
      <c r="R15" s="1711" t="s">
        <v>1536</v>
      </c>
      <c r="S15" s="1641"/>
      <c r="T15" s="1641"/>
      <c r="U15" s="1641"/>
      <c r="V15" s="1649"/>
    </row>
    <row r="16" spans="1:22" s="1626" customFormat="1" ht="13.15" customHeight="1">
      <c r="A16" s="1699" t="s">
        <v>1574</v>
      </c>
      <c r="B16" s="3435" t="s">
        <v>1575</v>
      </c>
      <c r="C16" s="3436"/>
      <c r="D16" s="1712">
        <f>D6*E16</f>
        <v>0</v>
      </c>
      <c r="E16" s="1713"/>
      <c r="F16" s="1697" t="s">
        <v>1576</v>
      </c>
      <c r="G16" s="1673"/>
      <c r="H16" s="1648"/>
      <c r="I16" s="1649"/>
      <c r="J16" s="3439"/>
      <c r="K16" s="3443"/>
      <c r="L16" s="1684" t="s">
        <v>1577</v>
      </c>
      <c r="M16" s="1685"/>
      <c r="N16" s="1685"/>
      <c r="O16" s="1686"/>
      <c r="P16" s="1687">
        <v>365</v>
      </c>
      <c r="Q16" s="1660"/>
      <c r="R16" s="1711">
        <f>ROUND(M16*N16*O16*P16/10000,0)</f>
        <v>0</v>
      </c>
      <c r="S16" s="1641"/>
      <c r="T16" s="1641"/>
      <c r="U16" s="1641"/>
      <c r="V16" s="1649"/>
    </row>
    <row r="17" spans="1:22" s="1626" customFormat="1" ht="13.15" customHeight="1">
      <c r="A17" s="1714">
        <v>4</v>
      </c>
      <c r="B17" s="3437" t="s">
        <v>1578</v>
      </c>
      <c r="C17" s="3438"/>
      <c r="D17" s="1715">
        <f>ROUND(D6*E17,0)</f>
        <v>0</v>
      </c>
      <c r="E17" s="1716"/>
      <c r="F17" s="1717" t="s">
        <v>1579</v>
      </c>
      <c r="G17" s="1673"/>
      <c r="H17" s="1648"/>
      <c r="I17" s="1649"/>
      <c r="J17" s="3439"/>
      <c r="K17" s="3443"/>
      <c r="L17" s="1684" t="s">
        <v>1580</v>
      </c>
      <c r="M17" s="1685"/>
      <c r="N17" s="1685"/>
      <c r="O17" s="1686"/>
      <c r="P17" s="1687">
        <v>365</v>
      </c>
      <c r="Q17" s="1660"/>
      <c r="R17" s="1711">
        <f>ROUND(M17*N17*O17*P17/10000,0)</f>
        <v>0</v>
      </c>
      <c r="S17" s="1641"/>
      <c r="T17" s="1641"/>
      <c r="U17" s="1641"/>
      <c r="V17" s="1649"/>
    </row>
    <row r="18" spans="1:22" s="1626" customFormat="1" ht="13.15" customHeight="1">
      <c r="A18" s="1677" t="s">
        <v>1581</v>
      </c>
      <c r="B18" s="1678"/>
      <c r="C18" s="1678"/>
      <c r="D18" s="1718">
        <f>ROUND(D6*E18,0)</f>
        <v>0</v>
      </c>
      <c r="E18" s="1719"/>
      <c r="F18" s="1720" t="s">
        <v>1582</v>
      </c>
      <c r="G18" s="1673"/>
      <c r="H18" s="1648"/>
      <c r="I18" s="1649"/>
      <c r="J18" s="3439"/>
      <c r="K18" s="3443"/>
      <c r="L18" s="1684" t="s">
        <v>1583</v>
      </c>
      <c r="M18" s="1685"/>
      <c r="N18" s="1685"/>
      <c r="O18" s="1686"/>
      <c r="P18" s="1687">
        <v>365</v>
      </c>
      <c r="Q18" s="1660"/>
      <c r="R18" s="1711">
        <f>ROUND(M18*N18*O18*P18/10000,0)</f>
        <v>0</v>
      </c>
      <c r="S18" s="1641"/>
      <c r="T18" s="1641"/>
      <c r="U18" s="1641"/>
      <c r="V18" s="1649"/>
    </row>
    <row r="19" spans="1:22" s="1626" customFormat="1" ht="13.15" customHeight="1">
      <c r="A19" s="1721" t="s">
        <v>1584</v>
      </c>
      <c r="B19" s="1671"/>
      <c r="C19" s="1671"/>
      <c r="D19" s="1671"/>
      <c r="E19" s="1671"/>
      <c r="F19" s="1672"/>
      <c r="G19" s="1695"/>
      <c r="H19" s="1648"/>
      <c r="I19" s="1649"/>
      <c r="J19" s="3439"/>
      <c r="K19" s="3444"/>
      <c r="L19" s="1707" t="s">
        <v>1565</v>
      </c>
      <c r="M19" s="1708"/>
      <c r="N19" s="1708">
        <f>SUM(N16:N18)</f>
        <v>0</v>
      </c>
      <c r="O19" s="1709"/>
      <c r="P19" s="1722" t="s">
        <v>1585</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39">
        <v>3</v>
      </c>
      <c r="K20" s="3442" t="s">
        <v>1586</v>
      </c>
      <c r="L20" s="1684" t="s">
        <v>1587</v>
      </c>
      <c r="M20" s="1685" t="s">
        <v>1588</v>
      </c>
      <c r="N20" s="1725" t="s">
        <v>1589</v>
      </c>
      <c r="O20" s="1686" t="s">
        <v>1590</v>
      </c>
      <c r="P20" s="1687" t="s">
        <v>1535</v>
      </c>
      <c r="Q20" s="1660" t="s">
        <v>124</v>
      </c>
      <c r="R20" s="1711" t="s">
        <v>1536</v>
      </c>
      <c r="S20" s="1641"/>
      <c r="T20" s="1641"/>
      <c r="U20" s="1641"/>
      <c r="V20" s="1649"/>
    </row>
    <row r="21" spans="1:22" s="1626" customFormat="1" ht="13.15" customHeight="1">
      <c r="A21" s="1677"/>
      <c r="B21" s="1678"/>
      <c r="C21" s="1690" t="s">
        <v>1591</v>
      </c>
      <c r="D21" s="1726" t="s">
        <v>1592</v>
      </c>
      <c r="E21" s="1691" t="s">
        <v>1593</v>
      </c>
      <c r="F21" s="1724"/>
      <c r="G21" s="1695"/>
      <c r="H21" s="1648"/>
      <c r="I21" s="1649"/>
      <c r="J21" s="3439"/>
      <c r="K21" s="3443"/>
      <c r="L21" s="1684" t="s">
        <v>1594</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1595</v>
      </c>
      <c r="D22" s="1729" t="s">
        <v>1596</v>
      </c>
      <c r="E22" s="1730" t="s">
        <v>1597</v>
      </c>
      <c r="F22" s="1724"/>
      <c r="G22" s="1641"/>
      <c r="H22" s="1648"/>
      <c r="I22" s="1649"/>
      <c r="J22" s="3439"/>
      <c r="K22" s="3443"/>
      <c r="L22" s="1684" t="s">
        <v>1598</v>
      </c>
      <c r="M22" s="1685"/>
      <c r="N22" s="1685"/>
      <c r="O22" s="1686"/>
      <c r="P22" s="1687">
        <v>365</v>
      </c>
      <c r="Q22" s="1660"/>
      <c r="R22" s="1727">
        <f>ROUND(M22*N22*O22*P22/10000,0)</f>
        <v>0</v>
      </c>
      <c r="S22" s="1641"/>
      <c r="T22" s="1641"/>
      <c r="U22" s="1641"/>
      <c r="V22" s="1649"/>
    </row>
    <row r="23" spans="1:22" s="1626" customFormat="1" ht="13.15" customHeight="1">
      <c r="A23" s="1731">
        <v>1</v>
      </c>
      <c r="B23" s="1732" t="s">
        <v>1599</v>
      </c>
      <c r="C23" s="1733">
        <f>D6</f>
        <v>0</v>
      </c>
      <c r="D23" s="1734">
        <f>C23*(1+D24)</f>
        <v>0</v>
      </c>
      <c r="E23" s="1735">
        <f>D23*(1+E24)</f>
        <v>0</v>
      </c>
      <c r="F23" s="1736"/>
      <c r="G23" s="1737"/>
      <c r="H23" s="1648"/>
      <c r="I23" s="1649"/>
      <c r="J23" s="3439"/>
      <c r="K23" s="3443"/>
      <c r="L23" s="1684" t="s">
        <v>1600</v>
      </c>
      <c r="M23" s="1685"/>
      <c r="N23" s="1685"/>
      <c r="O23" s="1686"/>
      <c r="P23" s="1687">
        <v>365</v>
      </c>
      <c r="Q23" s="1660"/>
      <c r="R23" s="1727">
        <f>ROUND(M23*N23*O23*P23/10000,0)</f>
        <v>0</v>
      </c>
      <c r="S23" s="1641"/>
      <c r="T23" s="1641"/>
      <c r="U23" s="1641"/>
      <c r="V23" s="1649"/>
    </row>
    <row r="24" spans="1:22" s="1626" customFormat="1" ht="13.15" customHeight="1">
      <c r="A24" s="1738"/>
      <c r="B24" s="1739" t="s">
        <v>1601</v>
      </c>
      <c r="C24" s="1740"/>
      <c r="D24" s="1741"/>
      <c r="E24" s="1742"/>
      <c r="F24" s="1743"/>
      <c r="G24" s="1737"/>
      <c r="H24" s="1648"/>
      <c r="I24" s="1649"/>
      <c r="J24" s="3439"/>
      <c r="K24" s="3444"/>
      <c r="L24" s="1707" t="s">
        <v>1565</v>
      </c>
      <c r="M24" s="1708">
        <f>SUM(M21:M23)</f>
        <v>0</v>
      </c>
      <c r="N24" s="1708"/>
      <c r="O24" s="1709"/>
      <c r="P24" s="1722" t="s">
        <v>1585</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1602</v>
      </c>
      <c r="L25" s="1745"/>
      <c r="M25" s="1745"/>
      <c r="N25" s="1745"/>
      <c r="O25" s="1745"/>
      <c r="P25" s="1746"/>
      <c r="Q25" s="1747">
        <v>0</v>
      </c>
      <c r="R25" s="1723">
        <f>ROUND(R14*Q25,0)</f>
        <v>0</v>
      </c>
      <c r="S25" s="1641"/>
      <c r="T25" s="1641"/>
      <c r="U25" s="1641"/>
      <c r="V25" s="1748"/>
    </row>
    <row r="26" spans="1:22" s="1627" customFormat="1" ht="13.15" customHeight="1">
      <c r="A26" s="1731">
        <v>2</v>
      </c>
      <c r="B26" s="1732" t="s">
        <v>1603</v>
      </c>
      <c r="C26" s="1733">
        <f>D7</f>
        <v>0</v>
      </c>
      <c r="D26" s="1734">
        <f>D23*D27</f>
        <v>0</v>
      </c>
      <c r="E26" s="1735">
        <f>E23*E27</f>
        <v>0</v>
      </c>
      <c r="F26" s="1736"/>
      <c r="G26" s="1737"/>
      <c r="H26" s="1648"/>
      <c r="I26" s="1649"/>
      <c r="J26" s="3440">
        <v>5</v>
      </c>
      <c r="K26" s="1749" t="s">
        <v>1604</v>
      </c>
      <c r="L26" s="1750"/>
      <c r="M26" s="1751"/>
      <c r="N26" s="1752" t="s">
        <v>505</v>
      </c>
      <c r="O26" s="1752" t="s">
        <v>1605</v>
      </c>
      <c r="P26" s="1753" t="s">
        <v>1606</v>
      </c>
      <c r="Q26" s="1753" t="s">
        <v>1607</v>
      </c>
      <c r="R26" s="1658" t="s">
        <v>1536</v>
      </c>
      <c r="S26" s="1695"/>
      <c r="T26" s="1695"/>
      <c r="U26" s="1695"/>
      <c r="V26" s="1748"/>
    </row>
    <row r="27" spans="1:22" s="1626" customFormat="1" ht="13.15" customHeight="1">
      <c r="A27" s="1738"/>
      <c r="B27" s="1739" t="s">
        <v>1608</v>
      </c>
      <c r="C27" s="1754" t="e">
        <f>E7</f>
        <v>#DIV/0!</v>
      </c>
      <c r="D27" s="1741"/>
      <c r="E27" s="1742"/>
      <c r="F27" s="1743"/>
      <c r="G27" s="1737"/>
      <c r="H27" s="1755"/>
      <c r="I27" s="1748"/>
      <c r="J27" s="3441"/>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1609</v>
      </c>
      <c r="F28" s="1743"/>
      <c r="G28" s="1641"/>
      <c r="H28" s="1755"/>
      <c r="I28" s="1748"/>
      <c r="J28" s="1761">
        <v>6</v>
      </c>
      <c r="K28" s="1762" t="s">
        <v>1610</v>
      </c>
      <c r="L28" s="1763" t="s">
        <v>1611</v>
      </c>
      <c r="M28" s="1764"/>
      <c r="N28" s="1763" t="s">
        <v>1612</v>
      </c>
      <c r="O28" s="1765"/>
      <c r="P28" s="1763" t="s">
        <v>1613</v>
      </c>
      <c r="Q28" s="1766">
        <v>1.4999999999999999E-2</v>
      </c>
      <c r="R28" s="1767"/>
      <c r="S28" s="1641"/>
      <c r="T28" s="1641"/>
      <c r="U28" s="1641"/>
      <c r="V28" s="1748"/>
    </row>
    <row r="29" spans="1:22" s="1627" customFormat="1" ht="13.15" customHeight="1">
      <c r="A29" s="1731">
        <v>3</v>
      </c>
      <c r="B29" s="1732" t="s">
        <v>1614</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1608</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1615</v>
      </c>
      <c r="K31" s="1639"/>
      <c r="L31" s="1639"/>
      <c r="M31" s="1639"/>
      <c r="N31" s="1639"/>
      <c r="O31" s="1639"/>
      <c r="P31" s="1639"/>
      <c r="Q31" s="1639"/>
      <c r="R31" s="1640"/>
      <c r="S31" s="1641"/>
      <c r="T31" s="1641"/>
      <c r="U31" s="1641"/>
      <c r="V31" s="1748"/>
    </row>
    <row r="32" spans="1:22" s="1627" customFormat="1" ht="13.15" customHeight="1">
      <c r="A32" s="1731">
        <v>4</v>
      </c>
      <c r="B32" s="1732" t="s">
        <v>1616</v>
      </c>
      <c r="C32" s="1733">
        <f>C23-C26-C29</f>
        <v>0</v>
      </c>
      <c r="D32" s="1734">
        <f>D23-D26-D29</f>
        <v>0</v>
      </c>
      <c r="E32" s="1735">
        <f>E23-E26-E29</f>
        <v>0</v>
      </c>
      <c r="F32" s="1736"/>
      <c r="G32" s="1641"/>
      <c r="H32" s="1648"/>
      <c r="I32" s="1649"/>
      <c r="J32" s="3426" t="s">
        <v>1514</v>
      </c>
      <c r="K32" s="3427"/>
      <c r="L32" s="1650" t="s">
        <v>1515</v>
      </c>
      <c r="M32" s="1650" t="s">
        <v>1516</v>
      </c>
      <c r="N32" s="1650" t="s">
        <v>1517</v>
      </c>
      <c r="O32" s="1650" t="s">
        <v>1518</v>
      </c>
      <c r="P32" s="1650" t="s">
        <v>1519</v>
      </c>
      <c r="Q32" s="1651" t="s">
        <v>1520</v>
      </c>
      <c r="R32" s="1770" t="s">
        <v>1521</v>
      </c>
      <c r="S32" s="1641"/>
      <c r="T32" s="1641"/>
      <c r="U32" s="1641"/>
      <c r="V32" s="1748"/>
    </row>
    <row r="33" spans="1:23" s="1626" customFormat="1" ht="13.15" customHeight="1">
      <c r="A33" s="1731"/>
      <c r="B33" s="1732"/>
      <c r="C33" s="1733"/>
      <c r="D33" s="1771"/>
      <c r="E33" s="1701"/>
      <c r="F33" s="1736"/>
      <c r="G33" s="1641"/>
      <c r="H33" s="1755"/>
      <c r="I33" s="1748"/>
      <c r="J33" s="3428" t="s">
        <v>1522</v>
      </c>
      <c r="K33" s="3429"/>
      <c r="L33" s="1656"/>
      <c r="M33" s="1656"/>
      <c r="N33" s="1656"/>
      <c r="O33" s="1656"/>
      <c r="P33" s="1656"/>
      <c r="Q33" s="1657"/>
      <c r="R33" s="1772">
        <f>SUM(L33:Q33)</f>
        <v>0</v>
      </c>
      <c r="S33" s="1641"/>
      <c r="T33" s="1641"/>
      <c r="U33" s="1641"/>
      <c r="V33" s="1649"/>
    </row>
    <row r="34" spans="1:23" s="1626" customFormat="1" ht="13.15" customHeight="1">
      <c r="A34" s="1731">
        <v>5</v>
      </c>
      <c r="B34" s="1732" t="s">
        <v>1617</v>
      </c>
      <c r="C34" s="1773"/>
      <c r="D34" s="1774"/>
      <c r="E34" s="1775"/>
      <c r="F34" s="1736"/>
      <c r="G34" s="1641"/>
      <c r="H34" s="1755"/>
      <c r="I34" s="1748"/>
      <c r="J34" s="3428" t="s">
        <v>1524</v>
      </c>
      <c r="K34" s="3429"/>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1618</v>
      </c>
      <c r="C35" s="1777"/>
      <c r="D35" s="1778"/>
      <c r="E35" s="1779"/>
      <c r="F35" s="1736"/>
      <c r="G35" s="1780"/>
      <c r="H35" s="1648"/>
      <c r="I35" s="1748"/>
      <c r="J35" s="1667" t="s">
        <v>1526</v>
      </c>
      <c r="K35" s="1668"/>
      <c r="L35" s="1668"/>
      <c r="M35" s="1669"/>
      <c r="N35" s="1669"/>
      <c r="O35" s="1669"/>
      <c r="P35" s="1669"/>
      <c r="Q35" s="1669"/>
      <c r="R35" s="1781">
        <f>R40+R41+R43</f>
        <v>0</v>
      </c>
      <c r="S35" s="1641"/>
      <c r="T35" s="1641" t="s">
        <v>1527</v>
      </c>
      <c r="U35" s="1641"/>
      <c r="V35" s="1649"/>
    </row>
    <row r="36" spans="1:23" s="1626" customFormat="1" ht="13.15" customHeight="1">
      <c r="A36" s="1731">
        <v>7</v>
      </c>
      <c r="B36" s="1782" t="s">
        <v>1619</v>
      </c>
      <c r="C36" s="1783"/>
      <c r="D36" s="1784"/>
      <c r="E36" s="1785"/>
      <c r="F36" s="1786">
        <f>C36+D36+E36</f>
        <v>0</v>
      </c>
      <c r="G36" s="1641"/>
      <c r="H36" s="1648"/>
      <c r="I36" s="1649"/>
      <c r="J36" s="3439">
        <v>1</v>
      </c>
      <c r="K36" s="3442" t="s">
        <v>1620</v>
      </c>
      <c r="L36" s="1675"/>
      <c r="M36" s="1676"/>
      <c r="N36" s="1676"/>
      <c r="O36" s="1676"/>
      <c r="P36" s="1676"/>
      <c r="Q36" s="1676"/>
      <c r="R36" s="1658" t="s">
        <v>1536</v>
      </c>
      <c r="S36" s="1641"/>
      <c r="T36" s="1641" t="s">
        <v>1537</v>
      </c>
      <c r="U36" s="1641"/>
      <c r="V36" s="1649"/>
    </row>
    <row r="37" spans="1:23" s="1626" customFormat="1" ht="13.15" customHeight="1">
      <c r="A37" s="1731"/>
      <c r="B37" s="1732"/>
      <c r="C37" s="1732"/>
      <c r="D37" s="1732"/>
      <c r="E37" s="1732"/>
      <c r="F37" s="1736"/>
      <c r="G37" s="1641"/>
      <c r="H37" s="1648"/>
      <c r="I37" s="1649"/>
      <c r="J37" s="3439"/>
      <c r="K37" s="3443"/>
      <c r="L37" s="1684"/>
      <c r="M37" s="1685"/>
      <c r="N37" s="1660"/>
      <c r="O37" s="1686"/>
      <c r="P37" s="1686"/>
      <c r="Q37" s="1687"/>
      <c r="R37" s="1688"/>
      <c r="S37" s="1641"/>
      <c r="T37" s="1641" t="s">
        <v>1540</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39"/>
      <c r="K38" s="3443"/>
      <c r="L38" s="1684"/>
      <c r="M38" s="1685"/>
      <c r="N38" s="1660"/>
      <c r="O38" s="1686"/>
      <c r="P38" s="1686"/>
      <c r="Q38" s="1687"/>
      <c r="R38" s="1688"/>
      <c r="S38" s="1641"/>
      <c r="T38" s="1641" t="s">
        <v>1547</v>
      </c>
      <c r="U38" s="1641"/>
      <c r="V38" s="1649"/>
    </row>
    <row r="39" spans="1:23" s="1626" customFormat="1" ht="13.15" customHeight="1">
      <c r="A39" s="1731">
        <v>9</v>
      </c>
      <c r="B39" s="1732" t="s">
        <v>1621</v>
      </c>
      <c r="C39" s="1702" t="e">
        <f>C38</f>
        <v>#DIV/0!</v>
      </c>
      <c r="D39" s="1732">
        <f>D38/(1+D34)^C36</f>
        <v>0</v>
      </c>
      <c r="E39" s="1732">
        <f>E38/(1+E34)^(C36+D36)</f>
        <v>0</v>
      </c>
      <c r="F39" s="1736"/>
      <c r="G39" s="1649"/>
      <c r="H39" s="1648"/>
      <c r="I39" s="1649"/>
      <c r="J39" s="3439"/>
      <c r="K39" s="3443"/>
      <c r="L39" s="1684"/>
      <c r="M39" s="1685"/>
      <c r="N39" s="1660"/>
      <c r="O39" s="1686"/>
      <c r="P39" s="1686"/>
      <c r="Q39" s="1687"/>
      <c r="R39" s="1688"/>
      <c r="S39" s="1641"/>
      <c r="T39" s="1641"/>
      <c r="U39" s="1641"/>
      <c r="V39" s="1649"/>
    </row>
    <row r="40" spans="1:23" s="1626" customFormat="1" ht="13.15" customHeight="1">
      <c r="A40" s="1787">
        <v>10</v>
      </c>
      <c r="B40" s="1732" t="s">
        <v>1622</v>
      </c>
      <c r="C40" s="1788" t="e">
        <f>C39+D39+E39</f>
        <v>#DIV/0!</v>
      </c>
      <c r="D40" s="1789"/>
      <c r="E40" s="1789"/>
      <c r="F40" s="1790"/>
      <c r="G40" s="1641"/>
      <c r="H40" s="1648"/>
      <c r="I40" s="1649"/>
      <c r="J40" s="3439"/>
      <c r="K40" s="3444"/>
      <c r="L40" s="1707" t="s">
        <v>1565</v>
      </c>
      <c r="M40" s="1708"/>
      <c r="N40" s="1708"/>
      <c r="O40" s="1709"/>
      <c r="P40" s="1709"/>
      <c r="Q40" s="1710"/>
      <c r="R40" s="1652">
        <f>SUM(R37:R39)</f>
        <v>0</v>
      </c>
      <c r="S40" s="1641"/>
      <c r="T40" s="1641"/>
      <c r="U40" s="1641"/>
      <c r="V40" s="1649"/>
    </row>
    <row r="41" spans="1:23" s="1626" customFormat="1" ht="13.15" customHeight="1">
      <c r="A41" s="1791">
        <v>11</v>
      </c>
      <c r="B41" s="1792" t="s">
        <v>1623</v>
      </c>
      <c r="C41" s="1792" t="e">
        <f>ROUND(C40*10000/B4,0)</f>
        <v>#DIV/0!</v>
      </c>
      <c r="D41" s="1793"/>
      <c r="E41" s="1793"/>
      <c r="F41" s="1794"/>
      <c r="G41" s="1648"/>
      <c r="H41" s="1648"/>
      <c r="I41" s="1649"/>
      <c r="J41" s="1674">
        <v>2</v>
      </c>
      <c r="K41" s="1744" t="s">
        <v>1602</v>
      </c>
      <c r="L41" s="1745"/>
      <c r="M41" s="1745"/>
      <c r="N41" s="1745"/>
      <c r="O41" s="1745"/>
      <c r="P41" s="1746"/>
      <c r="Q41" s="1747"/>
      <c r="R41" s="1723">
        <f>ROUND(R40*Q41,0)</f>
        <v>0</v>
      </c>
      <c r="S41" s="1641"/>
      <c r="T41" s="1641"/>
      <c r="U41" s="1695"/>
      <c r="V41" s="1649"/>
    </row>
    <row r="42" spans="1:23" s="1626" customFormat="1" ht="13.15" customHeight="1">
      <c r="G42" s="1648"/>
      <c r="H42" s="1648"/>
      <c r="I42" s="1649"/>
      <c r="J42" s="3440">
        <v>3</v>
      </c>
      <c r="K42" s="1749" t="s">
        <v>1604</v>
      </c>
      <c r="L42" s="1750"/>
      <c r="M42" s="1751"/>
      <c r="N42" s="1752" t="s">
        <v>505</v>
      </c>
      <c r="O42" s="1752" t="s">
        <v>1605</v>
      </c>
      <c r="P42" s="1753" t="s">
        <v>1606</v>
      </c>
      <c r="Q42" s="1753" t="s">
        <v>1607</v>
      </c>
      <c r="R42" s="1658" t="s">
        <v>1536</v>
      </c>
      <c r="S42" s="1695"/>
      <c r="T42" s="1695"/>
      <c r="U42" s="1641"/>
      <c r="V42" s="1649"/>
    </row>
    <row r="43" spans="1:23" ht="13.15" customHeight="1">
      <c r="A43" s="1626"/>
      <c r="B43" s="1626"/>
      <c r="C43" s="1626"/>
      <c r="D43" s="1626"/>
      <c r="E43" s="1626"/>
      <c r="F43" s="1626"/>
      <c r="I43" s="1629"/>
      <c r="J43" s="3441"/>
      <c r="K43" s="1756"/>
      <c r="L43" s="1757"/>
      <c r="M43" s="1758"/>
      <c r="N43" s="1685"/>
      <c r="O43" s="1685"/>
      <c r="P43" s="1685"/>
      <c r="Q43" s="1747"/>
      <c r="R43" s="1723">
        <f>ROUND(O43*N43*P43*(1-Q43)/10000,0)</f>
        <v>0</v>
      </c>
      <c r="S43" s="1641"/>
      <c r="T43" s="1641"/>
      <c r="V43" s="1631"/>
      <c r="W43" s="1795"/>
    </row>
    <row r="44" spans="1:23" ht="13.15" customHeight="1">
      <c r="J44" s="1761">
        <v>6</v>
      </c>
      <c r="K44" s="1762" t="s">
        <v>1610</v>
      </c>
      <c r="L44" s="1796" t="s">
        <v>1611</v>
      </c>
      <c r="M44" s="1764"/>
      <c r="N44" s="1796" t="s">
        <v>1612</v>
      </c>
      <c r="O44" s="1764"/>
      <c r="P44" s="1796" t="s">
        <v>1613</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1624</v>
      </c>
      <c r="B1" s="799"/>
      <c r="C1" s="799"/>
      <c r="D1" s="799"/>
      <c r="E1" s="1608"/>
      <c r="F1" s="1609"/>
      <c r="G1" s="1509"/>
      <c r="H1" s="1509"/>
      <c r="I1" s="1509"/>
      <c r="J1" s="1509"/>
      <c r="K1" s="1509"/>
      <c r="L1" s="1509"/>
      <c r="M1" s="1509"/>
      <c r="N1" s="1509"/>
      <c r="O1" s="1509"/>
      <c r="P1" s="1509"/>
      <c r="Q1" s="1509"/>
      <c r="R1" s="1509"/>
      <c r="S1" s="1509"/>
    </row>
    <row r="2" spans="1:22" ht="15.75">
      <c r="A2" s="1610" t="s">
        <v>1035</v>
      </c>
      <c r="B2" s="525">
        <f ca="1">SUMIF(B6:B13,"&lt;&gt;#ref!",B6:B13)</f>
        <v>40.989899999999999</v>
      </c>
      <c r="C2" s="1611" t="s">
        <v>1625</v>
      </c>
      <c r="D2" s="1612" t="s">
        <v>1626</v>
      </c>
      <c r="E2" s="1613">
        <f>SUM(E6:E13)</f>
        <v>62.23</v>
      </c>
      <c r="F2" s="1609"/>
      <c r="G2" s="1509"/>
      <c r="H2" s="1509"/>
      <c r="I2" s="1509"/>
      <c r="J2" s="1509"/>
      <c r="K2" s="1509"/>
      <c r="L2" s="1509"/>
      <c r="M2" s="1509"/>
      <c r="N2" s="1509"/>
      <c r="O2" s="1509"/>
      <c r="P2" s="1509"/>
      <c r="Q2" s="1509"/>
      <c r="R2" s="1509"/>
      <c r="S2" s="1509"/>
    </row>
    <row r="3" spans="1:22" ht="15.75">
      <c r="A3" s="1610" t="s">
        <v>1037</v>
      </c>
      <c r="B3" s="1614">
        <f ca="1">ROUND(B2*10000/E2,0)</f>
        <v>6587</v>
      </c>
      <c r="C3" s="1611" t="s">
        <v>1627</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1628</v>
      </c>
      <c r="B5" s="3445" t="s">
        <v>1629</v>
      </c>
      <c r="C5" s="3446"/>
      <c r="D5" s="1619"/>
      <c r="E5" s="1618" t="s">
        <v>1630</v>
      </c>
      <c r="F5" s="1576" t="s">
        <v>1631</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40.989899999999999</v>
      </c>
      <c r="C6" s="1611" t="s">
        <v>1625</v>
      </c>
      <c r="D6" s="1609"/>
      <c r="E6" s="1621">
        <f>IF(OR(A6=0,F6="否"),0,'数据-取费表'!K6+'数据-取费表'!S6)</f>
        <v>62.23</v>
      </c>
      <c r="F6" s="1622" t="s">
        <v>1632</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1625</v>
      </c>
      <c r="D7" s="1609"/>
      <c r="E7" s="1621">
        <f>IF(OR(A7=0,F7="否"),0,'数据-取费表'!K7+'数据-取费表'!S7)</f>
        <v>0</v>
      </c>
      <c r="F7" s="1622" t="s">
        <v>1632</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1625</v>
      </c>
      <c r="D8" s="1609"/>
      <c r="E8" s="1621">
        <f>IF(OR(A8=0,F8="否"),0,'数据-取费表'!K8+'数据-取费表'!S8)</f>
        <v>0</v>
      </c>
      <c r="F8" s="1622" t="s">
        <v>1632</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1625</v>
      </c>
      <c r="D9" s="1609"/>
      <c r="E9" s="1621">
        <f>IF(OR(A9=0,F9="否"),0,'数据-取费表'!K9+'数据-取费表'!S9)</f>
        <v>0</v>
      </c>
      <c r="F9" s="1622" t="s">
        <v>1632</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1625</v>
      </c>
      <c r="D10" s="1609"/>
      <c r="E10" s="1621">
        <f>IF(OR(A10=0,F10="否"),0,'数据-取费表'!K10+'数据-取费表'!S10)</f>
        <v>0</v>
      </c>
      <c r="F10" s="1622" t="s">
        <v>1632</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1625</v>
      </c>
      <c r="D11" s="1609"/>
      <c r="E11" s="1621">
        <f>IF(OR(A11=0,F11="否"),0,'数据-取费表'!K11+'数据-取费表'!S11)</f>
        <v>0</v>
      </c>
      <c r="F11" s="1622" t="s">
        <v>1632</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1625</v>
      </c>
      <c r="D12" s="1609"/>
      <c r="E12" s="1621">
        <f>IF(OR(A12=0,F12="否"),0,'数据-取费表'!K12+'数据-取费表'!S12)</f>
        <v>0</v>
      </c>
      <c r="F12" s="1622" t="s">
        <v>1632</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1625</v>
      </c>
      <c r="D13" s="1625"/>
      <c r="E13" s="1621">
        <f>IF(OR(A13=0,F13="否"),0,'数据-取费表'!K13+'数据-取费表'!S13)</f>
        <v>0</v>
      </c>
      <c r="F13" s="1622" t="s">
        <v>1632</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1633</v>
      </c>
      <c r="C1" s="1379" t="s">
        <v>1381</v>
      </c>
      <c r="D1" s="1372"/>
      <c r="E1" s="1523"/>
      <c r="F1" s="1374"/>
      <c r="G1" s="1375" t="s">
        <v>1384</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1035</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1036</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1037</v>
      </c>
      <c r="B3" s="1387">
        <f>IF(C2="——",C49,ROUND(B2*10000/D3,0))</f>
        <v>0</v>
      </c>
      <c r="C3" s="1386" t="s">
        <v>1385</v>
      </c>
      <c r="D3" s="1387">
        <f>IF(D1="",'数据-汇总表'!E3,SUMIF('数据-汇总表'!$C19:$C33,D1,'数据-汇总表'!$E19:$E33))</f>
        <v>62.23</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1386</v>
      </c>
      <c r="B4" s="1036"/>
      <c r="C4" s="3365" t="s">
        <v>1387</v>
      </c>
      <c r="D4" s="3366"/>
      <c r="E4" s="3367" t="s">
        <v>1388</v>
      </c>
      <c r="F4" s="3368"/>
      <c r="G4" s="3365" t="s">
        <v>1389</v>
      </c>
      <c r="H4" s="3366"/>
      <c r="I4" s="3365" t="s">
        <v>1390</v>
      </c>
      <c r="J4" s="3366"/>
      <c r="K4" s="1534"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419" t="s">
        <v>1389</v>
      </c>
      <c r="AC4" s="3419" t="s">
        <v>1390</v>
      </c>
    </row>
    <row r="5" spans="1:29" ht="15">
      <c r="A5" s="1046"/>
      <c r="B5" s="1047"/>
      <c r="C5" s="3413" t="s">
        <v>1469</v>
      </c>
      <c r="D5" s="3370"/>
      <c r="E5" s="3414" t="s">
        <v>1634</v>
      </c>
      <c r="F5" s="3415"/>
      <c r="G5" s="3413" t="s">
        <v>1635</v>
      </c>
      <c r="H5" s="3370"/>
      <c r="I5" s="3413" t="s">
        <v>1636</v>
      </c>
      <c r="J5" s="3370"/>
      <c r="K5" s="1535"/>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535"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19" si="3">D8/F8</f>
        <v>1</v>
      </c>
      <c r="AB8" s="1068">
        <f t="shared" ref="AB8:AB19" si="4">D8/H8</f>
        <v>1</v>
      </c>
      <c r="AC8" s="1068">
        <f t="shared" ref="AC8:AC19" si="5">D8/J8</f>
        <v>1</v>
      </c>
    </row>
    <row r="9" spans="1:29" s="1008" customFormat="1">
      <c r="A9" s="1070" t="s">
        <v>1403</v>
      </c>
      <c r="B9" s="1071" t="s">
        <v>1404</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79" t="s">
        <v>1405</v>
      </c>
      <c r="Q9" s="808" t="str">
        <f t="shared" ref="Q9:Q15" si="6">B9</f>
        <v>用途</v>
      </c>
      <c r="R9" s="1064" t="s">
        <v>1398</v>
      </c>
      <c r="S9" s="1065">
        <f t="shared" si="0"/>
        <v>100</v>
      </c>
      <c r="T9" s="1064" t="s">
        <v>1398</v>
      </c>
      <c r="U9" s="1065">
        <f t="shared" si="1"/>
        <v>100</v>
      </c>
      <c r="V9" s="1064" t="s">
        <v>1398</v>
      </c>
      <c r="W9" s="1065">
        <f t="shared" si="2"/>
        <v>100</v>
      </c>
      <c r="X9" s="1066"/>
      <c r="Y9" s="3356"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79"/>
      <c r="Q10" s="808" t="str">
        <f t="shared" si="6"/>
        <v>土地使用年限（年）</v>
      </c>
      <c r="R10" s="1064" t="s">
        <v>1398</v>
      </c>
      <c r="S10" s="1065">
        <f t="shared" si="0"/>
        <v>100</v>
      </c>
      <c r="T10" s="1064" t="s">
        <v>1398</v>
      </c>
      <c r="U10" s="1065">
        <f t="shared" si="1"/>
        <v>100</v>
      </c>
      <c r="V10" s="1064" t="s">
        <v>1398</v>
      </c>
      <c r="W10" s="1065">
        <f t="shared" si="2"/>
        <v>100</v>
      </c>
      <c r="X10" s="1066"/>
      <c r="Y10" s="3356"/>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79"/>
      <c r="Q11" s="808" t="str">
        <f t="shared" si="6"/>
        <v>容积率</v>
      </c>
      <c r="R11" s="1064" t="s">
        <v>1398</v>
      </c>
      <c r="S11" s="1065" t="e">
        <f t="shared" si="0"/>
        <v>#N/A</v>
      </c>
      <c r="T11" s="1064" t="s">
        <v>1398</v>
      </c>
      <c r="U11" s="1065" t="e">
        <f t="shared" si="1"/>
        <v>#N/A</v>
      </c>
      <c r="V11" s="1064" t="s">
        <v>1398</v>
      </c>
      <c r="W11" s="1065" t="e">
        <f t="shared" si="2"/>
        <v>#N/A</v>
      </c>
      <c r="X11" s="1066"/>
      <c r="Y11" s="3356"/>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79"/>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79"/>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79"/>
      <c r="Q14" s="808">
        <f t="shared" si="6"/>
        <v>111</v>
      </c>
      <c r="R14" s="1064" t="s">
        <v>1398</v>
      </c>
      <c r="S14" s="1065">
        <f t="shared" si="0"/>
        <v>100</v>
      </c>
      <c r="T14" s="1064" t="s">
        <v>1398</v>
      </c>
      <c r="U14" s="1065">
        <f t="shared" si="1"/>
        <v>100</v>
      </c>
      <c r="V14" s="1064" t="s">
        <v>1398</v>
      </c>
      <c r="W14" s="1065">
        <f t="shared" si="2"/>
        <v>100</v>
      </c>
      <c r="X14" s="1066"/>
      <c r="Y14" s="3356"/>
      <c r="Z14" s="1068">
        <f t="shared" si="7"/>
        <v>111</v>
      </c>
      <c r="AA14" s="1068">
        <f t="shared" si="3"/>
        <v>1</v>
      </c>
      <c r="AB14" s="1068">
        <f t="shared" si="4"/>
        <v>1</v>
      </c>
      <c r="AC14" s="1068">
        <f t="shared" si="5"/>
        <v>1</v>
      </c>
    </row>
    <row r="15" spans="1:29" ht="15">
      <c r="A15" s="1100" t="s">
        <v>1409</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2" t="s">
        <v>1411</v>
      </c>
      <c r="Q15" s="704" t="str">
        <f t="shared" si="6"/>
        <v>居住社区成熟度</v>
      </c>
      <c r="R15" s="1106" t="s">
        <v>1398</v>
      </c>
      <c r="S15" s="1107">
        <f t="shared" si="0"/>
        <v>100</v>
      </c>
      <c r="T15" s="1106" t="s">
        <v>1398</v>
      </c>
      <c r="U15" s="1107">
        <f t="shared" si="1"/>
        <v>100</v>
      </c>
      <c r="V15" s="1106" t="s">
        <v>1398</v>
      </c>
      <c r="W15" s="1107">
        <f t="shared" si="2"/>
        <v>100</v>
      </c>
      <c r="X15" s="1045"/>
      <c r="Y15" s="3387" t="s">
        <v>1411</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3"/>
      <c r="Q16" s="704"/>
      <c r="R16" s="1106"/>
      <c r="S16" s="1107"/>
      <c r="T16" s="1106"/>
      <c r="U16" s="1107"/>
      <c r="V16" s="1106"/>
      <c r="W16" s="1107"/>
      <c r="X16" s="1045"/>
      <c r="Y16" s="3388"/>
      <c r="Z16" s="1044"/>
      <c r="AA16" s="1044">
        <v>1</v>
      </c>
      <c r="AB16" s="1044">
        <v>1</v>
      </c>
      <c r="AC16" s="1044">
        <v>1</v>
      </c>
    </row>
    <row r="17" spans="1:29" ht="15">
      <c r="A17" s="1083"/>
      <c r="B17" s="1343" t="s">
        <v>1413</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3"/>
      <c r="Q17" s="704" t="str">
        <f>B17</f>
        <v>交通便捷度</v>
      </c>
      <c r="R17" s="1106" t="s">
        <v>1398</v>
      </c>
      <c r="S17" s="1107">
        <f>F17</f>
        <v>100</v>
      </c>
      <c r="T17" s="1106" t="s">
        <v>1398</v>
      </c>
      <c r="U17" s="1107">
        <f>H17</f>
        <v>100</v>
      </c>
      <c r="V17" s="1106" t="s">
        <v>1398</v>
      </c>
      <c r="W17" s="1107">
        <f>J17</f>
        <v>100</v>
      </c>
      <c r="X17" s="1045"/>
      <c r="Y17" s="3388"/>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3"/>
      <c r="Q18" s="704"/>
      <c r="R18" s="1106"/>
      <c r="S18" s="1107"/>
      <c r="T18" s="1106"/>
      <c r="U18" s="1107"/>
      <c r="V18" s="1106"/>
      <c r="W18" s="1107"/>
      <c r="X18" s="1045"/>
      <c r="Y18" s="3388"/>
      <c r="Z18" s="1044"/>
      <c r="AA18" s="1044">
        <v>1</v>
      </c>
      <c r="AB18" s="1044">
        <v>1</v>
      </c>
      <c r="AC18" s="1044">
        <v>1</v>
      </c>
    </row>
    <row r="19" spans="1:29" ht="15">
      <c r="A19" s="1083"/>
      <c r="B19" s="1343" t="s">
        <v>1414</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3"/>
      <c r="Q19" s="704" t="str">
        <f>B19</f>
        <v>公共配套设施</v>
      </c>
      <c r="R19" s="1106" t="s">
        <v>1398</v>
      </c>
      <c r="S19" s="1107">
        <f>F19</f>
        <v>100</v>
      </c>
      <c r="T19" s="1106" t="s">
        <v>1398</v>
      </c>
      <c r="U19" s="1107">
        <f>H19</f>
        <v>100</v>
      </c>
      <c r="V19" s="1106" t="s">
        <v>1398</v>
      </c>
      <c r="W19" s="1107">
        <f>J19</f>
        <v>100</v>
      </c>
      <c r="X19" s="1045"/>
      <c r="Y19" s="3388"/>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3"/>
      <c r="Q20" s="704"/>
      <c r="R20" s="1106"/>
      <c r="S20" s="1107"/>
      <c r="T20" s="1106"/>
      <c r="U20" s="1107"/>
      <c r="V20" s="1106"/>
      <c r="W20" s="1107"/>
      <c r="X20" s="1045"/>
      <c r="Y20" s="3388"/>
      <c r="Z20" s="1044"/>
      <c r="AA20" s="1044">
        <v>1</v>
      </c>
      <c r="AB20" s="1044">
        <v>1</v>
      </c>
      <c r="AC20" s="1044">
        <v>1</v>
      </c>
    </row>
    <row r="21" spans="1:29" ht="15">
      <c r="A21" s="1083"/>
      <c r="B21" s="1349" t="s">
        <v>1415</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3"/>
      <c r="Q21" s="704" t="str">
        <f>B21</f>
        <v>基础设施水平</v>
      </c>
      <c r="R21" s="1106" t="s">
        <v>1398</v>
      </c>
      <c r="S21" s="1107">
        <f>F21</f>
        <v>100</v>
      </c>
      <c r="T21" s="1106" t="s">
        <v>1398</v>
      </c>
      <c r="U21" s="1107">
        <f>H21</f>
        <v>100</v>
      </c>
      <c r="V21" s="1106" t="s">
        <v>1398</v>
      </c>
      <c r="W21" s="1107">
        <f>J21</f>
        <v>100</v>
      </c>
      <c r="X21" s="1045"/>
      <c r="Y21" s="3388"/>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3"/>
      <c r="Q22" s="704"/>
      <c r="R22" s="1106"/>
      <c r="S22" s="1107"/>
      <c r="T22" s="1106"/>
      <c r="U22" s="1107"/>
      <c r="V22" s="1106"/>
      <c r="W22" s="1107"/>
      <c r="X22" s="1045"/>
      <c r="Y22" s="3388"/>
      <c r="Z22" s="1044"/>
      <c r="AA22" s="1044">
        <v>1</v>
      </c>
      <c r="AB22" s="1044">
        <v>1</v>
      </c>
      <c r="AC22" s="1044">
        <v>1</v>
      </c>
    </row>
    <row r="23" spans="1:29" ht="15">
      <c r="A23" s="1083"/>
      <c r="B23" s="1343" t="s">
        <v>1471</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3"/>
      <c r="Q23" s="704" t="str">
        <f>B23</f>
        <v>自然及人文环境</v>
      </c>
      <c r="R23" s="1106" t="s">
        <v>1398</v>
      </c>
      <c r="S23" s="1107">
        <f>F23</f>
        <v>100</v>
      </c>
      <c r="T23" s="1106" t="s">
        <v>1398</v>
      </c>
      <c r="U23" s="1107">
        <f>H23</f>
        <v>100</v>
      </c>
      <c r="V23" s="1106" t="s">
        <v>1398</v>
      </c>
      <c r="W23" s="1107">
        <f>J23</f>
        <v>100</v>
      </c>
      <c r="X23" s="1045"/>
      <c r="Y23" s="3388"/>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3"/>
      <c r="Q24" s="704"/>
      <c r="R24" s="1106"/>
      <c r="S24" s="1107"/>
      <c r="T24" s="1106"/>
      <c r="U24" s="1107"/>
      <c r="V24" s="1106"/>
      <c r="W24" s="1107"/>
      <c r="X24" s="1045"/>
      <c r="Y24" s="3388"/>
      <c r="Z24" s="1044"/>
      <c r="AA24" s="1044">
        <v>1</v>
      </c>
      <c r="AB24" s="1044">
        <v>1</v>
      </c>
      <c r="AC24" s="1044">
        <v>1</v>
      </c>
    </row>
    <row r="25" spans="1:29" ht="15">
      <c r="A25" s="1083"/>
      <c r="B25" s="1076" t="s">
        <v>1637</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3"/>
      <c r="Q25" s="704" t="str">
        <f t="shared" ref="Q25:Q46" si="11">B25</f>
        <v>楼层-1</v>
      </c>
      <c r="R25" s="1106" t="s">
        <v>1398</v>
      </c>
      <c r="S25" s="1107">
        <f t="shared" ref="S25:S46" si="12">F25</f>
        <v>100</v>
      </c>
      <c r="T25" s="1106" t="s">
        <v>1398</v>
      </c>
      <c r="U25" s="1107">
        <f t="shared" ref="U25:U46" si="13">H25</f>
        <v>100</v>
      </c>
      <c r="V25" s="1106" t="s">
        <v>1398</v>
      </c>
      <c r="W25" s="1107">
        <f t="shared" ref="W25:W46" si="14">J25</f>
        <v>100</v>
      </c>
      <c r="X25" s="1045"/>
      <c r="Y25" s="3388"/>
      <c r="Z25" s="1044" t="str">
        <f>Q25</f>
        <v>楼层-1</v>
      </c>
      <c r="AA25" s="1044">
        <f t="shared" ref="AA25:AA46" si="15">D25/F25</f>
        <v>1</v>
      </c>
      <c r="AB25" s="1044">
        <f t="shared" ref="AB25:AB46" si="16">D25/H25</f>
        <v>1</v>
      </c>
      <c r="AC25" s="1044">
        <f t="shared" ref="AC25:AC46" si="17">D25/J25</f>
        <v>1</v>
      </c>
    </row>
    <row r="26" spans="1:29" ht="15">
      <c r="A26" s="1083"/>
      <c r="B26" s="1076" t="s">
        <v>1422</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3"/>
      <c r="Q26" s="704" t="str">
        <f t="shared" si="11"/>
        <v>朝向</v>
      </c>
      <c r="R26" s="1106" t="s">
        <v>1398</v>
      </c>
      <c r="S26" s="1107">
        <f t="shared" si="12"/>
        <v>100</v>
      </c>
      <c r="T26" s="1106" t="s">
        <v>1398</v>
      </c>
      <c r="U26" s="1107">
        <f t="shared" si="13"/>
        <v>100</v>
      </c>
      <c r="V26" s="1106" t="s">
        <v>1398</v>
      </c>
      <c r="W26" s="1107">
        <f t="shared" si="14"/>
        <v>100</v>
      </c>
      <c r="X26" s="1045"/>
      <c r="Y26" s="3388"/>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3"/>
      <c r="Q27" s="808">
        <f t="shared" si="11"/>
        <v>111</v>
      </c>
      <c r="R27" s="1064" t="s">
        <v>1398</v>
      </c>
      <c r="S27" s="1065">
        <f t="shared" si="12"/>
        <v>100</v>
      </c>
      <c r="T27" s="1064" t="s">
        <v>1398</v>
      </c>
      <c r="U27" s="1065">
        <f t="shared" si="13"/>
        <v>100</v>
      </c>
      <c r="V27" s="1064" t="s">
        <v>1398</v>
      </c>
      <c r="W27" s="1065">
        <f t="shared" si="14"/>
        <v>100</v>
      </c>
      <c r="X27" s="1066"/>
      <c r="Y27" s="3388"/>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3"/>
      <c r="Q28" s="704">
        <f t="shared" si="11"/>
        <v>111</v>
      </c>
      <c r="R28" s="1106" t="s">
        <v>1398</v>
      </c>
      <c r="S28" s="1107">
        <f t="shared" si="12"/>
        <v>100</v>
      </c>
      <c r="T28" s="1106" t="s">
        <v>1398</v>
      </c>
      <c r="U28" s="1107">
        <f t="shared" si="13"/>
        <v>100</v>
      </c>
      <c r="V28" s="1106" t="s">
        <v>1398</v>
      </c>
      <c r="W28" s="1107">
        <f t="shared" si="14"/>
        <v>100</v>
      </c>
      <c r="X28" s="1045"/>
      <c r="Y28" s="3388"/>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3"/>
      <c r="Q29" s="704">
        <f t="shared" si="11"/>
        <v>111</v>
      </c>
      <c r="R29" s="1106" t="s">
        <v>1398</v>
      </c>
      <c r="S29" s="1107">
        <f t="shared" si="12"/>
        <v>100</v>
      </c>
      <c r="T29" s="1106" t="s">
        <v>1398</v>
      </c>
      <c r="U29" s="1107">
        <f t="shared" si="13"/>
        <v>100</v>
      </c>
      <c r="V29" s="1106" t="s">
        <v>1398</v>
      </c>
      <c r="W29" s="1107">
        <f t="shared" si="14"/>
        <v>100</v>
      </c>
      <c r="X29" s="1045"/>
      <c r="Y29" s="3388"/>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3"/>
      <c r="Q30" s="704">
        <f t="shared" si="11"/>
        <v>111</v>
      </c>
      <c r="R30" s="1106" t="s">
        <v>1398</v>
      </c>
      <c r="S30" s="1107">
        <f t="shared" si="12"/>
        <v>100</v>
      </c>
      <c r="T30" s="1106" t="s">
        <v>1398</v>
      </c>
      <c r="U30" s="1107">
        <f t="shared" si="13"/>
        <v>100</v>
      </c>
      <c r="V30" s="1106" t="s">
        <v>1398</v>
      </c>
      <c r="W30" s="1107">
        <f t="shared" si="14"/>
        <v>100</v>
      </c>
      <c r="X30" s="1045"/>
      <c r="Y30" s="3388"/>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3"/>
      <c r="Q31" s="704">
        <f t="shared" si="11"/>
        <v>111</v>
      </c>
      <c r="R31" s="1106" t="s">
        <v>1398</v>
      </c>
      <c r="S31" s="1107">
        <f t="shared" si="12"/>
        <v>100</v>
      </c>
      <c r="T31" s="1106" t="s">
        <v>1398</v>
      </c>
      <c r="U31" s="1107">
        <f t="shared" si="13"/>
        <v>100</v>
      </c>
      <c r="V31" s="1106" t="s">
        <v>1398</v>
      </c>
      <c r="W31" s="1107">
        <f t="shared" si="14"/>
        <v>100</v>
      </c>
      <c r="X31" s="1045"/>
      <c r="Y31" s="3388"/>
      <c r="Z31" s="1044">
        <f t="shared" si="18"/>
        <v>111</v>
      </c>
      <c r="AA31" s="1044">
        <f t="shared" si="15"/>
        <v>1</v>
      </c>
      <c r="AB31" s="1044">
        <f t="shared" si="16"/>
        <v>1</v>
      </c>
      <c r="AC31" s="1044">
        <f t="shared" si="17"/>
        <v>1</v>
      </c>
    </row>
    <row r="32" spans="1:29" ht="15">
      <c r="A32" s="1100" t="s">
        <v>1423</v>
      </c>
      <c r="B32" s="1071" t="s">
        <v>1424</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4" t="s">
        <v>1426</v>
      </c>
      <c r="Q32" s="704" t="str">
        <f t="shared" si="11"/>
        <v>建筑类型</v>
      </c>
      <c r="R32" s="1106" t="s">
        <v>1398</v>
      </c>
      <c r="S32" s="1107">
        <f t="shared" si="12"/>
        <v>100</v>
      </c>
      <c r="T32" s="1106" t="s">
        <v>1398</v>
      </c>
      <c r="U32" s="1107">
        <f t="shared" si="13"/>
        <v>100</v>
      </c>
      <c r="V32" s="1106" t="s">
        <v>1398</v>
      </c>
      <c r="W32" s="1107">
        <f t="shared" si="14"/>
        <v>100</v>
      </c>
      <c r="X32" s="1045"/>
      <c r="Y32" s="3389" t="s">
        <v>1426</v>
      </c>
      <c r="Z32" s="1044" t="str">
        <f t="shared" si="18"/>
        <v>建筑类型</v>
      </c>
      <c r="AA32" s="1044">
        <f t="shared" si="15"/>
        <v>1</v>
      </c>
      <c r="AB32" s="1044">
        <f t="shared" si="16"/>
        <v>1</v>
      </c>
      <c r="AC32" s="1044">
        <f t="shared" si="17"/>
        <v>1</v>
      </c>
    </row>
    <row r="33" spans="1:29" s="1010" customFormat="1" ht="15">
      <c r="A33" s="1156"/>
      <c r="B33" s="1076" t="s">
        <v>1427</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5"/>
      <c r="Q33" s="1403" t="str">
        <f t="shared" si="11"/>
        <v>项目建筑规模</v>
      </c>
      <c r="R33" s="1144" t="s">
        <v>1398</v>
      </c>
      <c r="S33" s="1145" t="e">
        <f t="shared" si="12"/>
        <v>#N/A</v>
      </c>
      <c r="T33" s="1144" t="s">
        <v>1398</v>
      </c>
      <c r="U33" s="1145" t="e">
        <f t="shared" si="13"/>
        <v>#N/A</v>
      </c>
      <c r="V33" s="1144" t="s">
        <v>1398</v>
      </c>
      <c r="W33" s="1145" t="e">
        <f t="shared" si="14"/>
        <v>#N/A</v>
      </c>
      <c r="X33" s="1146"/>
      <c r="Y33" s="3389"/>
      <c r="Z33" s="1147" t="str">
        <f t="shared" si="18"/>
        <v>项目建筑规模</v>
      </c>
      <c r="AA33" s="1044" t="e">
        <f t="shared" si="15"/>
        <v>#N/A</v>
      </c>
      <c r="AB33" s="1044" t="e">
        <f t="shared" si="16"/>
        <v>#N/A</v>
      </c>
      <c r="AC33" s="1044" t="e">
        <f t="shared" si="17"/>
        <v>#N/A</v>
      </c>
    </row>
    <row r="34" spans="1:29" ht="15">
      <c r="A34" s="1151"/>
      <c r="B34" s="1076" t="s">
        <v>1428</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5"/>
      <c r="Q34" s="704" t="str">
        <f t="shared" si="11"/>
        <v>建筑结构</v>
      </c>
      <c r="R34" s="1106" t="s">
        <v>1398</v>
      </c>
      <c r="S34" s="1107">
        <f t="shared" si="12"/>
        <v>100</v>
      </c>
      <c r="T34" s="1106" t="s">
        <v>1398</v>
      </c>
      <c r="U34" s="1107">
        <f t="shared" si="13"/>
        <v>100</v>
      </c>
      <c r="V34" s="1106" t="s">
        <v>1398</v>
      </c>
      <c r="W34" s="1107">
        <f t="shared" si="14"/>
        <v>100</v>
      </c>
      <c r="X34" s="1045"/>
      <c r="Y34" s="3389"/>
      <c r="Z34" s="1044" t="str">
        <f t="shared" si="18"/>
        <v>建筑结构</v>
      </c>
      <c r="AA34" s="1044">
        <f t="shared" si="15"/>
        <v>1</v>
      </c>
      <c r="AB34" s="1044">
        <f t="shared" si="16"/>
        <v>1</v>
      </c>
      <c r="AC34" s="1044">
        <f t="shared" si="17"/>
        <v>1</v>
      </c>
    </row>
    <row r="35" spans="1:29" ht="15">
      <c r="A35" s="1151"/>
      <c r="B35" s="1076" t="s">
        <v>1638</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5"/>
      <c r="Q35" s="704" t="str">
        <f t="shared" si="11"/>
        <v>建筑品质</v>
      </c>
      <c r="R35" s="1106" t="s">
        <v>1398</v>
      </c>
      <c r="S35" s="1107">
        <f t="shared" si="12"/>
        <v>100</v>
      </c>
      <c r="T35" s="1106" t="s">
        <v>1398</v>
      </c>
      <c r="U35" s="1107">
        <f t="shared" si="13"/>
        <v>100</v>
      </c>
      <c r="V35" s="1106" t="s">
        <v>1398</v>
      </c>
      <c r="W35" s="1107">
        <f t="shared" si="14"/>
        <v>100</v>
      </c>
      <c r="X35" s="1045"/>
      <c r="Y35" s="3389"/>
      <c r="Z35" s="1044" t="str">
        <f t="shared" si="18"/>
        <v>建筑品质</v>
      </c>
      <c r="AA35" s="1044">
        <f t="shared" si="15"/>
        <v>1</v>
      </c>
      <c r="AB35" s="1044">
        <f t="shared" si="16"/>
        <v>1</v>
      </c>
      <c r="AC35" s="1044">
        <f t="shared" si="17"/>
        <v>1</v>
      </c>
    </row>
    <row r="36" spans="1:29" ht="15">
      <c r="A36" s="1151"/>
      <c r="B36" s="1076" t="s">
        <v>1430</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5"/>
      <c r="Q36" s="704" t="str">
        <f t="shared" si="11"/>
        <v>公共部分装修</v>
      </c>
      <c r="R36" s="1106" t="s">
        <v>1398</v>
      </c>
      <c r="S36" s="1107">
        <f t="shared" si="12"/>
        <v>100</v>
      </c>
      <c r="T36" s="1106" t="s">
        <v>1398</v>
      </c>
      <c r="U36" s="1107">
        <f t="shared" si="13"/>
        <v>100</v>
      </c>
      <c r="V36" s="1106" t="s">
        <v>1398</v>
      </c>
      <c r="W36" s="1107">
        <f t="shared" si="14"/>
        <v>100</v>
      </c>
      <c r="X36" s="1045"/>
      <c r="Y36" s="3389"/>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5"/>
      <c r="Q37" s="808" t="str">
        <f t="shared" si="11"/>
        <v>成新度</v>
      </c>
      <c r="R37" s="1064" t="s">
        <v>1398</v>
      </c>
      <c r="S37" s="1065" t="e">
        <f t="shared" si="12"/>
        <v>#N/A</v>
      </c>
      <c r="T37" s="1064" t="s">
        <v>1398</v>
      </c>
      <c r="U37" s="1065" t="e">
        <f t="shared" si="13"/>
        <v>#N/A</v>
      </c>
      <c r="V37" s="1064" t="s">
        <v>1398</v>
      </c>
      <c r="W37" s="1065" t="e">
        <f t="shared" si="14"/>
        <v>#N/A</v>
      </c>
      <c r="X37" s="1066"/>
      <c r="Y37" s="3389"/>
      <c r="Z37" s="1068" t="str">
        <f t="shared" si="18"/>
        <v>成新度</v>
      </c>
      <c r="AA37" s="1068" t="e">
        <f t="shared" si="15"/>
        <v>#N/A</v>
      </c>
      <c r="AB37" s="1068" t="e">
        <f t="shared" si="16"/>
        <v>#N/A</v>
      </c>
      <c r="AC37" s="1068" t="e">
        <f t="shared" si="17"/>
        <v>#N/A</v>
      </c>
    </row>
    <row r="38" spans="1:29" ht="15">
      <c r="A38" s="1151"/>
      <c r="B38" s="1076" t="s">
        <v>1434</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5" t="s">
        <v>1426</v>
      </c>
      <c r="Q38" s="704" t="str">
        <f t="shared" si="11"/>
        <v>物业管理</v>
      </c>
      <c r="R38" s="1106" t="s">
        <v>1398</v>
      </c>
      <c r="S38" s="1107">
        <f t="shared" si="12"/>
        <v>100</v>
      </c>
      <c r="T38" s="1106" t="s">
        <v>1398</v>
      </c>
      <c r="U38" s="1107">
        <f t="shared" si="13"/>
        <v>100</v>
      </c>
      <c r="V38" s="1106" t="s">
        <v>1398</v>
      </c>
      <c r="W38" s="1107">
        <f t="shared" si="14"/>
        <v>100</v>
      </c>
      <c r="X38" s="1045"/>
      <c r="Y38" s="3389" t="s">
        <v>1426</v>
      </c>
      <c r="Z38" s="1044" t="str">
        <f t="shared" si="18"/>
        <v>物业管理</v>
      </c>
      <c r="AA38" s="1044">
        <f t="shared" si="15"/>
        <v>1</v>
      </c>
      <c r="AB38" s="1044">
        <f t="shared" si="16"/>
        <v>1</v>
      </c>
      <c r="AC38" s="1044">
        <f t="shared" si="17"/>
        <v>1</v>
      </c>
    </row>
    <row r="39" spans="1:29" ht="15">
      <c r="A39" s="1151"/>
      <c r="B39" s="1076" t="s">
        <v>1436</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5"/>
      <c r="Q39" s="704" t="str">
        <f t="shared" si="11"/>
        <v>市政基础设施</v>
      </c>
      <c r="R39" s="1106" t="s">
        <v>1398</v>
      </c>
      <c r="S39" s="1107">
        <f t="shared" si="12"/>
        <v>100</v>
      </c>
      <c r="T39" s="1106" t="s">
        <v>1398</v>
      </c>
      <c r="U39" s="1107">
        <f t="shared" si="13"/>
        <v>100</v>
      </c>
      <c r="V39" s="1106" t="s">
        <v>1398</v>
      </c>
      <c r="W39" s="1107">
        <f t="shared" si="14"/>
        <v>100</v>
      </c>
      <c r="X39" s="1045"/>
      <c r="Y39" s="3389"/>
      <c r="Z39" s="1044" t="str">
        <f t="shared" si="18"/>
        <v>市政基础设施</v>
      </c>
      <c r="AA39" s="1044">
        <f t="shared" si="15"/>
        <v>1</v>
      </c>
      <c r="AB39" s="1044">
        <f t="shared" si="16"/>
        <v>1</v>
      </c>
      <c r="AC39" s="1044">
        <f t="shared" si="17"/>
        <v>1</v>
      </c>
    </row>
    <row r="40" spans="1:29" ht="15">
      <c r="A40" s="1151"/>
      <c r="B40" s="1076" t="s">
        <v>1639</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5"/>
      <c r="Q40" s="704" t="str">
        <f t="shared" si="11"/>
        <v>房型</v>
      </c>
      <c r="R40" s="1106" t="s">
        <v>1398</v>
      </c>
      <c r="S40" s="1107">
        <f t="shared" si="12"/>
        <v>100</v>
      </c>
      <c r="T40" s="1106" t="s">
        <v>1398</v>
      </c>
      <c r="U40" s="1107">
        <f t="shared" si="13"/>
        <v>100</v>
      </c>
      <c r="V40" s="1106" t="s">
        <v>1398</v>
      </c>
      <c r="W40" s="1107">
        <f t="shared" si="14"/>
        <v>100</v>
      </c>
      <c r="X40" s="1045"/>
      <c r="Y40" s="3389"/>
      <c r="Z40" s="1044" t="str">
        <f t="shared" si="18"/>
        <v>房型</v>
      </c>
      <c r="AA40" s="1044">
        <f t="shared" si="15"/>
        <v>1</v>
      </c>
      <c r="AB40" s="1044">
        <f t="shared" si="16"/>
        <v>1</v>
      </c>
      <c r="AC40" s="1044">
        <f t="shared" si="17"/>
        <v>1</v>
      </c>
    </row>
    <row r="41" spans="1:29" s="1010" customFormat="1" ht="28.5">
      <c r="A41" s="1156"/>
      <c r="B41" s="1076" t="s">
        <v>1640</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5"/>
      <c r="Q41" s="1403" t="str">
        <f t="shared" si="11"/>
        <v>单套/主力户型建筑面积</v>
      </c>
      <c r="R41" s="1144" t="s">
        <v>1398</v>
      </c>
      <c r="S41" s="1145">
        <f t="shared" si="12"/>
        <v>100</v>
      </c>
      <c r="T41" s="1144" t="s">
        <v>1398</v>
      </c>
      <c r="U41" s="1145">
        <f t="shared" si="13"/>
        <v>100</v>
      </c>
      <c r="V41" s="1144" t="s">
        <v>1398</v>
      </c>
      <c r="W41" s="1145">
        <f t="shared" si="14"/>
        <v>100</v>
      </c>
      <c r="X41" s="1146"/>
      <c r="Y41" s="3389"/>
      <c r="Z41" s="1147" t="str">
        <f t="shared" si="18"/>
        <v>单套/主力户型建筑面积</v>
      </c>
      <c r="AA41" s="1044">
        <f t="shared" si="15"/>
        <v>1</v>
      </c>
      <c r="AB41" s="1044">
        <f t="shared" si="16"/>
        <v>1</v>
      </c>
      <c r="AC41" s="1044">
        <f t="shared" si="17"/>
        <v>1</v>
      </c>
    </row>
    <row r="42" spans="1:29" ht="15">
      <c r="A42" s="1151"/>
      <c r="B42" s="1076" t="s">
        <v>1439</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5"/>
      <c r="Q42" s="704" t="str">
        <f t="shared" si="11"/>
        <v>内部装修</v>
      </c>
      <c r="R42" s="1106" t="s">
        <v>1398</v>
      </c>
      <c r="S42" s="1107">
        <f t="shared" si="12"/>
        <v>100</v>
      </c>
      <c r="T42" s="1106" t="s">
        <v>1398</v>
      </c>
      <c r="U42" s="1107">
        <f t="shared" si="13"/>
        <v>100</v>
      </c>
      <c r="V42" s="1106" t="s">
        <v>1398</v>
      </c>
      <c r="W42" s="1107">
        <f t="shared" si="14"/>
        <v>100</v>
      </c>
      <c r="X42" s="1045"/>
      <c r="Y42" s="3389"/>
      <c r="Z42" s="1044" t="str">
        <f t="shared" si="18"/>
        <v>内部装修</v>
      </c>
      <c r="AA42" s="1044">
        <f t="shared" si="15"/>
        <v>1</v>
      </c>
      <c r="AB42" s="1044">
        <f t="shared" si="16"/>
        <v>1</v>
      </c>
      <c r="AC42" s="1044">
        <f t="shared" si="17"/>
        <v>1</v>
      </c>
    </row>
    <row r="43" spans="1:29" ht="15">
      <c r="A43" s="1151"/>
      <c r="B43" s="1076" t="s">
        <v>1441</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5"/>
      <c r="Q43" s="704" t="str">
        <f t="shared" si="11"/>
        <v>内部装修维护情况</v>
      </c>
      <c r="R43" s="1106" t="s">
        <v>1398</v>
      </c>
      <c r="S43" s="1107">
        <f t="shared" si="12"/>
        <v>100</v>
      </c>
      <c r="T43" s="1106" t="s">
        <v>1398</v>
      </c>
      <c r="U43" s="1107">
        <f t="shared" si="13"/>
        <v>100</v>
      </c>
      <c r="V43" s="1106" t="s">
        <v>1398</v>
      </c>
      <c r="W43" s="1107">
        <f t="shared" si="14"/>
        <v>100</v>
      </c>
      <c r="X43" s="1045"/>
      <c r="Y43" s="3389"/>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5"/>
      <c r="Q44" s="808">
        <f t="shared" si="11"/>
        <v>111</v>
      </c>
      <c r="R44" s="1064" t="s">
        <v>1398</v>
      </c>
      <c r="S44" s="1065">
        <f t="shared" si="12"/>
        <v>100</v>
      </c>
      <c r="T44" s="1064" t="s">
        <v>1398</v>
      </c>
      <c r="U44" s="1065">
        <f t="shared" si="13"/>
        <v>100</v>
      </c>
      <c r="V44" s="1064" t="s">
        <v>1398</v>
      </c>
      <c r="W44" s="1065">
        <f t="shared" si="14"/>
        <v>100</v>
      </c>
      <c r="X44" s="1066"/>
      <c r="Y44" s="3389"/>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5"/>
      <c r="Q45" s="704">
        <f t="shared" si="11"/>
        <v>111</v>
      </c>
      <c r="R45" s="1106" t="s">
        <v>1398</v>
      </c>
      <c r="S45" s="1107">
        <f t="shared" si="12"/>
        <v>100</v>
      </c>
      <c r="T45" s="1106" t="s">
        <v>1398</v>
      </c>
      <c r="U45" s="1107">
        <f t="shared" si="13"/>
        <v>100</v>
      </c>
      <c r="V45" s="1106" t="s">
        <v>1398</v>
      </c>
      <c r="W45" s="1107">
        <f t="shared" si="14"/>
        <v>100</v>
      </c>
      <c r="X45" s="1045"/>
      <c r="Y45" s="3389"/>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6"/>
      <c r="Q46" s="704">
        <f t="shared" si="11"/>
        <v>111</v>
      </c>
      <c r="R46" s="1106" t="s">
        <v>1398</v>
      </c>
      <c r="S46" s="1107">
        <f t="shared" si="12"/>
        <v>100</v>
      </c>
      <c r="T46" s="1106" t="s">
        <v>1398</v>
      </c>
      <c r="U46" s="1107">
        <f t="shared" si="13"/>
        <v>100</v>
      </c>
      <c r="V46" s="1106" t="s">
        <v>1398</v>
      </c>
      <c r="W46" s="1107">
        <f t="shared" si="14"/>
        <v>100</v>
      </c>
      <c r="X46" s="1045"/>
      <c r="Y46" s="3390"/>
      <c r="Z46" s="1044">
        <f t="shared" si="18"/>
        <v>111</v>
      </c>
      <c r="AA46" s="1044">
        <f t="shared" si="15"/>
        <v>1</v>
      </c>
      <c r="AB46" s="1044">
        <f t="shared" si="16"/>
        <v>1</v>
      </c>
      <c r="AC46" s="1044">
        <f t="shared" si="17"/>
        <v>1</v>
      </c>
    </row>
    <row r="47" spans="1:29" ht="15">
      <c r="A47" s="1159" t="s">
        <v>1442</v>
      </c>
      <c r="B47" s="1408"/>
      <c r="C47" s="1409" t="s">
        <v>124</v>
      </c>
      <c r="D47" s="1162"/>
      <c r="E47" s="1163"/>
      <c r="F47" s="1164"/>
      <c r="G47" s="1165"/>
      <c r="H47" s="1166"/>
      <c r="I47" s="1163"/>
      <c r="J47" s="1166"/>
      <c r="K47" s="1548"/>
      <c r="L47" s="1168"/>
      <c r="M47" s="1041"/>
      <c r="N47" s="1041"/>
      <c r="O47" s="1041"/>
      <c r="P47" s="3380" t="str">
        <f>A47</f>
        <v>成交单价（元/平方米）</v>
      </c>
      <c r="Q47" s="3380"/>
      <c r="R47" s="3381">
        <f>E47</f>
        <v>0</v>
      </c>
      <c r="S47" s="3381"/>
      <c r="T47" s="3381">
        <f>G47</f>
        <v>0</v>
      </c>
      <c r="U47" s="3381"/>
      <c r="V47" s="3381">
        <f>I47</f>
        <v>0</v>
      </c>
      <c r="W47" s="3381"/>
      <c r="X47" s="1169"/>
      <c r="Y47" s="1170"/>
      <c r="Z47" s="1169"/>
      <c r="AA47" s="1169"/>
      <c r="AB47" s="1169"/>
      <c r="AC47" s="1169"/>
    </row>
    <row r="48" spans="1:29" ht="15">
      <c r="A48" s="1171" t="s">
        <v>1443</v>
      </c>
      <c r="B48" s="1410"/>
      <c r="C48" s="1411" t="e">
        <f>R49</f>
        <v>#DIV/0!</v>
      </c>
      <c r="D48" s="1174" t="s">
        <v>1444</v>
      </c>
      <c r="E48" s="1412" t="e">
        <f>R48</f>
        <v>#DIV/0!</v>
      </c>
      <c r="F48" s="1175"/>
      <c r="G48" s="1411" t="e">
        <f>T48</f>
        <v>#DIV/0!</v>
      </c>
      <c r="H48" s="1175"/>
      <c r="I48" s="1412" t="e">
        <f>V48</f>
        <v>#DIV/0!</v>
      </c>
      <c r="J48" s="1175"/>
      <c r="K48" s="1549">
        <f>F48+H48+J48</f>
        <v>0</v>
      </c>
      <c r="L48" s="1168"/>
      <c r="M48" s="1041"/>
      <c r="N48" s="1041"/>
      <c r="O48" s="1041"/>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69"/>
      <c r="Y48" s="1169"/>
      <c r="Z48" s="1169"/>
      <c r="AA48" s="1169"/>
      <c r="AB48" s="1169"/>
      <c r="AC48" s="1169"/>
    </row>
    <row r="49" spans="1:29" ht="15">
      <c r="A49" s="1178" t="s">
        <v>1445</v>
      </c>
      <c r="B49" s="1179"/>
      <c r="C49" s="1550" t="e">
        <f>R49</f>
        <v>#DIV/0!</v>
      </c>
      <c r="D49" s="1050"/>
      <c r="E49" s="1050"/>
      <c r="F49" s="1050"/>
      <c r="G49" s="1050"/>
      <c r="H49" s="1050"/>
      <c r="I49" s="1050"/>
      <c r="J49" s="1050"/>
      <c r="K49" s="1551"/>
      <c r="L49" s="1168"/>
      <c r="M49" s="1041"/>
      <c r="N49" s="1041"/>
      <c r="O49" s="1041"/>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1446</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1447</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1448</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1449</v>
      </c>
      <c r="B57" s="1169"/>
      <c r="C57" s="1231"/>
      <c r="D57" s="1231"/>
      <c r="E57" s="1231"/>
      <c r="F57" s="1232"/>
      <c r="G57" s="1232"/>
      <c r="H57" s="1231"/>
      <c r="I57" s="1231"/>
      <c r="J57" s="1231"/>
      <c r="K57" s="1363"/>
      <c r="L57" s="1364"/>
      <c r="M57" s="1235"/>
      <c r="N57" s="1235"/>
      <c r="O57" s="1235"/>
      <c r="P57" s="1553"/>
      <c r="Q57" s="1505"/>
    </row>
    <row r="58" spans="1:29" s="1013" customFormat="1" ht="15">
      <c r="A58" s="1414" t="s">
        <v>1396</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1450</v>
      </c>
      <c r="B60" s="1247"/>
      <c r="C60" s="1248"/>
      <c r="D60" s="1249"/>
      <c r="E60" s="1249"/>
      <c r="F60" s="1249"/>
      <c r="G60" s="1249"/>
      <c r="H60" s="1249"/>
      <c r="I60" s="1249"/>
      <c r="J60" s="1249"/>
      <c r="K60" s="1249"/>
      <c r="L60" s="1249"/>
      <c r="M60" s="1250"/>
      <c r="N60" s="1249"/>
      <c r="O60" s="1250"/>
      <c r="P60" s="1558"/>
      <c r="Q60" s="1505"/>
    </row>
    <row r="61" spans="1:29" s="1008" customFormat="1" ht="15">
      <c r="A61" s="1252" t="s">
        <v>1399</v>
      </c>
      <c r="B61" s="1253"/>
      <c r="C61" s="1254" t="s">
        <v>1451</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1452</v>
      </c>
      <c r="B63" s="1262" t="s">
        <v>1404</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1407</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1408</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1409</v>
      </c>
      <c r="B76" s="1262" t="s">
        <v>1483</v>
      </c>
      <c r="C76" s="1305" t="s">
        <v>1453</v>
      </c>
      <c r="D76" s="1305" t="s">
        <v>1454</v>
      </c>
      <c r="E76" s="1305" t="s">
        <v>1455</v>
      </c>
      <c r="F76" s="1305" t="s">
        <v>1456</v>
      </c>
      <c r="G76" s="1305" t="s">
        <v>1457</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1413</v>
      </c>
      <c r="C78" s="1310" t="s">
        <v>1453</v>
      </c>
      <c r="D78" s="1310" t="s">
        <v>1454</v>
      </c>
      <c r="E78" s="1310" t="s">
        <v>1455</v>
      </c>
      <c r="F78" s="1310" t="s">
        <v>1456</v>
      </c>
      <c r="G78" s="1310" t="s">
        <v>1457</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1414</v>
      </c>
      <c r="C80" s="1310" t="s">
        <v>1453</v>
      </c>
      <c r="D80" s="1310" t="s">
        <v>1454</v>
      </c>
      <c r="E80" s="1310" t="s">
        <v>1455</v>
      </c>
      <c r="F80" s="1310" t="s">
        <v>1456</v>
      </c>
      <c r="G80" s="1310" t="s">
        <v>1457</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1415</v>
      </c>
      <c r="C82" s="1272" t="s">
        <v>1458</v>
      </c>
      <c r="D82" s="1272" t="s">
        <v>1459</v>
      </c>
      <c r="E82" s="1272" t="s">
        <v>1460</v>
      </c>
      <c r="F82" s="1272" t="s">
        <v>1461</v>
      </c>
      <c r="G82" s="1272" t="s">
        <v>1462</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1471</v>
      </c>
      <c r="C84" s="1310" t="s">
        <v>1453</v>
      </c>
      <c r="D84" s="1310" t="s">
        <v>1454</v>
      </c>
      <c r="E84" s="1310" t="s">
        <v>1455</v>
      </c>
      <c r="F84" s="1310" t="s">
        <v>1456</v>
      </c>
      <c r="G84" s="1310" t="s">
        <v>1457</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1637</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1422</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1423</v>
      </c>
      <c r="B100" s="1262" t="s">
        <v>1424</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1428</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1638</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1430</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1434</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1436</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1639</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1640</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1439</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1441</v>
      </c>
      <c r="C124" s="1310" t="s">
        <v>1453</v>
      </c>
      <c r="D124" s="1310" t="s">
        <v>1454</v>
      </c>
      <c r="E124" s="1310" t="s">
        <v>1455</v>
      </c>
      <c r="F124" s="1310" t="s">
        <v>1456</v>
      </c>
      <c r="G124" s="1310" t="s">
        <v>1457</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1641</v>
      </c>
    </row>
    <row r="137" spans="1:17" ht="15">
      <c r="B137" s="1569" t="s">
        <v>1642</v>
      </c>
      <c r="C137" s="1570"/>
      <c r="D137" s="1570"/>
      <c r="E137" s="1570"/>
      <c r="F137" s="1570"/>
      <c r="G137" s="1571"/>
      <c r="H137" s="1572"/>
      <c r="I137" s="1573" t="s">
        <v>1643</v>
      </c>
      <c r="J137" s="1570"/>
      <c r="K137" s="1574"/>
    </row>
    <row r="138" spans="1:17" ht="15">
      <c r="B138" s="1575"/>
      <c r="C138" s="1576" t="s">
        <v>1644</v>
      </c>
      <c r="D138" s="1576" t="s">
        <v>1645</v>
      </c>
      <c r="E138" s="1577" t="s">
        <v>1646</v>
      </c>
      <c r="F138" s="1578" t="s">
        <v>1647</v>
      </c>
      <c r="G138" s="1576" t="s">
        <v>1645</v>
      </c>
      <c r="H138" s="1579" t="s">
        <v>1646</v>
      </c>
      <c r="I138" s="1580"/>
      <c r="J138" s="1576" t="s">
        <v>1648</v>
      </c>
      <c r="K138" s="1579" t="s">
        <v>1649</v>
      </c>
    </row>
    <row r="139" spans="1:17" ht="15">
      <c r="B139" s="1581">
        <v>6</v>
      </c>
      <c r="C139" s="1582">
        <v>96</v>
      </c>
      <c r="D139" s="1583" t="s">
        <v>1650</v>
      </c>
      <c r="E139" s="1584">
        <v>100</v>
      </c>
      <c r="F139" s="1585">
        <v>102.5</v>
      </c>
      <c r="G139" s="1583" t="s">
        <v>1650</v>
      </c>
      <c r="H139" s="1586">
        <v>105</v>
      </c>
      <c r="I139" s="1587" t="s">
        <v>1651</v>
      </c>
      <c r="J139" s="1582">
        <v>20</v>
      </c>
      <c r="K139" s="1588">
        <f>C145/(J139-2)</f>
        <v>4.0555555555555596E-3</v>
      </c>
    </row>
    <row r="140" spans="1:17" ht="15">
      <c r="B140" s="1589">
        <v>5</v>
      </c>
      <c r="C140" s="1590">
        <v>100</v>
      </c>
      <c r="D140" s="1590"/>
      <c r="E140" s="1591"/>
      <c r="F140" s="1592">
        <v>102</v>
      </c>
      <c r="G140" s="1590"/>
      <c r="H140" s="1593"/>
      <c r="I140" s="1594" t="s">
        <v>1652</v>
      </c>
      <c r="J140" s="417">
        <f>ROUNDUP((J139-1)/2,0)</f>
        <v>10</v>
      </c>
      <c r="K140" s="1595">
        <v>100</v>
      </c>
    </row>
    <row r="141" spans="1:17" ht="15">
      <c r="B141" s="1589">
        <v>4</v>
      </c>
      <c r="C141" s="1590">
        <v>102</v>
      </c>
      <c r="D141" s="1590"/>
      <c r="E141" s="1591"/>
      <c r="F141" s="1592">
        <v>101.5</v>
      </c>
      <c r="G141" s="1590"/>
      <c r="H141" s="1593"/>
      <c r="I141" s="1594" t="s">
        <v>1653</v>
      </c>
      <c r="J141" s="417">
        <v>1</v>
      </c>
      <c r="K141" s="1596">
        <f>ROUND(100+(J141-J140)*K139*100,1)</f>
        <v>96.4</v>
      </c>
    </row>
    <row r="142" spans="1:17" ht="15">
      <c r="B142" s="1589">
        <v>3</v>
      </c>
      <c r="C142" s="1590">
        <v>103</v>
      </c>
      <c r="D142" s="1590"/>
      <c r="E142" s="1591"/>
      <c r="F142" s="1592">
        <v>101</v>
      </c>
      <c r="G142" s="1590"/>
      <c r="H142" s="1593"/>
      <c r="I142" s="1594" t="s">
        <v>1654</v>
      </c>
      <c r="J142" s="417">
        <f>J139</f>
        <v>20</v>
      </c>
      <c r="K142" s="1597">
        <v>95</v>
      </c>
    </row>
    <row r="143" spans="1:17" ht="15">
      <c r="B143" s="1589">
        <v>2</v>
      </c>
      <c r="C143" s="1590">
        <v>100</v>
      </c>
      <c r="D143" s="1590"/>
      <c r="E143" s="1591"/>
      <c r="F143" s="1592">
        <v>100.5</v>
      </c>
      <c r="G143" s="1590"/>
      <c r="H143" s="1593"/>
      <c r="I143" s="1594" t="s">
        <v>1655</v>
      </c>
      <c r="J143" s="1590">
        <v>15</v>
      </c>
      <c r="K143" s="1596">
        <f>ROUND(100+(J143-J140)*K139*100,1)</f>
        <v>102</v>
      </c>
    </row>
    <row r="144" spans="1:17" ht="15">
      <c r="B144" s="1589">
        <v>1</v>
      </c>
      <c r="C144" s="1590">
        <v>98</v>
      </c>
      <c r="D144" s="1598" t="s">
        <v>1656</v>
      </c>
      <c r="E144" s="1591">
        <v>102</v>
      </c>
      <c r="F144" s="1599">
        <v>100</v>
      </c>
      <c r="G144" s="1598" t="s">
        <v>1656</v>
      </c>
      <c r="H144" s="1593">
        <v>105</v>
      </c>
      <c r="I144" s="1594" t="s">
        <v>1655</v>
      </c>
      <c r="J144" s="1590">
        <v>18</v>
      </c>
      <c r="K144" s="1596">
        <f>ROUND(100+(J144-J140)*K139*100,1)</f>
        <v>103.2</v>
      </c>
    </row>
    <row r="145" spans="2:11" ht="15">
      <c r="B145" s="591" t="s">
        <v>1657</v>
      </c>
      <c r="C145" s="1600">
        <f>ROUND(MAX(C139:C144)/MIN(C139:C144)-1,3)</f>
        <v>7.2999999999999995E-2</v>
      </c>
      <c r="D145" s="1601"/>
      <c r="E145" s="1601"/>
      <c r="F145" s="1602" t="s">
        <v>1658</v>
      </c>
      <c r="G145" s="1603"/>
      <c r="H145" s="1604"/>
      <c r="I145" s="1605" t="s">
        <v>1655</v>
      </c>
      <c r="J145" s="1606">
        <v>8</v>
      </c>
      <c r="K145" s="1607">
        <f>ROUND(100+(J145-J140)*K139*100,1)</f>
        <v>99.2</v>
      </c>
    </row>
    <row r="147" spans="2:11">
      <c r="B147" s="1568" t="s">
        <v>1659</v>
      </c>
    </row>
    <row r="148" spans="2:11">
      <c r="B148" s="1568" t="s">
        <v>1660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1661</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1037</v>
      </c>
      <c r="B3" s="1032">
        <f>IF(C2="——",C43,ROUND(B2*10000/D3,0))</f>
        <v>0</v>
      </c>
      <c r="C3" s="1386" t="s">
        <v>1385</v>
      </c>
      <c r="D3" s="1387">
        <f>IF(D1="",'数据-汇总表'!E3,SUMIF('数据-汇总表'!$C19:$C33,D1,'数据-汇总表'!$E19:$E33))</f>
        <v>62.23</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488"/>
      <c r="M4" s="1224"/>
      <c r="N4" s="1224"/>
      <c r="O4" s="1224"/>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488"/>
      <c r="M5" s="1224"/>
      <c r="N5" s="1224"/>
      <c r="O5" s="1224"/>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488"/>
      <c r="M6" s="1224"/>
      <c r="N6" s="1224"/>
      <c r="O6" s="1224"/>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40" si="3">D8/F8</f>
        <v>1</v>
      </c>
      <c r="AB8" s="1068">
        <f t="shared" ref="AB8:AB40" si="4">D8/H8</f>
        <v>1</v>
      </c>
      <c r="AC8" s="1068">
        <f t="shared" ref="AC8:AC40" si="5">D8/J8</f>
        <v>1</v>
      </c>
    </row>
    <row r="9" spans="1:29" s="1008" customFormat="1">
      <c r="A9" s="1070" t="s">
        <v>1403</v>
      </c>
      <c r="B9" s="1071" t="s">
        <v>1404</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0" t="s">
        <v>1405</v>
      </c>
      <c r="Q9" s="808" t="str">
        <f t="shared" ref="Q9:Q15" si="6">B9</f>
        <v>用途</v>
      </c>
      <c r="R9" s="1064" t="s">
        <v>1398</v>
      </c>
      <c r="S9" s="1065">
        <f t="shared" si="0"/>
        <v>100</v>
      </c>
      <c r="T9" s="1064" t="s">
        <v>1398</v>
      </c>
      <c r="U9" s="1065">
        <f t="shared" si="1"/>
        <v>100</v>
      </c>
      <c r="V9" s="1064" t="s">
        <v>1398</v>
      </c>
      <c r="W9" s="1065">
        <f t="shared" si="2"/>
        <v>100</v>
      </c>
      <c r="X9" s="1066"/>
      <c r="Y9" s="3356"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0"/>
      <c r="Q10" s="808" t="str">
        <f t="shared" si="6"/>
        <v>土地使用年限（年）</v>
      </c>
      <c r="R10" s="1064" t="s">
        <v>1398</v>
      </c>
      <c r="S10" s="1065">
        <f t="shared" si="0"/>
        <v>100</v>
      </c>
      <c r="T10" s="1064" t="s">
        <v>1398</v>
      </c>
      <c r="U10" s="1065">
        <f t="shared" si="1"/>
        <v>100</v>
      </c>
      <c r="V10" s="1064" t="s">
        <v>1398</v>
      </c>
      <c r="W10" s="1065">
        <f t="shared" si="2"/>
        <v>100</v>
      </c>
      <c r="X10" s="1066"/>
      <c r="Y10" s="3356"/>
      <c r="Z10" s="1068" t="str">
        <f t="shared" si="7"/>
        <v>土地使用年限（年）</v>
      </c>
      <c r="AA10" s="1068">
        <f t="shared" si="3"/>
        <v>1</v>
      </c>
      <c r="AB10" s="1068">
        <f t="shared" si="4"/>
        <v>1</v>
      </c>
      <c r="AC10" s="1068">
        <f t="shared" si="5"/>
        <v>1</v>
      </c>
    </row>
    <row r="11" spans="1:29" ht="15">
      <c r="A11" s="1083"/>
      <c r="B11" s="1076" t="s">
        <v>1408</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0"/>
      <c r="Q11" s="808" t="str">
        <f t="shared" si="6"/>
        <v>容积率</v>
      </c>
      <c r="R11" s="1064" t="s">
        <v>1398</v>
      </c>
      <c r="S11" s="1065">
        <f t="shared" si="0"/>
        <v>100</v>
      </c>
      <c r="T11" s="1064" t="s">
        <v>1398</v>
      </c>
      <c r="U11" s="1065">
        <f t="shared" si="1"/>
        <v>100</v>
      </c>
      <c r="V11" s="1064" t="s">
        <v>1398</v>
      </c>
      <c r="W11" s="1065">
        <f t="shared" si="2"/>
        <v>100</v>
      </c>
      <c r="X11" s="1066"/>
      <c r="Y11" s="3356"/>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0"/>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0"/>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0"/>
      <c r="Q14" s="808">
        <f t="shared" si="6"/>
        <v>111</v>
      </c>
      <c r="R14" s="1064" t="s">
        <v>1398</v>
      </c>
      <c r="S14" s="1065">
        <f t="shared" si="0"/>
        <v>100</v>
      </c>
      <c r="T14" s="1064" t="s">
        <v>1398</v>
      </c>
      <c r="U14" s="1065">
        <f t="shared" si="1"/>
        <v>100</v>
      </c>
      <c r="V14" s="1064" t="s">
        <v>1398</v>
      </c>
      <c r="W14" s="1065">
        <f t="shared" si="2"/>
        <v>100</v>
      </c>
      <c r="X14" s="1066"/>
      <c r="Y14" s="3356"/>
      <c r="Z14" s="1068">
        <f t="shared" si="7"/>
        <v>111</v>
      </c>
      <c r="AA14" s="1068">
        <f t="shared" si="3"/>
        <v>1</v>
      </c>
      <c r="AB14" s="1068">
        <f t="shared" si="4"/>
        <v>1</v>
      </c>
      <c r="AC14" s="1068">
        <f t="shared" si="5"/>
        <v>1</v>
      </c>
    </row>
    <row r="15" spans="1:29" ht="57">
      <c r="A15" s="1100" t="s">
        <v>1409</v>
      </c>
      <c r="B15" s="1341" t="s">
        <v>1662</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7" t="s">
        <v>1411</v>
      </c>
      <c r="Q15" s="704" t="str">
        <f t="shared" si="6"/>
        <v>产业集聚程度</v>
      </c>
      <c r="R15" s="1106" t="s">
        <v>1398</v>
      </c>
      <c r="S15" s="1107">
        <f t="shared" si="0"/>
        <v>100</v>
      </c>
      <c r="T15" s="1106" t="s">
        <v>1398</v>
      </c>
      <c r="U15" s="1107">
        <f t="shared" si="1"/>
        <v>100</v>
      </c>
      <c r="V15" s="1106" t="s">
        <v>1398</v>
      </c>
      <c r="W15" s="1107">
        <f t="shared" si="2"/>
        <v>100</v>
      </c>
      <c r="X15" s="1045"/>
      <c r="Y15" s="3387" t="s">
        <v>1411</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88"/>
      <c r="Q16" s="704"/>
      <c r="R16" s="1106"/>
      <c r="S16" s="1107"/>
      <c r="T16" s="1106"/>
      <c r="U16" s="1107"/>
      <c r="V16" s="1106"/>
      <c r="W16" s="1107"/>
      <c r="X16" s="1045"/>
      <c r="Y16" s="3388"/>
      <c r="Z16" s="1044"/>
      <c r="AA16" s="1044">
        <v>1</v>
      </c>
      <c r="AB16" s="1044">
        <v>1</v>
      </c>
      <c r="AC16" s="1044">
        <v>1</v>
      </c>
    </row>
    <row r="17" spans="1:29" ht="85.5">
      <c r="A17" s="1083"/>
      <c r="B17" s="1343" t="s">
        <v>1413</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88"/>
      <c r="Q17" s="704" t="str">
        <f>B17</f>
        <v>交通便捷度</v>
      </c>
      <c r="R17" s="1106" t="s">
        <v>1398</v>
      </c>
      <c r="S17" s="1107">
        <f>F17</f>
        <v>100</v>
      </c>
      <c r="T17" s="1106" t="s">
        <v>1398</v>
      </c>
      <c r="U17" s="1107">
        <f>H17</f>
        <v>100</v>
      </c>
      <c r="V17" s="1106" t="s">
        <v>1398</v>
      </c>
      <c r="W17" s="1107">
        <f>J17</f>
        <v>100</v>
      </c>
      <c r="X17" s="1045"/>
      <c r="Y17" s="3388"/>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88"/>
      <c r="Q18" s="704"/>
      <c r="R18" s="1106"/>
      <c r="S18" s="1107"/>
      <c r="T18" s="1106"/>
      <c r="U18" s="1107"/>
      <c r="V18" s="1106"/>
      <c r="W18" s="1107"/>
      <c r="X18" s="1045"/>
      <c r="Y18" s="3388"/>
      <c r="Z18" s="1044"/>
      <c r="AA18" s="1044">
        <v>1</v>
      </c>
      <c r="AB18" s="1044">
        <v>1</v>
      </c>
      <c r="AC18" s="1044">
        <v>1</v>
      </c>
    </row>
    <row r="19" spans="1:29" ht="42.75">
      <c r="A19" s="1083"/>
      <c r="B19" s="1343" t="s">
        <v>1414</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88"/>
      <c r="Q19" s="704" t="str">
        <f>B19</f>
        <v>公共配套设施</v>
      </c>
      <c r="R19" s="1106" t="s">
        <v>1398</v>
      </c>
      <c r="S19" s="1107">
        <f>F19</f>
        <v>100</v>
      </c>
      <c r="T19" s="1106" t="s">
        <v>1398</v>
      </c>
      <c r="U19" s="1107">
        <f>H19</f>
        <v>100</v>
      </c>
      <c r="V19" s="1106" t="s">
        <v>1398</v>
      </c>
      <c r="W19" s="1107">
        <f>J19</f>
        <v>100</v>
      </c>
      <c r="X19" s="1045"/>
      <c r="Y19" s="3388"/>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88"/>
      <c r="Q20" s="704"/>
      <c r="R20" s="1106"/>
      <c r="S20" s="1107"/>
      <c r="T20" s="1106"/>
      <c r="U20" s="1107"/>
      <c r="V20" s="1106"/>
      <c r="W20" s="1107"/>
      <c r="X20" s="1045"/>
      <c r="Y20" s="3388"/>
      <c r="Z20" s="1044"/>
      <c r="AA20" s="1044">
        <v>1</v>
      </c>
      <c r="AB20" s="1044">
        <v>1</v>
      </c>
      <c r="AC20" s="1044">
        <v>1</v>
      </c>
    </row>
    <row r="21" spans="1:29" ht="28.5">
      <c r="A21" s="1083"/>
      <c r="B21" s="1349" t="s">
        <v>1415</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88"/>
      <c r="Q21" s="704" t="str">
        <f>B21</f>
        <v>基础设施水平</v>
      </c>
      <c r="R21" s="1106" t="s">
        <v>1398</v>
      </c>
      <c r="S21" s="1107">
        <f>F21</f>
        <v>100</v>
      </c>
      <c r="T21" s="1106" t="s">
        <v>1398</v>
      </c>
      <c r="U21" s="1107">
        <f>H21</f>
        <v>100</v>
      </c>
      <c r="V21" s="1106" t="s">
        <v>1398</v>
      </c>
      <c r="W21" s="1107">
        <f>J21</f>
        <v>100</v>
      </c>
      <c r="X21" s="1045"/>
      <c r="Y21" s="3388"/>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88"/>
      <c r="Q22" s="704"/>
      <c r="R22" s="1106"/>
      <c r="S22" s="1107"/>
      <c r="T22" s="1106"/>
      <c r="U22" s="1107"/>
      <c r="V22" s="1106"/>
      <c r="W22" s="1107"/>
      <c r="X22" s="1045"/>
      <c r="Y22" s="3388"/>
      <c r="Z22" s="1044"/>
      <c r="AA22" s="1044">
        <v>1</v>
      </c>
      <c r="AB22" s="1044">
        <v>1</v>
      </c>
      <c r="AC22" s="1044">
        <v>1</v>
      </c>
    </row>
    <row r="23" spans="1:29" ht="71.25">
      <c r="A23" s="1083"/>
      <c r="B23" s="1343" t="s">
        <v>1416</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88"/>
      <c r="Q23" s="704" t="str">
        <f>B23</f>
        <v>环境质量</v>
      </c>
      <c r="R23" s="1106" t="s">
        <v>1398</v>
      </c>
      <c r="S23" s="1107">
        <f>F23</f>
        <v>100</v>
      </c>
      <c r="T23" s="1106" t="s">
        <v>1398</v>
      </c>
      <c r="U23" s="1107">
        <f>H23</f>
        <v>100</v>
      </c>
      <c r="V23" s="1106" t="s">
        <v>1398</v>
      </c>
      <c r="W23" s="1107">
        <f>J23</f>
        <v>100</v>
      </c>
      <c r="X23" s="1045"/>
      <c r="Y23" s="3388"/>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88"/>
      <c r="Q24" s="704"/>
      <c r="R24" s="1106"/>
      <c r="S24" s="1107"/>
      <c r="T24" s="1106"/>
      <c r="U24" s="1107"/>
      <c r="V24" s="1106"/>
      <c r="W24" s="1107"/>
      <c r="X24" s="1045"/>
      <c r="Y24" s="3388"/>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88"/>
      <c r="Q25" s="704">
        <f>B25</f>
        <v>111</v>
      </c>
      <c r="R25" s="1106" t="s">
        <v>1398</v>
      </c>
      <c r="S25" s="1107">
        <f>F25</f>
        <v>100</v>
      </c>
      <c r="T25" s="1106" t="s">
        <v>1398</v>
      </c>
      <c r="U25" s="1107">
        <f>H25</f>
        <v>100</v>
      </c>
      <c r="V25" s="1106" t="s">
        <v>1398</v>
      </c>
      <c r="W25" s="1107">
        <f>J25</f>
        <v>100</v>
      </c>
      <c r="X25" s="1045"/>
      <c r="Y25" s="3388"/>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88"/>
      <c r="Q26" s="704">
        <f t="shared" ref="Q26:Q40" si="11">B26</f>
        <v>111</v>
      </c>
      <c r="R26" s="1106" t="s">
        <v>1398</v>
      </c>
      <c r="S26" s="1107">
        <f>F26</f>
        <v>100</v>
      </c>
      <c r="T26" s="1106" t="s">
        <v>1398</v>
      </c>
      <c r="U26" s="1107">
        <f>H26</f>
        <v>100</v>
      </c>
      <c r="V26" s="1106" t="s">
        <v>1398</v>
      </c>
      <c r="W26" s="1107">
        <f>J26</f>
        <v>100</v>
      </c>
      <c r="X26" s="1045"/>
      <c r="Y26" s="3388"/>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88"/>
      <c r="Q27" s="808">
        <f t="shared" si="11"/>
        <v>111</v>
      </c>
      <c r="R27" s="1064" t="s">
        <v>1398</v>
      </c>
      <c r="S27" s="1065">
        <f>F27</f>
        <v>100</v>
      </c>
      <c r="T27" s="1064" t="s">
        <v>1398</v>
      </c>
      <c r="U27" s="1065">
        <f>H27</f>
        <v>100</v>
      </c>
      <c r="V27" s="1064" t="s">
        <v>1398</v>
      </c>
      <c r="W27" s="1065">
        <f>J27</f>
        <v>100</v>
      </c>
      <c r="X27" s="1066"/>
      <c r="Y27" s="3388"/>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88"/>
      <c r="Q28" s="704">
        <f t="shared" si="11"/>
        <v>111</v>
      </c>
      <c r="R28" s="1106" t="s">
        <v>1398</v>
      </c>
      <c r="S28" s="1107">
        <f t="shared" ref="S28:S40" si="12">F28</f>
        <v>100</v>
      </c>
      <c r="T28" s="1106" t="s">
        <v>1398</v>
      </c>
      <c r="U28" s="1107">
        <f t="shared" ref="U28:U40" si="13">H28</f>
        <v>100</v>
      </c>
      <c r="V28" s="1106" t="s">
        <v>1398</v>
      </c>
      <c r="W28" s="1107">
        <f t="shared" ref="W28:W40" si="14">J28</f>
        <v>100</v>
      </c>
      <c r="X28" s="1045"/>
      <c r="Y28" s="3388"/>
      <c r="Z28" s="1044">
        <f t="shared" ref="Z28:Z40" si="15">Q28</f>
        <v>111</v>
      </c>
      <c r="AA28" s="1044">
        <f t="shared" si="3"/>
        <v>1</v>
      </c>
      <c r="AB28" s="1044">
        <f t="shared" si="4"/>
        <v>1</v>
      </c>
      <c r="AC28" s="1044">
        <f t="shared" si="5"/>
        <v>1</v>
      </c>
    </row>
    <row r="29" spans="1:29" ht="28.5">
      <c r="A29" s="1398" t="s">
        <v>1423</v>
      </c>
      <c r="B29" s="1071" t="s">
        <v>1424</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7" t="s">
        <v>1426</v>
      </c>
      <c r="Q29" s="704" t="str">
        <f t="shared" si="11"/>
        <v>建筑类型</v>
      </c>
      <c r="R29" s="1106" t="s">
        <v>1398</v>
      </c>
      <c r="S29" s="1107">
        <f t="shared" si="12"/>
        <v>100</v>
      </c>
      <c r="T29" s="1106" t="s">
        <v>1398</v>
      </c>
      <c r="U29" s="1107">
        <f t="shared" si="13"/>
        <v>100</v>
      </c>
      <c r="V29" s="1106" t="s">
        <v>1398</v>
      </c>
      <c r="W29" s="1107">
        <f t="shared" si="14"/>
        <v>100</v>
      </c>
      <c r="X29" s="1045"/>
      <c r="Y29" s="3389" t="s">
        <v>1426</v>
      </c>
      <c r="Z29" s="1044" t="str">
        <f t="shared" si="15"/>
        <v>建筑类型</v>
      </c>
      <c r="AA29" s="1044">
        <f t="shared" si="3"/>
        <v>1</v>
      </c>
      <c r="AB29" s="1044">
        <f t="shared" si="4"/>
        <v>1</v>
      </c>
      <c r="AC29" s="1044">
        <f t="shared" si="5"/>
        <v>1</v>
      </c>
    </row>
    <row r="30" spans="1:29" s="1010" customFormat="1" ht="15">
      <c r="A30" s="1156"/>
      <c r="B30" s="1076" t="s">
        <v>1427</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89"/>
      <c r="Q30" s="1403" t="str">
        <f t="shared" si="11"/>
        <v>项目建筑规模</v>
      </c>
      <c r="R30" s="1144" t="s">
        <v>1398</v>
      </c>
      <c r="S30" s="1145" t="e">
        <f t="shared" si="12"/>
        <v>#N/A</v>
      </c>
      <c r="T30" s="1144" t="s">
        <v>1398</v>
      </c>
      <c r="U30" s="1145" t="e">
        <f t="shared" si="13"/>
        <v>#N/A</v>
      </c>
      <c r="V30" s="1144" t="s">
        <v>1398</v>
      </c>
      <c r="W30" s="1145" t="e">
        <f t="shared" si="14"/>
        <v>#N/A</v>
      </c>
      <c r="X30" s="1146"/>
      <c r="Y30" s="3389"/>
      <c r="Z30" s="1147" t="str">
        <f t="shared" si="15"/>
        <v>项目建筑规模</v>
      </c>
      <c r="AA30" s="1044" t="e">
        <f t="shared" si="3"/>
        <v>#N/A</v>
      </c>
      <c r="AB30" s="1044" t="e">
        <f t="shared" si="4"/>
        <v>#N/A</v>
      </c>
      <c r="AC30" s="1044" t="e">
        <f t="shared" si="5"/>
        <v>#N/A</v>
      </c>
    </row>
    <row r="31" spans="1:29" ht="15">
      <c r="A31" s="1151"/>
      <c r="B31" s="1076" t="s">
        <v>1428</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89"/>
      <c r="Q31" s="704" t="str">
        <f t="shared" si="11"/>
        <v>建筑结构</v>
      </c>
      <c r="R31" s="1106" t="s">
        <v>1398</v>
      </c>
      <c r="S31" s="1107">
        <f t="shared" si="12"/>
        <v>100</v>
      </c>
      <c r="T31" s="1106" t="s">
        <v>1398</v>
      </c>
      <c r="U31" s="1107">
        <f t="shared" si="13"/>
        <v>100</v>
      </c>
      <c r="V31" s="1106" t="s">
        <v>1398</v>
      </c>
      <c r="W31" s="1107">
        <f t="shared" si="14"/>
        <v>100</v>
      </c>
      <c r="X31" s="1045"/>
      <c r="Y31" s="3389"/>
      <c r="Z31" s="1044" t="str">
        <f t="shared" si="15"/>
        <v>建筑结构</v>
      </c>
      <c r="AA31" s="1044">
        <f t="shared" si="3"/>
        <v>1</v>
      </c>
      <c r="AB31" s="1044">
        <f t="shared" si="4"/>
        <v>1</v>
      </c>
      <c r="AC31" s="1044">
        <f t="shared" si="5"/>
        <v>1</v>
      </c>
    </row>
    <row r="32" spans="1:29" ht="15">
      <c r="A32" s="1151"/>
      <c r="B32" s="1076" t="s">
        <v>1430</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89"/>
      <c r="Q32" s="704" t="str">
        <f t="shared" si="11"/>
        <v>公共部分装修</v>
      </c>
      <c r="R32" s="1106" t="s">
        <v>1398</v>
      </c>
      <c r="S32" s="1107">
        <f t="shared" si="12"/>
        <v>100</v>
      </c>
      <c r="T32" s="1106" t="s">
        <v>1398</v>
      </c>
      <c r="U32" s="1107">
        <f t="shared" si="13"/>
        <v>100</v>
      </c>
      <c r="V32" s="1106" t="s">
        <v>1398</v>
      </c>
      <c r="W32" s="1107">
        <f t="shared" si="14"/>
        <v>100</v>
      </c>
      <c r="X32" s="1045"/>
      <c r="Y32" s="3389"/>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89"/>
      <c r="Q33" s="704" t="str">
        <f t="shared" si="11"/>
        <v>成新度</v>
      </c>
      <c r="R33" s="1106" t="s">
        <v>1398</v>
      </c>
      <c r="S33" s="1107" t="e">
        <f t="shared" si="12"/>
        <v>#N/A</v>
      </c>
      <c r="T33" s="1106" t="s">
        <v>1398</v>
      </c>
      <c r="U33" s="1107" t="e">
        <f t="shared" si="13"/>
        <v>#N/A</v>
      </c>
      <c r="V33" s="1106" t="s">
        <v>1398</v>
      </c>
      <c r="W33" s="1107" t="e">
        <f t="shared" si="14"/>
        <v>#N/A</v>
      </c>
      <c r="X33" s="1045"/>
      <c r="Y33" s="3389"/>
      <c r="Z33" s="1044" t="str">
        <f t="shared" si="15"/>
        <v>成新度</v>
      </c>
      <c r="AA33" s="1044" t="e">
        <f t="shared" si="3"/>
        <v>#N/A</v>
      </c>
      <c r="AB33" s="1044" t="e">
        <f t="shared" si="4"/>
        <v>#N/A</v>
      </c>
      <c r="AC33" s="1044" t="e">
        <f t="shared" si="5"/>
        <v>#N/A</v>
      </c>
    </row>
    <row r="34" spans="1:29" s="1008" customFormat="1" ht="15">
      <c r="A34" s="1153"/>
      <c r="B34" s="1076" t="s">
        <v>1434</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89"/>
      <c r="Q34" s="808" t="str">
        <f t="shared" si="11"/>
        <v>物业管理</v>
      </c>
      <c r="R34" s="1064" t="s">
        <v>1398</v>
      </c>
      <c r="S34" s="1065">
        <f t="shared" si="12"/>
        <v>100</v>
      </c>
      <c r="T34" s="1064" t="s">
        <v>1398</v>
      </c>
      <c r="U34" s="1065">
        <f t="shared" si="13"/>
        <v>100</v>
      </c>
      <c r="V34" s="1064" t="s">
        <v>1398</v>
      </c>
      <c r="W34" s="1065">
        <f t="shared" si="14"/>
        <v>100</v>
      </c>
      <c r="X34" s="1066"/>
      <c r="Y34" s="3389"/>
      <c r="Z34" s="1068" t="str">
        <f t="shared" si="15"/>
        <v>物业管理</v>
      </c>
      <c r="AA34" s="1068">
        <f t="shared" si="3"/>
        <v>1</v>
      </c>
      <c r="AB34" s="1068">
        <f t="shared" si="4"/>
        <v>1</v>
      </c>
      <c r="AC34" s="1068">
        <f t="shared" si="5"/>
        <v>1</v>
      </c>
    </row>
    <row r="35" spans="1:29" ht="15">
      <c r="A35" s="1151"/>
      <c r="B35" s="1076" t="s">
        <v>1436</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89" t="s">
        <v>1426</v>
      </c>
      <c r="Q35" s="704" t="str">
        <f t="shared" si="11"/>
        <v>市政基础设施</v>
      </c>
      <c r="R35" s="1106" t="s">
        <v>1398</v>
      </c>
      <c r="S35" s="1107">
        <f t="shared" si="12"/>
        <v>100</v>
      </c>
      <c r="T35" s="1106" t="s">
        <v>1398</v>
      </c>
      <c r="U35" s="1107">
        <f t="shared" si="13"/>
        <v>100</v>
      </c>
      <c r="V35" s="1106" t="s">
        <v>1398</v>
      </c>
      <c r="W35" s="1107">
        <f t="shared" si="14"/>
        <v>100</v>
      </c>
      <c r="X35" s="1045"/>
      <c r="Y35" s="3389" t="s">
        <v>1426</v>
      </c>
      <c r="Z35" s="1044" t="str">
        <f t="shared" si="15"/>
        <v>市政基础设施</v>
      </c>
      <c r="AA35" s="1044">
        <f t="shared" si="3"/>
        <v>1</v>
      </c>
      <c r="AB35" s="1044">
        <f t="shared" si="4"/>
        <v>1</v>
      </c>
      <c r="AC35" s="1044">
        <f t="shared" si="5"/>
        <v>1</v>
      </c>
    </row>
    <row r="36" spans="1:29" ht="15">
      <c r="A36" s="1151"/>
      <c r="B36" s="1076" t="s">
        <v>1439</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89"/>
      <c r="Q36" s="704" t="str">
        <f t="shared" si="11"/>
        <v>内部装修</v>
      </c>
      <c r="R36" s="1106" t="s">
        <v>1398</v>
      </c>
      <c r="S36" s="1107">
        <f t="shared" si="12"/>
        <v>100</v>
      </c>
      <c r="T36" s="1106" t="s">
        <v>1398</v>
      </c>
      <c r="U36" s="1107">
        <f t="shared" si="13"/>
        <v>100</v>
      </c>
      <c r="V36" s="1106" t="s">
        <v>1398</v>
      </c>
      <c r="W36" s="1107">
        <f t="shared" si="14"/>
        <v>100</v>
      </c>
      <c r="X36" s="1045"/>
      <c r="Y36" s="3389"/>
      <c r="Z36" s="1044" t="str">
        <f t="shared" si="15"/>
        <v>内部装修</v>
      </c>
      <c r="AA36" s="1044">
        <f t="shared" si="3"/>
        <v>1</v>
      </c>
      <c r="AB36" s="1044">
        <f t="shared" si="4"/>
        <v>1</v>
      </c>
      <c r="AC36" s="1044">
        <f t="shared" si="5"/>
        <v>1</v>
      </c>
    </row>
    <row r="37" spans="1:29" ht="15">
      <c r="A37" s="1151"/>
      <c r="B37" s="1076" t="s">
        <v>1663</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89"/>
      <c r="Q37" s="704" t="str">
        <f t="shared" si="11"/>
        <v>内部装修状况</v>
      </c>
      <c r="R37" s="1106" t="s">
        <v>1398</v>
      </c>
      <c r="S37" s="1107">
        <f t="shared" si="12"/>
        <v>100</v>
      </c>
      <c r="T37" s="1106" t="s">
        <v>1398</v>
      </c>
      <c r="U37" s="1107">
        <f t="shared" si="13"/>
        <v>100</v>
      </c>
      <c r="V37" s="1106" t="s">
        <v>1398</v>
      </c>
      <c r="W37" s="1107">
        <f t="shared" si="14"/>
        <v>100</v>
      </c>
      <c r="X37" s="1045"/>
      <c r="Y37" s="3389"/>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89"/>
      <c r="Q38" s="1403">
        <f t="shared" si="11"/>
        <v>111</v>
      </c>
      <c r="R38" s="1144" t="s">
        <v>1398</v>
      </c>
      <c r="S38" s="1145">
        <f t="shared" si="12"/>
        <v>100</v>
      </c>
      <c r="T38" s="1144" t="s">
        <v>1398</v>
      </c>
      <c r="U38" s="1145">
        <f t="shared" si="13"/>
        <v>100</v>
      </c>
      <c r="V38" s="1144" t="s">
        <v>1398</v>
      </c>
      <c r="W38" s="1145">
        <f t="shared" si="14"/>
        <v>100</v>
      </c>
      <c r="X38" s="1146"/>
      <c r="Y38" s="3389"/>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89"/>
      <c r="Q39" s="704">
        <f t="shared" si="11"/>
        <v>111</v>
      </c>
      <c r="R39" s="1106" t="s">
        <v>1398</v>
      </c>
      <c r="S39" s="1107">
        <f t="shared" si="12"/>
        <v>100</v>
      </c>
      <c r="T39" s="1106" t="s">
        <v>1398</v>
      </c>
      <c r="U39" s="1107">
        <f t="shared" si="13"/>
        <v>100</v>
      </c>
      <c r="V39" s="1106" t="s">
        <v>1398</v>
      </c>
      <c r="W39" s="1107">
        <f t="shared" si="14"/>
        <v>100</v>
      </c>
      <c r="X39" s="1045"/>
      <c r="Y39" s="3389"/>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0"/>
      <c r="Q40" s="704">
        <f t="shared" si="11"/>
        <v>111</v>
      </c>
      <c r="R40" s="1106" t="s">
        <v>1398</v>
      </c>
      <c r="S40" s="1107">
        <f t="shared" si="12"/>
        <v>100</v>
      </c>
      <c r="T40" s="1106" t="s">
        <v>1398</v>
      </c>
      <c r="U40" s="1107">
        <f t="shared" si="13"/>
        <v>100</v>
      </c>
      <c r="V40" s="1106" t="s">
        <v>1398</v>
      </c>
      <c r="W40" s="1107">
        <f t="shared" si="14"/>
        <v>100</v>
      </c>
      <c r="X40" s="1045"/>
      <c r="Y40" s="3390"/>
      <c r="Z40" s="1044">
        <f t="shared" si="15"/>
        <v>111</v>
      </c>
      <c r="AA40" s="1044">
        <f t="shared" si="3"/>
        <v>1</v>
      </c>
      <c r="AB40" s="1044">
        <f t="shared" si="4"/>
        <v>1</v>
      </c>
      <c r="AC40" s="1044">
        <f t="shared" si="5"/>
        <v>1</v>
      </c>
    </row>
    <row r="41" spans="1:29" ht="15">
      <c r="A41" s="1159" t="s">
        <v>1442</v>
      </c>
      <c r="B41" s="1408"/>
      <c r="C41" s="1409" t="s">
        <v>124</v>
      </c>
      <c r="D41" s="1162"/>
      <c r="E41" s="1163"/>
      <c r="F41" s="1164"/>
      <c r="G41" s="1165"/>
      <c r="H41" s="1166"/>
      <c r="I41" s="1163"/>
      <c r="J41" s="1166"/>
      <c r="K41" s="1167"/>
      <c r="L41" s="1501"/>
      <c r="M41" s="1224"/>
      <c r="N41" s="1224"/>
      <c r="O41" s="1224"/>
      <c r="P41" s="3380" t="str">
        <f>A41</f>
        <v>成交单价（元/平方米）</v>
      </c>
      <c r="Q41" s="3380"/>
      <c r="R41" s="3381">
        <f>E41</f>
        <v>0</v>
      </c>
      <c r="S41" s="3381"/>
      <c r="T41" s="3381">
        <f>G41</f>
        <v>0</v>
      </c>
      <c r="U41" s="3381"/>
      <c r="V41" s="3381">
        <f>I41</f>
        <v>0</v>
      </c>
      <c r="W41" s="3381"/>
      <c r="X41" s="1169"/>
      <c r="Y41" s="1170"/>
      <c r="Z41" s="1169"/>
      <c r="AA41" s="1169"/>
      <c r="AB41" s="1169"/>
      <c r="AC41" s="1169"/>
    </row>
    <row r="42" spans="1:29" ht="15">
      <c r="A42" s="1171" t="s">
        <v>1443</v>
      </c>
      <c r="B42" s="1410"/>
      <c r="C42" s="1411" t="e">
        <f>R43</f>
        <v>#DIV/0!</v>
      </c>
      <c r="D42" s="1174" t="s">
        <v>1444</v>
      </c>
      <c r="E42" s="1412" t="e">
        <f>R42</f>
        <v>#DIV/0!</v>
      </c>
      <c r="F42" s="1175"/>
      <c r="G42" s="1411" t="e">
        <f>T42</f>
        <v>#DIV/0!</v>
      </c>
      <c r="H42" s="1175"/>
      <c r="I42" s="1412" t="e">
        <f>V42</f>
        <v>#DIV/0!</v>
      </c>
      <c r="J42" s="1175"/>
      <c r="K42" s="1177">
        <f>F42+H42+J42</f>
        <v>0</v>
      </c>
      <c r="L42" s="1501"/>
      <c r="M42" s="1224"/>
      <c r="N42" s="1224"/>
      <c r="O42" s="1224"/>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69"/>
      <c r="Y42" s="1169"/>
      <c r="Z42" s="1169"/>
      <c r="AA42" s="1169"/>
      <c r="AB42" s="1169"/>
      <c r="AC42" s="1169"/>
    </row>
    <row r="43" spans="1:29" ht="15">
      <c r="A43" s="1178" t="s">
        <v>1445</v>
      </c>
      <c r="B43" s="1179"/>
      <c r="C43" s="1050" t="e">
        <f>R43</f>
        <v>#DIV/0!</v>
      </c>
      <c r="D43" s="1050"/>
      <c r="E43" s="1050"/>
      <c r="F43" s="1050"/>
      <c r="G43" s="1050"/>
      <c r="H43" s="1050"/>
      <c r="I43" s="1050"/>
      <c r="J43" s="1050"/>
      <c r="K43" s="1181"/>
      <c r="L43" s="1501"/>
      <c r="M43" s="1224"/>
      <c r="N43" s="1224"/>
      <c r="O43" s="1224"/>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1449</v>
      </c>
      <c r="B51" s="1169"/>
      <c r="C51" s="1231"/>
      <c r="D51" s="1231"/>
      <c r="E51" s="1231"/>
      <c r="F51" s="1232"/>
      <c r="G51" s="1232"/>
      <c r="H51" s="1231"/>
      <c r="I51" s="1231"/>
      <c r="J51" s="1231"/>
      <c r="K51" s="1363"/>
      <c r="L51" s="1364"/>
      <c r="M51" s="1235"/>
      <c r="N51" s="1235"/>
      <c r="O51" s="1235"/>
      <c r="P51" s="1504"/>
      <c r="Q51" s="1505"/>
    </row>
    <row r="52" spans="1:17" s="1013" customFormat="1" ht="15">
      <c r="A52" s="1414" t="s">
        <v>1396</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1450</v>
      </c>
      <c r="B54" s="1247"/>
      <c r="C54" s="1248"/>
      <c r="D54" s="1249"/>
      <c r="E54" s="1249"/>
      <c r="F54" s="1249"/>
      <c r="G54" s="1249"/>
      <c r="H54" s="1249"/>
      <c r="I54" s="1249"/>
      <c r="J54" s="1249"/>
      <c r="K54" s="1249"/>
      <c r="L54" s="1249"/>
      <c r="M54" s="1250"/>
      <c r="N54" s="1506"/>
      <c r="O54" s="1507"/>
      <c r="P54" s="1505"/>
      <c r="Q54" s="1505"/>
    </row>
    <row r="55" spans="1:17" s="1008" customFormat="1" ht="15">
      <c r="A55" s="1252" t="s">
        <v>1399</v>
      </c>
      <c r="B55" s="1253"/>
      <c r="C55" s="1254" t="s">
        <v>1451</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1452</v>
      </c>
      <c r="B57" s="1262" t="s">
        <v>1404</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1407</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1409</v>
      </c>
      <c r="B70" s="1262" t="s">
        <v>1662</v>
      </c>
      <c r="C70" s="1305" t="s">
        <v>1453</v>
      </c>
      <c r="D70" s="1305" t="s">
        <v>1454</v>
      </c>
      <c r="E70" s="1305" t="s">
        <v>1455</v>
      </c>
      <c r="F70" s="1305" t="s">
        <v>1456</v>
      </c>
      <c r="G70" s="1305" t="s">
        <v>1457</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1413</v>
      </c>
      <c r="C72" s="1310" t="s">
        <v>1453</v>
      </c>
      <c r="D72" s="1310" t="s">
        <v>1454</v>
      </c>
      <c r="E72" s="1310" t="s">
        <v>1455</v>
      </c>
      <c r="F72" s="1310" t="s">
        <v>1456</v>
      </c>
      <c r="G72" s="1310" t="s">
        <v>1457</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1414</v>
      </c>
      <c r="C74" s="1310" t="s">
        <v>1453</v>
      </c>
      <c r="D74" s="1310" t="s">
        <v>1454</v>
      </c>
      <c r="E74" s="1310" t="s">
        <v>1455</v>
      </c>
      <c r="F74" s="1310" t="s">
        <v>1456</v>
      </c>
      <c r="G74" s="1310" t="s">
        <v>1457</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1415</v>
      </c>
      <c r="C76" s="1113" t="s">
        <v>1458</v>
      </c>
      <c r="D76" s="1113" t="s">
        <v>1459</v>
      </c>
      <c r="E76" s="1113" t="s">
        <v>1460</v>
      </c>
      <c r="F76" s="1113" t="s">
        <v>1461</v>
      </c>
      <c r="G76" s="1113" t="s">
        <v>1462</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1416</v>
      </c>
      <c r="C78" s="1310" t="s">
        <v>1453</v>
      </c>
      <c r="D78" s="1310" t="s">
        <v>1454</v>
      </c>
      <c r="E78" s="1310" t="s">
        <v>1455</v>
      </c>
      <c r="F78" s="1310" t="s">
        <v>1456</v>
      </c>
      <c r="G78" s="1310" t="s">
        <v>1457</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1423</v>
      </c>
      <c r="B88" s="1262" t="s">
        <v>1424</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1428</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1430</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1434</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1436</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1439</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1664</v>
      </c>
      <c r="C106" s="1310" t="s">
        <v>1453</v>
      </c>
      <c r="D106" s="1310" t="s">
        <v>1454</v>
      </c>
      <c r="E106" s="1310" t="s">
        <v>1455</v>
      </c>
      <c r="F106" s="1310" t="s">
        <v>1456</v>
      </c>
      <c r="G106" s="1310" t="s">
        <v>1457</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2025年11月5日（评估专业人员实地查勘之日）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1666</v>
      </c>
      <c r="C1" s="1371" t="s">
        <v>1381</v>
      </c>
      <c r="D1" s="1372"/>
      <c r="E1" s="1373"/>
      <c r="F1" s="1374"/>
      <c r="G1" s="1431" t="s">
        <v>1384</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1037</v>
      </c>
      <c r="B3" s="1032" t="e">
        <f>IF(AND(C2="——",B37="元/平方米"),C39,ROUND(B2*10000/D3,0))</f>
        <v>#DIV/0!</v>
      </c>
      <c r="C3" s="1386" t="s">
        <v>1385</v>
      </c>
      <c r="D3" s="1387">
        <f>SUMIF('数据-汇总表'!$C19:$C33,D1,'数据-汇总表'!$E19:$E33)</f>
        <v>0</v>
      </c>
      <c r="E3" s="1386" t="s">
        <v>1667</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7" t="s">
        <v>1397</v>
      </c>
      <c r="Q7" s="3376"/>
      <c r="R7" s="1064" t="s">
        <v>1398</v>
      </c>
      <c r="S7" s="1065">
        <f t="shared" ref="S7:S14" si="0">F7</f>
        <v>0</v>
      </c>
      <c r="T7" s="1064" t="s">
        <v>1398</v>
      </c>
      <c r="U7" s="1065">
        <f t="shared" ref="U7:U14" si="1">H7</f>
        <v>0</v>
      </c>
      <c r="V7" s="1064" t="s">
        <v>1398</v>
      </c>
      <c r="W7" s="1065">
        <f t="shared" ref="W7:W14" si="2">J7</f>
        <v>0</v>
      </c>
      <c r="X7" s="1066"/>
      <c r="Y7" s="3377" t="s">
        <v>1397</v>
      </c>
      <c r="Z7" s="3378"/>
      <c r="AA7" s="1068" t="e">
        <f>D7/F7</f>
        <v>#DIV/0!</v>
      </c>
      <c r="AB7" s="1068" t="e">
        <f>D7/H7</f>
        <v>#DIV/0!</v>
      </c>
      <c r="AC7" s="1068" t="e">
        <f>D7/J7</f>
        <v>#DIV/0!</v>
      </c>
    </row>
    <row r="8" spans="1:29" s="1008" customFormat="1" ht="15">
      <c r="A8" s="1053" t="s">
        <v>1399</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36" si="3">D8/F8</f>
        <v>1</v>
      </c>
      <c r="AB8" s="1068">
        <f t="shared" ref="AB8:AB36" si="4">D8/H8</f>
        <v>1</v>
      </c>
      <c r="AC8" s="1068">
        <f t="shared" ref="AC8:AC36" si="5">D8/J8</f>
        <v>1</v>
      </c>
    </row>
    <row r="9" spans="1:29" s="1008" customFormat="1">
      <c r="A9" s="1438" t="s">
        <v>1403</v>
      </c>
      <c r="B9" s="1439" t="s">
        <v>1404</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0" t="s">
        <v>1405</v>
      </c>
      <c r="Q9" s="808" t="str">
        <f t="shared" ref="Q9:Q14" si="6">B9</f>
        <v>用途</v>
      </c>
      <c r="R9" s="1064" t="s">
        <v>1398</v>
      </c>
      <c r="S9" s="1065">
        <f t="shared" si="0"/>
        <v>100</v>
      </c>
      <c r="T9" s="1064" t="s">
        <v>1398</v>
      </c>
      <c r="U9" s="1065">
        <f t="shared" si="1"/>
        <v>100</v>
      </c>
      <c r="V9" s="1064" t="s">
        <v>1398</v>
      </c>
      <c r="W9" s="1065">
        <f t="shared" si="2"/>
        <v>100</v>
      </c>
      <c r="X9" s="1066"/>
      <c r="Y9" s="3356" t="s">
        <v>1406</v>
      </c>
      <c r="Z9" s="1068" t="str">
        <f t="shared" ref="Z9:Z14" si="7">Q9</f>
        <v>用途</v>
      </c>
      <c r="AA9" s="1068">
        <f t="shared" si="3"/>
        <v>1</v>
      </c>
      <c r="AB9" s="1068">
        <f t="shared" si="4"/>
        <v>1</v>
      </c>
      <c r="AC9" s="1068">
        <f t="shared" si="5"/>
        <v>1</v>
      </c>
    </row>
    <row r="10" spans="1:29" s="1009" customFormat="1" ht="27">
      <c r="A10" s="1441"/>
      <c r="B10" s="1442" t="s">
        <v>1407</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0"/>
      <c r="Q10" s="808" t="str">
        <f t="shared" si="6"/>
        <v>土地使用年限（年）</v>
      </c>
      <c r="R10" s="1064" t="s">
        <v>1398</v>
      </c>
      <c r="S10" s="1065">
        <f t="shared" si="0"/>
        <v>100</v>
      </c>
      <c r="T10" s="1064" t="s">
        <v>1398</v>
      </c>
      <c r="U10" s="1065">
        <f t="shared" si="1"/>
        <v>100</v>
      </c>
      <c r="V10" s="1064" t="s">
        <v>1398</v>
      </c>
      <c r="W10" s="1065">
        <f t="shared" si="2"/>
        <v>100</v>
      </c>
      <c r="X10" s="1066"/>
      <c r="Y10" s="3356"/>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0"/>
      <c r="Q11" s="808">
        <f t="shared" si="6"/>
        <v>111</v>
      </c>
      <c r="R11" s="1064" t="s">
        <v>1398</v>
      </c>
      <c r="S11" s="1065">
        <f t="shared" si="0"/>
        <v>100</v>
      </c>
      <c r="T11" s="1064" t="s">
        <v>1398</v>
      </c>
      <c r="U11" s="1065">
        <f t="shared" si="1"/>
        <v>100</v>
      </c>
      <c r="V11" s="1064" t="s">
        <v>1398</v>
      </c>
      <c r="W11" s="1065">
        <f t="shared" si="2"/>
        <v>100</v>
      </c>
      <c r="X11" s="1066"/>
      <c r="Y11" s="3356"/>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0"/>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0"/>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035" t="s">
        <v>1409</v>
      </c>
      <c r="B14" s="1101" t="s">
        <v>1413</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7" t="s">
        <v>1411</v>
      </c>
      <c r="Q14" s="704" t="str">
        <f t="shared" si="6"/>
        <v>交通便捷度</v>
      </c>
      <c r="R14" s="1106" t="s">
        <v>1398</v>
      </c>
      <c r="S14" s="1107">
        <f t="shared" si="0"/>
        <v>100</v>
      </c>
      <c r="T14" s="1106" t="s">
        <v>1398</v>
      </c>
      <c r="U14" s="1107">
        <f t="shared" si="1"/>
        <v>100</v>
      </c>
      <c r="V14" s="1106" t="s">
        <v>1398</v>
      </c>
      <c r="W14" s="1107">
        <f t="shared" si="2"/>
        <v>100</v>
      </c>
      <c r="X14" s="1045"/>
      <c r="Y14" s="3387" t="s">
        <v>1411</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88"/>
      <c r="Q15" s="704"/>
      <c r="R15" s="1106"/>
      <c r="S15" s="1107"/>
      <c r="T15" s="1106"/>
      <c r="U15" s="1107"/>
      <c r="V15" s="1106"/>
      <c r="W15" s="1107"/>
      <c r="X15" s="1045"/>
      <c r="Y15" s="3388"/>
      <c r="Z15" s="1044"/>
      <c r="AA15" s="1044">
        <v>1</v>
      </c>
      <c r="AB15" s="1044">
        <v>1</v>
      </c>
      <c r="AC15" s="1044">
        <v>1</v>
      </c>
    </row>
    <row r="16" spans="1:29" ht="15">
      <c r="A16" s="1046"/>
      <c r="B16" s="1114" t="s">
        <v>1414</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88"/>
      <c r="Q16" s="704" t="str">
        <f>B16</f>
        <v>公共配套设施</v>
      </c>
      <c r="R16" s="1106" t="s">
        <v>1398</v>
      </c>
      <c r="S16" s="1107">
        <f>F16</f>
        <v>100</v>
      </c>
      <c r="T16" s="1106" t="s">
        <v>1398</v>
      </c>
      <c r="U16" s="1107">
        <f>H16</f>
        <v>100</v>
      </c>
      <c r="V16" s="1106" t="s">
        <v>1398</v>
      </c>
      <c r="W16" s="1107">
        <f>J16</f>
        <v>100</v>
      </c>
      <c r="X16" s="1045"/>
      <c r="Y16" s="3388"/>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88"/>
      <c r="Q17" s="704"/>
      <c r="R17" s="1106"/>
      <c r="S17" s="1107"/>
      <c r="T17" s="1106"/>
      <c r="U17" s="1107"/>
      <c r="V17" s="1106"/>
      <c r="W17" s="1107"/>
      <c r="X17" s="1045"/>
      <c r="Y17" s="3388"/>
      <c r="Z17" s="1044"/>
      <c r="AA17" s="1044">
        <v>1</v>
      </c>
      <c r="AB17" s="1044">
        <v>1</v>
      </c>
      <c r="AC17" s="1044">
        <v>1</v>
      </c>
    </row>
    <row r="18" spans="1:29" ht="15">
      <c r="A18" s="1046"/>
      <c r="B18" s="1124" t="s">
        <v>1415</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88"/>
      <c r="Q18" s="704" t="str">
        <f>B18</f>
        <v>基础设施水平</v>
      </c>
      <c r="R18" s="1106" t="s">
        <v>1398</v>
      </c>
      <c r="S18" s="1107">
        <f>F18</f>
        <v>100</v>
      </c>
      <c r="T18" s="1106" t="s">
        <v>1398</v>
      </c>
      <c r="U18" s="1107">
        <f>H18</f>
        <v>100</v>
      </c>
      <c r="V18" s="1106" t="s">
        <v>1398</v>
      </c>
      <c r="W18" s="1107">
        <f>J18</f>
        <v>100</v>
      </c>
      <c r="X18" s="1045"/>
      <c r="Y18" s="3388"/>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88"/>
      <c r="Q19" s="704"/>
      <c r="R19" s="1106"/>
      <c r="S19" s="1107"/>
      <c r="T19" s="1106"/>
      <c r="U19" s="1107"/>
      <c r="V19" s="1106"/>
      <c r="W19" s="1107"/>
      <c r="X19" s="1045"/>
      <c r="Y19" s="3388"/>
      <c r="Z19" s="1044"/>
      <c r="AA19" s="1044">
        <v>1</v>
      </c>
      <c r="AB19" s="1044">
        <v>1</v>
      </c>
      <c r="AC19" s="1044">
        <v>1</v>
      </c>
    </row>
    <row r="20" spans="1:29" ht="15">
      <c r="A20" s="1046"/>
      <c r="B20" s="1114" t="s">
        <v>1471</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88"/>
      <c r="Q20" s="704" t="str">
        <f>B20</f>
        <v>自然及人文环境</v>
      </c>
      <c r="R20" s="1106" t="s">
        <v>1398</v>
      </c>
      <c r="S20" s="1107">
        <f>F20</f>
        <v>100</v>
      </c>
      <c r="T20" s="1106" t="s">
        <v>1398</v>
      </c>
      <c r="U20" s="1107">
        <f>H20</f>
        <v>100</v>
      </c>
      <c r="V20" s="1106" t="s">
        <v>1398</v>
      </c>
      <c r="W20" s="1107">
        <f>J20</f>
        <v>100</v>
      </c>
      <c r="X20" s="1045"/>
      <c r="Y20" s="3388"/>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88"/>
      <c r="Q21" s="704"/>
      <c r="R21" s="1106"/>
      <c r="S21" s="1107"/>
      <c r="T21" s="1106"/>
      <c r="U21" s="1107"/>
      <c r="V21" s="1106"/>
      <c r="W21" s="1107"/>
      <c r="X21" s="1045"/>
      <c r="Y21" s="3388"/>
      <c r="Z21" s="1044"/>
      <c r="AA21" s="1044">
        <v>1</v>
      </c>
      <c r="AB21" s="1044">
        <v>1</v>
      </c>
      <c r="AC21" s="1044">
        <v>1</v>
      </c>
    </row>
    <row r="22" spans="1:29" ht="15">
      <c r="A22" s="1046"/>
      <c r="B22" s="1114" t="s">
        <v>1419</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88"/>
      <c r="Q22" s="704" t="str">
        <f>B22</f>
        <v>楼层</v>
      </c>
      <c r="R22" s="1106" t="s">
        <v>1398</v>
      </c>
      <c r="S22" s="1107">
        <f>F22</f>
        <v>100</v>
      </c>
      <c r="T22" s="1106" t="s">
        <v>1398</v>
      </c>
      <c r="U22" s="1107">
        <f>H22</f>
        <v>100</v>
      </c>
      <c r="V22" s="1106" t="s">
        <v>1398</v>
      </c>
      <c r="W22" s="1107">
        <f>J22</f>
        <v>100</v>
      </c>
      <c r="X22" s="1045"/>
      <c r="Y22" s="3388"/>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88"/>
      <c r="Q23" s="704">
        <f>B23</f>
        <v>111</v>
      </c>
      <c r="R23" s="1106" t="s">
        <v>1398</v>
      </c>
      <c r="S23" s="1107">
        <f>F23</f>
        <v>100</v>
      </c>
      <c r="T23" s="1106" t="s">
        <v>1398</v>
      </c>
      <c r="U23" s="1107">
        <f>H23</f>
        <v>100</v>
      </c>
      <c r="V23" s="1106" t="s">
        <v>1398</v>
      </c>
      <c r="W23" s="1107">
        <f>J23</f>
        <v>100</v>
      </c>
      <c r="X23" s="1045"/>
      <c r="Y23" s="3388"/>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88"/>
      <c r="Q24" s="704">
        <f t="shared" ref="Q24:Q36" si="11">B24</f>
        <v>111</v>
      </c>
      <c r="R24" s="1106" t="s">
        <v>1398</v>
      </c>
      <c r="S24" s="1107">
        <f>F24</f>
        <v>100</v>
      </c>
      <c r="T24" s="1106" t="s">
        <v>1398</v>
      </c>
      <c r="U24" s="1107">
        <f>H24</f>
        <v>100</v>
      </c>
      <c r="V24" s="1106" t="s">
        <v>1398</v>
      </c>
      <c r="W24" s="1107">
        <f>J24</f>
        <v>100</v>
      </c>
      <c r="X24" s="1045"/>
      <c r="Y24" s="3388"/>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88"/>
      <c r="Q25" s="808">
        <f t="shared" si="11"/>
        <v>111</v>
      </c>
      <c r="R25" s="1064" t="s">
        <v>1398</v>
      </c>
      <c r="S25" s="1065">
        <f>F25</f>
        <v>100</v>
      </c>
      <c r="T25" s="1064" t="s">
        <v>1398</v>
      </c>
      <c r="U25" s="1065">
        <f>H25</f>
        <v>100</v>
      </c>
      <c r="V25" s="1064" t="s">
        <v>1398</v>
      </c>
      <c r="W25" s="1065">
        <f>J25</f>
        <v>100</v>
      </c>
      <c r="X25" s="1066"/>
      <c r="Y25" s="3388"/>
      <c r="Z25" s="1068">
        <f>Q25</f>
        <v>111</v>
      </c>
      <c r="AA25" s="1044">
        <f t="shared" si="3"/>
        <v>1</v>
      </c>
      <c r="AB25" s="1044">
        <f t="shared" si="4"/>
        <v>1</v>
      </c>
      <c r="AC25" s="1044">
        <f t="shared" si="5"/>
        <v>1</v>
      </c>
    </row>
    <row r="26" spans="1:29" ht="28.5">
      <c r="A26" s="1453" t="s">
        <v>1423</v>
      </c>
      <c r="B26" s="1073" t="s">
        <v>1668</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7" t="s">
        <v>1426</v>
      </c>
      <c r="Q26" s="704" t="str">
        <f t="shared" si="11"/>
        <v>配套类型</v>
      </c>
      <c r="R26" s="1106" t="s">
        <v>1398</v>
      </c>
      <c r="S26" s="1107">
        <f t="shared" ref="S26:S36" si="12">F26</f>
        <v>0</v>
      </c>
      <c r="T26" s="1106" t="s">
        <v>1398</v>
      </c>
      <c r="U26" s="1107">
        <f t="shared" ref="U26:U36" si="13">H26</f>
        <v>0</v>
      </c>
      <c r="V26" s="1106" t="s">
        <v>1398</v>
      </c>
      <c r="W26" s="1107">
        <f t="shared" ref="W26:W36" si="14">J26</f>
        <v>0</v>
      </c>
      <c r="X26" s="1045"/>
      <c r="Y26" s="3389" t="s">
        <v>1426</v>
      </c>
      <c r="Z26" s="1044" t="str">
        <f t="shared" ref="Z26:Z36" si="15">Q26</f>
        <v>配套类型</v>
      </c>
      <c r="AA26" s="1044" t="e">
        <f t="shared" si="3"/>
        <v>#DIV/0!</v>
      </c>
      <c r="AB26" s="1044" t="e">
        <f t="shared" si="4"/>
        <v>#DIV/0!</v>
      </c>
      <c r="AC26" s="1044" t="e">
        <f t="shared" si="5"/>
        <v>#DIV/0!</v>
      </c>
    </row>
    <row r="27" spans="1:29" s="1010" customFormat="1" ht="15">
      <c r="A27" s="1455"/>
      <c r="B27" s="1078" t="s">
        <v>1669</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89"/>
      <c r="Q27" s="1403" t="str">
        <f t="shared" si="11"/>
        <v>项目停车位配比</v>
      </c>
      <c r="R27" s="1144" t="s">
        <v>1398</v>
      </c>
      <c r="S27" s="1145">
        <f t="shared" si="12"/>
        <v>100</v>
      </c>
      <c r="T27" s="1144" t="s">
        <v>1398</v>
      </c>
      <c r="U27" s="1145">
        <f t="shared" si="13"/>
        <v>100</v>
      </c>
      <c r="V27" s="1144" t="s">
        <v>1398</v>
      </c>
      <c r="W27" s="1145">
        <f t="shared" si="14"/>
        <v>100</v>
      </c>
      <c r="X27" s="1146"/>
      <c r="Y27" s="3389"/>
      <c r="Z27" s="1147" t="str">
        <f t="shared" si="15"/>
        <v>项目停车位配比</v>
      </c>
      <c r="AA27" s="1044">
        <f t="shared" si="3"/>
        <v>1</v>
      </c>
      <c r="AB27" s="1044">
        <f t="shared" si="4"/>
        <v>1</v>
      </c>
      <c r="AC27" s="1044">
        <f t="shared" si="5"/>
        <v>1</v>
      </c>
    </row>
    <row r="28" spans="1:29" ht="15">
      <c r="A28" s="1457"/>
      <c r="B28" s="1078" t="s">
        <v>1430</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89"/>
      <c r="Q28" s="704" t="str">
        <f t="shared" si="11"/>
        <v>公共部分装修</v>
      </c>
      <c r="R28" s="1106" t="s">
        <v>1398</v>
      </c>
      <c r="S28" s="1107">
        <f t="shared" si="12"/>
        <v>100</v>
      </c>
      <c r="T28" s="1106" t="s">
        <v>1398</v>
      </c>
      <c r="U28" s="1107">
        <f t="shared" si="13"/>
        <v>100</v>
      </c>
      <c r="V28" s="1106" t="s">
        <v>1398</v>
      </c>
      <c r="W28" s="1107">
        <f t="shared" si="14"/>
        <v>100</v>
      </c>
      <c r="X28" s="1045"/>
      <c r="Y28" s="3389"/>
      <c r="Z28" s="1044" t="str">
        <f t="shared" si="15"/>
        <v>公共部分装修</v>
      </c>
      <c r="AA28" s="1044">
        <f t="shared" si="3"/>
        <v>1</v>
      </c>
      <c r="AB28" s="1044">
        <f t="shared" si="4"/>
        <v>1</v>
      </c>
      <c r="AC28" s="1044">
        <f t="shared" si="5"/>
        <v>1</v>
      </c>
    </row>
    <row r="29" spans="1:29" ht="15">
      <c r="A29" s="1457"/>
      <c r="B29" s="1078" t="s">
        <v>1670</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89"/>
      <c r="Q29" s="704" t="str">
        <f t="shared" si="11"/>
        <v>成新率</v>
      </c>
      <c r="R29" s="1106" t="s">
        <v>1398</v>
      </c>
      <c r="S29" s="1107" t="e">
        <f t="shared" si="12"/>
        <v>#N/A</v>
      </c>
      <c r="T29" s="1106" t="s">
        <v>1398</v>
      </c>
      <c r="U29" s="1107" t="e">
        <f t="shared" si="13"/>
        <v>#N/A</v>
      </c>
      <c r="V29" s="1106" t="s">
        <v>1398</v>
      </c>
      <c r="W29" s="1107" t="e">
        <f t="shared" si="14"/>
        <v>#N/A</v>
      </c>
      <c r="X29" s="1045"/>
      <c r="Y29" s="3389"/>
      <c r="Z29" s="1044" t="str">
        <f t="shared" si="15"/>
        <v>成新率</v>
      </c>
      <c r="AA29" s="1044" t="e">
        <f t="shared" si="3"/>
        <v>#N/A</v>
      </c>
      <c r="AB29" s="1044" t="e">
        <f t="shared" si="4"/>
        <v>#N/A</v>
      </c>
      <c r="AC29" s="1044" t="e">
        <f t="shared" si="5"/>
        <v>#N/A</v>
      </c>
    </row>
    <row r="30" spans="1:29" ht="15">
      <c r="A30" s="1457"/>
      <c r="B30" s="1078" t="s">
        <v>1671</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89"/>
      <c r="Q30" s="704" t="str">
        <f t="shared" si="11"/>
        <v>物业等级</v>
      </c>
      <c r="R30" s="1106" t="s">
        <v>1398</v>
      </c>
      <c r="S30" s="1107">
        <f t="shared" si="12"/>
        <v>100</v>
      </c>
      <c r="T30" s="1106" t="s">
        <v>1398</v>
      </c>
      <c r="U30" s="1107">
        <f t="shared" si="13"/>
        <v>100</v>
      </c>
      <c r="V30" s="1106" t="s">
        <v>1398</v>
      </c>
      <c r="W30" s="1107">
        <f t="shared" si="14"/>
        <v>100</v>
      </c>
      <c r="X30" s="1045"/>
      <c r="Y30" s="3389"/>
      <c r="Z30" s="1044" t="str">
        <f t="shared" si="15"/>
        <v>物业等级</v>
      </c>
      <c r="AA30" s="1044">
        <f t="shared" si="3"/>
        <v>1</v>
      </c>
      <c r="AB30" s="1044">
        <f t="shared" si="4"/>
        <v>1</v>
      </c>
      <c r="AC30" s="1044">
        <f t="shared" si="5"/>
        <v>1</v>
      </c>
    </row>
    <row r="31" spans="1:29" s="1008" customFormat="1" ht="15">
      <c r="A31" s="1458"/>
      <c r="B31" s="1078" t="s">
        <v>1672</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89"/>
      <c r="Q31" s="808" t="str">
        <f t="shared" si="11"/>
        <v>停车位面积</v>
      </c>
      <c r="R31" s="1064" t="s">
        <v>1398</v>
      </c>
      <c r="S31" s="1065" t="e">
        <f t="shared" si="12"/>
        <v>#N/A</v>
      </c>
      <c r="T31" s="1064" t="s">
        <v>1398</v>
      </c>
      <c r="U31" s="1065" t="e">
        <f t="shared" si="13"/>
        <v>#N/A</v>
      </c>
      <c r="V31" s="1064" t="s">
        <v>1398</v>
      </c>
      <c r="W31" s="1065" t="e">
        <f t="shared" si="14"/>
        <v>#N/A</v>
      </c>
      <c r="X31" s="1066"/>
      <c r="Y31" s="3389"/>
      <c r="Z31" s="1068" t="str">
        <f t="shared" si="15"/>
        <v>停车位面积</v>
      </c>
      <c r="AA31" s="1068" t="e">
        <f t="shared" si="3"/>
        <v>#N/A</v>
      </c>
      <c r="AB31" s="1068" t="e">
        <f t="shared" si="4"/>
        <v>#N/A</v>
      </c>
      <c r="AC31" s="1068" t="e">
        <f t="shared" si="5"/>
        <v>#N/A</v>
      </c>
    </row>
    <row r="32" spans="1:29" ht="15">
      <c r="A32" s="1457"/>
      <c r="B32" s="1078" t="s">
        <v>1673</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89" t="s">
        <v>1426</v>
      </c>
      <c r="Q32" s="704" t="str">
        <f t="shared" si="11"/>
        <v>车位类型</v>
      </c>
      <c r="R32" s="1106" t="s">
        <v>1398</v>
      </c>
      <c r="S32" s="1107">
        <f t="shared" si="12"/>
        <v>100</v>
      </c>
      <c r="T32" s="1106" t="s">
        <v>1398</v>
      </c>
      <c r="U32" s="1107">
        <f t="shared" si="13"/>
        <v>100</v>
      </c>
      <c r="V32" s="1106" t="s">
        <v>1398</v>
      </c>
      <c r="W32" s="1107">
        <f t="shared" si="14"/>
        <v>100</v>
      </c>
      <c r="X32" s="1045"/>
      <c r="Y32" s="3389" t="s">
        <v>1426</v>
      </c>
      <c r="Z32" s="1044" t="str">
        <f t="shared" si="15"/>
        <v>车位类型</v>
      </c>
      <c r="AA32" s="1044">
        <f t="shared" si="3"/>
        <v>1</v>
      </c>
      <c r="AB32" s="1044">
        <f t="shared" si="4"/>
        <v>1</v>
      </c>
      <c r="AC32" s="1044">
        <f t="shared" si="5"/>
        <v>1</v>
      </c>
    </row>
    <row r="33" spans="1:29" ht="15">
      <c r="A33" s="1457"/>
      <c r="B33" s="1078" t="s">
        <v>1674</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89"/>
      <c r="Q33" s="704" t="str">
        <f t="shared" si="11"/>
        <v>是否直接入户</v>
      </c>
      <c r="R33" s="1106" t="s">
        <v>1398</v>
      </c>
      <c r="S33" s="1107">
        <f t="shared" si="12"/>
        <v>100</v>
      </c>
      <c r="T33" s="1106" t="s">
        <v>1398</v>
      </c>
      <c r="U33" s="1107">
        <f t="shared" si="13"/>
        <v>100</v>
      </c>
      <c r="V33" s="1106" t="s">
        <v>1398</v>
      </c>
      <c r="W33" s="1107">
        <f t="shared" si="14"/>
        <v>100</v>
      </c>
      <c r="X33" s="1045"/>
      <c r="Y33" s="3389"/>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89"/>
      <c r="Q34" s="704">
        <f t="shared" si="11"/>
        <v>111</v>
      </c>
      <c r="R34" s="1106" t="s">
        <v>1398</v>
      </c>
      <c r="S34" s="1107">
        <f t="shared" si="12"/>
        <v>100</v>
      </c>
      <c r="T34" s="1106" t="s">
        <v>1398</v>
      </c>
      <c r="U34" s="1107">
        <f t="shared" si="13"/>
        <v>100</v>
      </c>
      <c r="V34" s="1106" t="s">
        <v>1398</v>
      </c>
      <c r="W34" s="1107">
        <f t="shared" si="14"/>
        <v>100</v>
      </c>
      <c r="X34" s="1045"/>
      <c r="Y34" s="3389"/>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89"/>
      <c r="Q35" s="1403">
        <f t="shared" si="11"/>
        <v>111</v>
      </c>
      <c r="R35" s="1144" t="s">
        <v>1398</v>
      </c>
      <c r="S35" s="1145">
        <f t="shared" si="12"/>
        <v>100</v>
      </c>
      <c r="T35" s="1144" t="s">
        <v>1398</v>
      </c>
      <c r="U35" s="1145">
        <f t="shared" si="13"/>
        <v>100</v>
      </c>
      <c r="V35" s="1144" t="s">
        <v>1398</v>
      </c>
      <c r="W35" s="1145">
        <f t="shared" si="14"/>
        <v>100</v>
      </c>
      <c r="X35" s="1146"/>
      <c r="Y35" s="3389"/>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89"/>
      <c r="Q36" s="704">
        <f t="shared" si="11"/>
        <v>111</v>
      </c>
      <c r="R36" s="1106" t="s">
        <v>1398</v>
      </c>
      <c r="S36" s="1107">
        <f t="shared" si="12"/>
        <v>100</v>
      </c>
      <c r="T36" s="1106" t="s">
        <v>1398</v>
      </c>
      <c r="U36" s="1107">
        <f t="shared" si="13"/>
        <v>100</v>
      </c>
      <c r="V36" s="1106" t="s">
        <v>1398</v>
      </c>
      <c r="W36" s="1107">
        <f t="shared" si="14"/>
        <v>100</v>
      </c>
      <c r="X36" s="1045"/>
      <c r="Y36" s="3389"/>
      <c r="Z36" s="1044">
        <f t="shared" si="15"/>
        <v>111</v>
      </c>
      <c r="AA36" s="1044">
        <f t="shared" si="3"/>
        <v>1</v>
      </c>
      <c r="AB36" s="1044">
        <f t="shared" si="4"/>
        <v>1</v>
      </c>
      <c r="AC36" s="1044">
        <f t="shared" si="5"/>
        <v>1</v>
      </c>
    </row>
    <row r="37" spans="1:29" ht="15">
      <c r="A37" s="1159" t="s">
        <v>1675</v>
      </c>
      <c r="B37" s="1460" t="s">
        <v>1676</v>
      </c>
      <c r="C37" s="1409" t="s">
        <v>124</v>
      </c>
      <c r="D37" s="1162"/>
      <c r="E37" s="1163"/>
      <c r="F37" s="1164"/>
      <c r="G37" s="1165"/>
      <c r="H37" s="1166"/>
      <c r="I37" s="1163"/>
      <c r="J37" s="1166"/>
      <c r="K37" s="1461"/>
      <c r="L37" s="1168"/>
      <c r="M37" s="1041"/>
      <c r="N37" s="1041"/>
      <c r="O37" s="1041"/>
      <c r="P37" s="3380" t="str">
        <f>A37</f>
        <v>成交单价</v>
      </c>
      <c r="Q37" s="3380"/>
      <c r="R37" s="3381">
        <f>E37</f>
        <v>0</v>
      </c>
      <c r="S37" s="3381"/>
      <c r="T37" s="3381">
        <f>G37</f>
        <v>0</v>
      </c>
      <c r="U37" s="3381"/>
      <c r="V37" s="3381">
        <f>I37</f>
        <v>0</v>
      </c>
      <c r="W37" s="3381"/>
      <c r="X37" s="1169"/>
      <c r="Y37" s="1170"/>
      <c r="Z37" s="1169"/>
      <c r="AA37" s="1169"/>
      <c r="AB37" s="1169"/>
      <c r="AC37" s="1169"/>
    </row>
    <row r="38" spans="1:29" ht="15">
      <c r="A38" s="1171" t="s">
        <v>1443</v>
      </c>
      <c r="B38" s="1410" t="str">
        <f>B37</f>
        <v>元/平方米</v>
      </c>
      <c r="C38" s="1411" t="e">
        <f>R39</f>
        <v>#DIV/0!</v>
      </c>
      <c r="D38" s="1174" t="s">
        <v>1444</v>
      </c>
      <c r="E38" s="1412" t="e">
        <f>R38</f>
        <v>#DIV/0!</v>
      </c>
      <c r="F38" s="1175"/>
      <c r="G38" s="1411" t="e">
        <f>T38</f>
        <v>#DIV/0!</v>
      </c>
      <c r="H38" s="1175"/>
      <c r="I38" s="1412" t="e">
        <f>V38</f>
        <v>#DIV/0!</v>
      </c>
      <c r="J38" s="1175"/>
      <c r="K38" s="1177">
        <f>F38+H38+J38</f>
        <v>0</v>
      </c>
      <c r="L38" s="1168"/>
      <c r="M38" s="1041"/>
      <c r="N38" s="1041"/>
      <c r="O38" s="1041"/>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69"/>
      <c r="Y38" s="1169"/>
      <c r="Z38" s="1169"/>
      <c r="AA38" s="1169"/>
      <c r="AB38" s="1169"/>
      <c r="AC38" s="1169"/>
    </row>
    <row r="39" spans="1:29" ht="15">
      <c r="A39" s="1178" t="s">
        <v>1677</v>
      </c>
      <c r="B39" s="1179"/>
      <c r="C39" s="1050" t="e">
        <f>R39</f>
        <v>#DIV/0!</v>
      </c>
      <c r="D39" s="1050"/>
      <c r="E39" s="1050"/>
      <c r="F39" s="1050"/>
      <c r="G39" s="1050"/>
      <c r="H39" s="1050"/>
      <c r="I39" s="1050"/>
      <c r="J39" s="1050"/>
      <c r="K39" s="1462"/>
      <c r="L39" s="1168"/>
      <c r="M39" s="1041"/>
      <c r="N39" s="1041"/>
      <c r="O39" s="1041"/>
      <c r="P39" s="3416" t="str">
        <f>A39</f>
        <v>估价对象XX用房的比较价值（楼面单价，元/平方米）</v>
      </c>
      <c r="Q39" s="3417"/>
      <c r="R39" s="3448" t="e">
        <f>IF(F1="售价",ROUND(IF(D38="简单平均",AVERAGE(R38:W38),R38*F38+T38*H38+V38*J38),0),ROUND(IF(D38="简单平均",AVERAGE(R38:V38),R38*F38+T38*H38+V38*J38),1))</f>
        <v>#DIV/0!</v>
      </c>
      <c r="S39" s="3448"/>
      <c r="T39" s="3448"/>
      <c r="U39" s="3448"/>
      <c r="V39" s="3448"/>
      <c r="W39" s="3448"/>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1446</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1447</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1448</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1449</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1396</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1450</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1399</v>
      </c>
      <c r="B51" s="1253"/>
      <c r="C51" s="1254" t="s">
        <v>1451</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1452</v>
      </c>
      <c r="B53" s="1262" t="s">
        <v>1404</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1407</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1409</v>
      </c>
      <c r="B63" s="1262" t="s">
        <v>1413</v>
      </c>
      <c r="C63" s="1305" t="s">
        <v>1453</v>
      </c>
      <c r="D63" s="1305" t="s">
        <v>1454</v>
      </c>
      <c r="E63" s="1305" t="s">
        <v>1455</v>
      </c>
      <c r="F63" s="1305" t="s">
        <v>1456</v>
      </c>
      <c r="G63" s="1305" t="s">
        <v>1457</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1414</v>
      </c>
      <c r="C65" s="1310" t="s">
        <v>1453</v>
      </c>
      <c r="D65" s="1310" t="s">
        <v>1454</v>
      </c>
      <c r="E65" s="1310" t="s">
        <v>1455</v>
      </c>
      <c r="F65" s="1310" t="s">
        <v>1456</v>
      </c>
      <c r="G65" s="1310" t="s">
        <v>1457</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1415</v>
      </c>
      <c r="C67" s="1113" t="s">
        <v>1458</v>
      </c>
      <c r="D67" s="1113" t="s">
        <v>1459</v>
      </c>
      <c r="E67" s="1113" t="s">
        <v>1460</v>
      </c>
      <c r="F67" s="1113" t="s">
        <v>1461</v>
      </c>
      <c r="G67" s="1113" t="s">
        <v>1462</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1471</v>
      </c>
      <c r="C69" s="1310" t="s">
        <v>1453</v>
      </c>
      <c r="D69" s="1310" t="s">
        <v>1454</v>
      </c>
      <c r="E69" s="1310" t="s">
        <v>1455</v>
      </c>
      <c r="F69" s="1310" t="s">
        <v>1456</v>
      </c>
      <c r="G69" s="1310" t="s">
        <v>1457</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1419</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1423</v>
      </c>
      <c r="B79" s="1262" t="s">
        <v>1678</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1669</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1430</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1670</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1671</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1672</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1673</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1674</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1679</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IF(C2="——",C37,ROUND(B2*10000/D3,0))</f>
        <v>#DIV/0!</v>
      </c>
      <c r="C3" s="1386" t="s">
        <v>1385</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7" t="s">
        <v>1397</v>
      </c>
      <c r="Q7" s="3376"/>
      <c r="R7" s="1064" t="s">
        <v>1398</v>
      </c>
      <c r="S7" s="1065">
        <f t="shared" ref="S7:S14" si="0">F7</f>
        <v>0</v>
      </c>
      <c r="T7" s="1064" t="s">
        <v>1398</v>
      </c>
      <c r="U7" s="1065">
        <f t="shared" ref="U7:U14" si="1">H7</f>
        <v>0</v>
      </c>
      <c r="V7" s="1064" t="s">
        <v>1398</v>
      </c>
      <c r="W7" s="1065">
        <f t="shared" ref="W7:W14" si="2">J7</f>
        <v>0</v>
      </c>
      <c r="X7" s="1066"/>
      <c r="Y7" s="3377" t="s">
        <v>1397</v>
      </c>
      <c r="Z7" s="3378"/>
      <c r="AA7" s="1068" t="e">
        <f>D7/F7</f>
        <v>#DIV/0!</v>
      </c>
      <c r="AB7" s="1068" t="e">
        <f>D7/H7</f>
        <v>#DIV/0!</v>
      </c>
      <c r="AC7" s="1068" t="e">
        <f>D7/J7</f>
        <v>#DIV/0!</v>
      </c>
    </row>
    <row r="8" spans="1:29" s="1008" customFormat="1" ht="15">
      <c r="A8" s="1053" t="s">
        <v>1399</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34" si="3">D8/F8</f>
        <v>1</v>
      </c>
      <c r="AB8" s="1068">
        <f t="shared" ref="AB8:AB34" si="4">D8/H8</f>
        <v>1</v>
      </c>
      <c r="AC8" s="1068">
        <f t="shared" ref="AC8:AC34" si="5">D8/J8</f>
        <v>1</v>
      </c>
    </row>
    <row r="9" spans="1:29" s="1008" customFormat="1">
      <c r="A9" s="1070" t="s">
        <v>1403</v>
      </c>
      <c r="B9" s="1071" t="s">
        <v>1404</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0" t="s">
        <v>1405</v>
      </c>
      <c r="Q9" s="808" t="str">
        <f t="shared" ref="Q9:Q14" si="6">B9</f>
        <v>用途</v>
      </c>
      <c r="R9" s="1064" t="s">
        <v>1398</v>
      </c>
      <c r="S9" s="1065">
        <f t="shared" si="0"/>
        <v>100</v>
      </c>
      <c r="T9" s="1064" t="s">
        <v>1398</v>
      </c>
      <c r="U9" s="1065">
        <f t="shared" si="1"/>
        <v>100</v>
      </c>
      <c r="V9" s="1064" t="s">
        <v>1398</v>
      </c>
      <c r="W9" s="1065">
        <f t="shared" si="2"/>
        <v>100</v>
      </c>
      <c r="X9" s="1066"/>
      <c r="Y9" s="3356" t="s">
        <v>1406</v>
      </c>
      <c r="Z9" s="1068" t="str">
        <f t="shared" ref="Z9:Z14" si="7">Q9</f>
        <v>用途</v>
      </c>
      <c r="AA9" s="1068">
        <f t="shared" si="3"/>
        <v>1</v>
      </c>
      <c r="AB9" s="1068">
        <f t="shared" si="4"/>
        <v>1</v>
      </c>
      <c r="AC9" s="1068">
        <f t="shared" si="5"/>
        <v>1</v>
      </c>
    </row>
    <row r="10" spans="1:29" s="1009" customFormat="1" ht="27">
      <c r="A10" s="1075"/>
      <c r="B10" s="1076" t="s">
        <v>1407</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0"/>
      <c r="Q10" s="808" t="str">
        <f t="shared" si="6"/>
        <v>土地使用年限（年）</v>
      </c>
      <c r="R10" s="1064" t="s">
        <v>1398</v>
      </c>
      <c r="S10" s="1065">
        <f t="shared" si="0"/>
        <v>100</v>
      </c>
      <c r="T10" s="1064" t="s">
        <v>1398</v>
      </c>
      <c r="U10" s="1065">
        <f t="shared" si="1"/>
        <v>100</v>
      </c>
      <c r="V10" s="1064" t="s">
        <v>1398</v>
      </c>
      <c r="W10" s="1065">
        <f t="shared" si="2"/>
        <v>100</v>
      </c>
      <c r="X10" s="1066"/>
      <c r="Y10" s="3356"/>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0"/>
      <c r="Q11" s="808">
        <f t="shared" si="6"/>
        <v>111</v>
      </c>
      <c r="R11" s="1064" t="s">
        <v>1398</v>
      </c>
      <c r="S11" s="1065">
        <f t="shared" si="0"/>
        <v>100</v>
      </c>
      <c r="T11" s="1064" t="s">
        <v>1398</v>
      </c>
      <c r="U11" s="1065">
        <f t="shared" si="1"/>
        <v>100</v>
      </c>
      <c r="V11" s="1064" t="s">
        <v>1398</v>
      </c>
      <c r="W11" s="1065">
        <f t="shared" si="2"/>
        <v>100</v>
      </c>
      <c r="X11" s="1066"/>
      <c r="Y11" s="3356"/>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0"/>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0"/>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100" t="s">
        <v>1409</v>
      </c>
      <c r="B14" s="1341" t="s">
        <v>1413</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7" t="s">
        <v>1411</v>
      </c>
      <c r="Q14" s="704" t="str">
        <f t="shared" si="6"/>
        <v>交通便捷度</v>
      </c>
      <c r="R14" s="1106" t="s">
        <v>1398</v>
      </c>
      <c r="S14" s="1107">
        <f t="shared" si="0"/>
        <v>100</v>
      </c>
      <c r="T14" s="1106" t="s">
        <v>1398</v>
      </c>
      <c r="U14" s="1107">
        <f t="shared" si="1"/>
        <v>100</v>
      </c>
      <c r="V14" s="1106" t="s">
        <v>1398</v>
      </c>
      <c r="W14" s="1107">
        <f t="shared" si="2"/>
        <v>100</v>
      </c>
      <c r="X14" s="1045"/>
      <c r="Y14" s="3387" t="s">
        <v>1411</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88"/>
      <c r="Q15" s="704"/>
      <c r="R15" s="1106"/>
      <c r="S15" s="1107"/>
      <c r="T15" s="1106"/>
      <c r="U15" s="1107"/>
      <c r="V15" s="1106"/>
      <c r="W15" s="1107"/>
      <c r="X15" s="1045"/>
      <c r="Y15" s="3388"/>
      <c r="Z15" s="1044"/>
      <c r="AA15" s="1044">
        <v>1</v>
      </c>
      <c r="AB15" s="1044">
        <v>1</v>
      </c>
      <c r="AC15" s="1044">
        <v>1</v>
      </c>
    </row>
    <row r="16" spans="1:29" ht="15">
      <c r="A16" s="1083"/>
      <c r="B16" s="1343" t="s">
        <v>1414</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88"/>
      <c r="Q16" s="704" t="str">
        <f>B16</f>
        <v>公共配套设施</v>
      </c>
      <c r="R16" s="1106" t="s">
        <v>1398</v>
      </c>
      <c r="S16" s="1107">
        <f>F16</f>
        <v>100</v>
      </c>
      <c r="T16" s="1106" t="s">
        <v>1398</v>
      </c>
      <c r="U16" s="1107">
        <f>H16</f>
        <v>100</v>
      </c>
      <c r="V16" s="1106" t="s">
        <v>1398</v>
      </c>
      <c r="W16" s="1107">
        <f>J16</f>
        <v>100</v>
      </c>
      <c r="X16" s="1045"/>
      <c r="Y16" s="3388"/>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88"/>
      <c r="Q17" s="704"/>
      <c r="R17" s="1106"/>
      <c r="S17" s="1107"/>
      <c r="T17" s="1106"/>
      <c r="U17" s="1107"/>
      <c r="V17" s="1106"/>
      <c r="W17" s="1107"/>
      <c r="X17" s="1045"/>
      <c r="Y17" s="3388"/>
      <c r="Z17" s="1044"/>
      <c r="AA17" s="1044">
        <v>1</v>
      </c>
      <c r="AB17" s="1044">
        <v>1</v>
      </c>
      <c r="AC17" s="1044">
        <v>1</v>
      </c>
    </row>
    <row r="18" spans="1:29" ht="15">
      <c r="A18" s="1083"/>
      <c r="B18" s="1349" t="s">
        <v>1415</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88"/>
      <c r="Q18" s="704" t="str">
        <f>B18</f>
        <v>基础设施水平</v>
      </c>
      <c r="R18" s="1106" t="s">
        <v>1398</v>
      </c>
      <c r="S18" s="1107">
        <f>F18</f>
        <v>100</v>
      </c>
      <c r="T18" s="1106" t="s">
        <v>1398</v>
      </c>
      <c r="U18" s="1107">
        <f>H18</f>
        <v>100</v>
      </c>
      <c r="V18" s="1106" t="s">
        <v>1398</v>
      </c>
      <c r="W18" s="1107">
        <f>J18</f>
        <v>100</v>
      </c>
      <c r="X18" s="1045"/>
      <c r="Y18" s="3388"/>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88"/>
      <c r="Q19" s="704"/>
      <c r="R19" s="1106"/>
      <c r="S19" s="1107"/>
      <c r="T19" s="1106"/>
      <c r="U19" s="1107"/>
      <c r="V19" s="1106"/>
      <c r="W19" s="1107"/>
      <c r="X19" s="1045"/>
      <c r="Y19" s="3388"/>
      <c r="Z19" s="1044"/>
      <c r="AA19" s="1044">
        <v>1</v>
      </c>
      <c r="AB19" s="1044">
        <v>1</v>
      </c>
      <c r="AC19" s="1044">
        <v>1</v>
      </c>
    </row>
    <row r="20" spans="1:29" ht="15">
      <c r="A20" s="1083"/>
      <c r="B20" s="1343" t="s">
        <v>1471</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88"/>
      <c r="Q20" s="704" t="str">
        <f>B20</f>
        <v>自然及人文环境</v>
      </c>
      <c r="R20" s="1106" t="s">
        <v>1398</v>
      </c>
      <c r="S20" s="1107">
        <f>F20</f>
        <v>100</v>
      </c>
      <c r="T20" s="1106" t="s">
        <v>1398</v>
      </c>
      <c r="U20" s="1107">
        <f>H20</f>
        <v>100</v>
      </c>
      <c r="V20" s="1106" t="s">
        <v>1398</v>
      </c>
      <c r="W20" s="1107">
        <f>J20</f>
        <v>100</v>
      </c>
      <c r="X20" s="1045"/>
      <c r="Y20" s="3388"/>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88"/>
      <c r="Q21" s="704"/>
      <c r="R21" s="1106"/>
      <c r="S21" s="1107"/>
      <c r="T21" s="1106"/>
      <c r="U21" s="1107"/>
      <c r="V21" s="1106"/>
      <c r="W21" s="1107"/>
      <c r="X21" s="1045"/>
      <c r="Y21" s="3388"/>
      <c r="Z21" s="1044"/>
      <c r="AA21" s="1044">
        <v>1</v>
      </c>
      <c r="AB21" s="1044">
        <v>1</v>
      </c>
      <c r="AC21" s="1044">
        <v>1</v>
      </c>
    </row>
    <row r="22" spans="1:29" ht="15">
      <c r="A22" s="1083"/>
      <c r="B22" s="1343" t="s">
        <v>1419</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88"/>
      <c r="Q22" s="704" t="str">
        <f>B22</f>
        <v>楼层</v>
      </c>
      <c r="R22" s="1106" t="s">
        <v>1398</v>
      </c>
      <c r="S22" s="1107">
        <f>F22</f>
        <v>100</v>
      </c>
      <c r="T22" s="1106" t="s">
        <v>1398</v>
      </c>
      <c r="U22" s="1107">
        <f>H22</f>
        <v>100</v>
      </c>
      <c r="V22" s="1106" t="s">
        <v>1398</v>
      </c>
      <c r="W22" s="1107">
        <f>J22</f>
        <v>100</v>
      </c>
      <c r="X22" s="1045"/>
      <c r="Y22" s="3388"/>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88"/>
      <c r="Q23" s="704">
        <f>B23</f>
        <v>111</v>
      </c>
      <c r="R23" s="1106" t="s">
        <v>1398</v>
      </c>
      <c r="S23" s="1107">
        <f>F23</f>
        <v>100</v>
      </c>
      <c r="T23" s="1106" t="s">
        <v>1398</v>
      </c>
      <c r="U23" s="1107">
        <f>H23</f>
        <v>100</v>
      </c>
      <c r="V23" s="1106" t="s">
        <v>1398</v>
      </c>
      <c r="W23" s="1107">
        <f>J23</f>
        <v>100</v>
      </c>
      <c r="X23" s="1045"/>
      <c r="Y23" s="3388"/>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88"/>
      <c r="Q24" s="704">
        <f t="shared" ref="Q24:Q34" si="11">B24</f>
        <v>111</v>
      </c>
      <c r="R24" s="1106" t="s">
        <v>1398</v>
      </c>
      <c r="S24" s="1107">
        <f>F24</f>
        <v>100</v>
      </c>
      <c r="T24" s="1106" t="s">
        <v>1398</v>
      </c>
      <c r="U24" s="1107">
        <f>H24</f>
        <v>100</v>
      </c>
      <c r="V24" s="1106" t="s">
        <v>1398</v>
      </c>
      <c r="W24" s="1107">
        <f>J24</f>
        <v>100</v>
      </c>
      <c r="X24" s="1045"/>
      <c r="Y24" s="3388"/>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88"/>
      <c r="Q25" s="808">
        <f t="shared" si="11"/>
        <v>111</v>
      </c>
      <c r="R25" s="1064" t="s">
        <v>1398</v>
      </c>
      <c r="S25" s="1065">
        <f>F25</f>
        <v>100</v>
      </c>
      <c r="T25" s="1064" t="s">
        <v>1398</v>
      </c>
      <c r="U25" s="1065">
        <f>H25</f>
        <v>100</v>
      </c>
      <c r="V25" s="1064" t="s">
        <v>1398</v>
      </c>
      <c r="W25" s="1065">
        <f>J25</f>
        <v>100</v>
      </c>
      <c r="X25" s="1066"/>
      <c r="Y25" s="3388"/>
      <c r="Z25" s="1068">
        <f>Q25</f>
        <v>111</v>
      </c>
      <c r="AA25" s="1044">
        <f t="shared" si="3"/>
        <v>1</v>
      </c>
      <c r="AB25" s="1044">
        <f t="shared" si="4"/>
        <v>1</v>
      </c>
      <c r="AC25" s="1044">
        <f t="shared" si="5"/>
        <v>1</v>
      </c>
    </row>
    <row r="26" spans="1:29" ht="28.5">
      <c r="A26" s="1398" t="s">
        <v>1423</v>
      </c>
      <c r="B26" s="1071" t="s">
        <v>1430</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7" t="s">
        <v>1426</v>
      </c>
      <c r="Q26" s="704" t="str">
        <f t="shared" si="11"/>
        <v>公共部分装修</v>
      </c>
      <c r="R26" s="1106" t="s">
        <v>1398</v>
      </c>
      <c r="S26" s="1107">
        <f t="shared" ref="S26:S34" si="12">F26</f>
        <v>100</v>
      </c>
      <c r="T26" s="1106" t="s">
        <v>1398</v>
      </c>
      <c r="U26" s="1107">
        <f t="shared" ref="U26:U34" si="13">H26</f>
        <v>100</v>
      </c>
      <c r="V26" s="1106" t="s">
        <v>1398</v>
      </c>
      <c r="W26" s="1107">
        <f t="shared" ref="W26:W34" si="14">J26</f>
        <v>100</v>
      </c>
      <c r="X26" s="1045"/>
      <c r="Y26" s="3389" t="s">
        <v>1426</v>
      </c>
      <c r="Z26" s="1044" t="str">
        <f t="shared" ref="Z26:Z34" si="15">Q26</f>
        <v>公共部分装修</v>
      </c>
      <c r="AA26" s="1044">
        <f t="shared" si="3"/>
        <v>1</v>
      </c>
      <c r="AB26" s="1044">
        <f t="shared" si="4"/>
        <v>1</v>
      </c>
      <c r="AC26" s="1044">
        <f t="shared" si="5"/>
        <v>1</v>
      </c>
    </row>
    <row r="27" spans="1:29" s="1010" customFormat="1" ht="15">
      <c r="A27" s="1156"/>
      <c r="B27" s="1076" t="s">
        <v>1670</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89"/>
      <c r="Q27" s="1403" t="str">
        <f t="shared" si="11"/>
        <v>成新率</v>
      </c>
      <c r="R27" s="1144" t="s">
        <v>1398</v>
      </c>
      <c r="S27" s="1145" t="e">
        <f t="shared" si="12"/>
        <v>#N/A</v>
      </c>
      <c r="T27" s="1144" t="s">
        <v>1398</v>
      </c>
      <c r="U27" s="1145" t="e">
        <f t="shared" si="13"/>
        <v>#N/A</v>
      </c>
      <c r="V27" s="1144" t="s">
        <v>1398</v>
      </c>
      <c r="W27" s="1145" t="e">
        <f t="shared" si="14"/>
        <v>#N/A</v>
      </c>
      <c r="X27" s="1146"/>
      <c r="Y27" s="3389"/>
      <c r="Z27" s="1147" t="str">
        <f t="shared" si="15"/>
        <v>成新率</v>
      </c>
      <c r="AA27" s="1044" t="e">
        <f t="shared" si="3"/>
        <v>#N/A</v>
      </c>
      <c r="AB27" s="1044" t="e">
        <f t="shared" si="4"/>
        <v>#N/A</v>
      </c>
      <c r="AC27" s="1044" t="e">
        <f t="shared" si="5"/>
        <v>#N/A</v>
      </c>
    </row>
    <row r="28" spans="1:29" ht="15">
      <c r="A28" s="1151"/>
      <c r="B28" s="1076" t="s">
        <v>1671</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89"/>
      <c r="Q28" s="704" t="str">
        <f t="shared" si="11"/>
        <v>物业等级</v>
      </c>
      <c r="R28" s="1106" t="s">
        <v>1398</v>
      </c>
      <c r="S28" s="1107">
        <f t="shared" si="12"/>
        <v>100</v>
      </c>
      <c r="T28" s="1106" t="s">
        <v>1398</v>
      </c>
      <c r="U28" s="1107">
        <f t="shared" si="13"/>
        <v>100</v>
      </c>
      <c r="V28" s="1106" t="s">
        <v>1398</v>
      </c>
      <c r="W28" s="1107">
        <f t="shared" si="14"/>
        <v>100</v>
      </c>
      <c r="X28" s="1045"/>
      <c r="Y28" s="3389"/>
      <c r="Z28" s="1044" t="str">
        <f t="shared" si="15"/>
        <v>物业等级</v>
      </c>
      <c r="AA28" s="1044">
        <f t="shared" si="3"/>
        <v>1</v>
      </c>
      <c r="AB28" s="1044">
        <f t="shared" si="4"/>
        <v>1</v>
      </c>
      <c r="AC28" s="1044">
        <f t="shared" si="5"/>
        <v>1</v>
      </c>
    </row>
    <row r="29" spans="1:29" ht="15">
      <c r="A29" s="1151"/>
      <c r="B29" s="1076" t="s">
        <v>1680</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89"/>
      <c r="Q29" s="704" t="str">
        <f t="shared" si="11"/>
        <v>有无电梯</v>
      </c>
      <c r="R29" s="1106" t="s">
        <v>1398</v>
      </c>
      <c r="S29" s="1107">
        <f t="shared" si="12"/>
        <v>100</v>
      </c>
      <c r="T29" s="1106" t="s">
        <v>1398</v>
      </c>
      <c r="U29" s="1107">
        <f t="shared" si="13"/>
        <v>100</v>
      </c>
      <c r="V29" s="1106" t="s">
        <v>1398</v>
      </c>
      <c r="W29" s="1107">
        <f t="shared" si="14"/>
        <v>100</v>
      </c>
      <c r="X29" s="1045"/>
      <c r="Y29" s="3389"/>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89"/>
      <c r="Q30" s="704" t="str">
        <f t="shared" si="11"/>
        <v>建筑面积</v>
      </c>
      <c r="R30" s="1106" t="s">
        <v>1398</v>
      </c>
      <c r="S30" s="1107" t="e">
        <f t="shared" si="12"/>
        <v>#N/A</v>
      </c>
      <c r="T30" s="1106" t="s">
        <v>1398</v>
      </c>
      <c r="U30" s="1107" t="e">
        <f t="shared" si="13"/>
        <v>#N/A</v>
      </c>
      <c r="V30" s="1106" t="s">
        <v>1398</v>
      </c>
      <c r="W30" s="1107" t="e">
        <f t="shared" si="14"/>
        <v>#N/A</v>
      </c>
      <c r="X30" s="1045"/>
      <c r="Y30" s="3389"/>
      <c r="Z30" s="1044" t="str">
        <f t="shared" si="15"/>
        <v>建筑面积</v>
      </c>
      <c r="AA30" s="1044" t="e">
        <f t="shared" si="3"/>
        <v>#N/A</v>
      </c>
      <c r="AB30" s="1044" t="e">
        <f t="shared" si="4"/>
        <v>#N/A</v>
      </c>
      <c r="AC30" s="1044" t="e">
        <f t="shared" si="5"/>
        <v>#N/A</v>
      </c>
    </row>
    <row r="31" spans="1:29" s="1008" customFormat="1" ht="15">
      <c r="A31" s="1153"/>
      <c r="B31" s="1076" t="s">
        <v>1681</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89"/>
      <c r="Q31" s="808" t="str">
        <f t="shared" si="11"/>
        <v>是否封闭</v>
      </c>
      <c r="R31" s="1064" t="s">
        <v>1398</v>
      </c>
      <c r="S31" s="1065">
        <f t="shared" si="12"/>
        <v>100</v>
      </c>
      <c r="T31" s="1064" t="s">
        <v>1398</v>
      </c>
      <c r="U31" s="1065">
        <f t="shared" si="13"/>
        <v>100</v>
      </c>
      <c r="V31" s="1064" t="s">
        <v>1398</v>
      </c>
      <c r="W31" s="1065">
        <f t="shared" si="14"/>
        <v>100</v>
      </c>
      <c r="X31" s="1066"/>
      <c r="Y31" s="3389"/>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89" t="s">
        <v>1426</v>
      </c>
      <c r="Q32" s="704">
        <f t="shared" si="11"/>
        <v>111</v>
      </c>
      <c r="R32" s="1106" t="s">
        <v>1398</v>
      </c>
      <c r="S32" s="1107">
        <f t="shared" si="12"/>
        <v>100</v>
      </c>
      <c r="T32" s="1106" t="s">
        <v>1398</v>
      </c>
      <c r="U32" s="1107">
        <f t="shared" si="13"/>
        <v>100</v>
      </c>
      <c r="V32" s="1106" t="s">
        <v>1398</v>
      </c>
      <c r="W32" s="1107">
        <f t="shared" si="14"/>
        <v>100</v>
      </c>
      <c r="X32" s="1045"/>
      <c r="Y32" s="3389" t="s">
        <v>1426</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89"/>
      <c r="Q33" s="704">
        <f t="shared" si="11"/>
        <v>111</v>
      </c>
      <c r="R33" s="1106" t="s">
        <v>1398</v>
      </c>
      <c r="S33" s="1107">
        <f t="shared" si="12"/>
        <v>100</v>
      </c>
      <c r="T33" s="1106" t="s">
        <v>1398</v>
      </c>
      <c r="U33" s="1107">
        <f t="shared" si="13"/>
        <v>100</v>
      </c>
      <c r="V33" s="1106" t="s">
        <v>1398</v>
      </c>
      <c r="W33" s="1107">
        <f t="shared" si="14"/>
        <v>100</v>
      </c>
      <c r="X33" s="1045"/>
      <c r="Y33" s="3389"/>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89"/>
      <c r="Q34" s="704">
        <f t="shared" si="11"/>
        <v>111</v>
      </c>
      <c r="R34" s="1106" t="s">
        <v>1398</v>
      </c>
      <c r="S34" s="1107">
        <f t="shared" si="12"/>
        <v>100</v>
      </c>
      <c r="T34" s="1106" t="s">
        <v>1398</v>
      </c>
      <c r="U34" s="1107">
        <f t="shared" si="13"/>
        <v>100</v>
      </c>
      <c r="V34" s="1106" t="s">
        <v>1398</v>
      </c>
      <c r="W34" s="1107">
        <f t="shared" si="14"/>
        <v>100</v>
      </c>
      <c r="X34" s="1045"/>
      <c r="Y34" s="3389"/>
      <c r="Z34" s="1044">
        <f t="shared" si="15"/>
        <v>111</v>
      </c>
      <c r="AA34" s="1044">
        <f t="shared" si="3"/>
        <v>1</v>
      </c>
      <c r="AB34" s="1044">
        <f t="shared" si="4"/>
        <v>1</v>
      </c>
      <c r="AC34" s="1044">
        <f t="shared" si="5"/>
        <v>1</v>
      </c>
    </row>
    <row r="35" spans="1:30" ht="15">
      <c r="A35" s="1159" t="s">
        <v>1442</v>
      </c>
      <c r="B35" s="1408"/>
      <c r="C35" s="1409" t="s">
        <v>124</v>
      </c>
      <c r="D35" s="1162"/>
      <c r="E35" s="1163"/>
      <c r="F35" s="1164"/>
      <c r="G35" s="1165"/>
      <c r="H35" s="1166"/>
      <c r="I35" s="1163"/>
      <c r="J35" s="1166"/>
      <c r="K35" s="1167"/>
      <c r="L35" s="1168"/>
      <c r="M35" s="1041"/>
      <c r="N35" s="1041"/>
      <c r="O35" s="1041"/>
      <c r="P35" s="3380" t="str">
        <f>A35</f>
        <v>成交单价（元/平方米）</v>
      </c>
      <c r="Q35" s="3380"/>
      <c r="R35" s="3381">
        <f>E35</f>
        <v>0</v>
      </c>
      <c r="S35" s="3381"/>
      <c r="T35" s="3381">
        <f>G35</f>
        <v>0</v>
      </c>
      <c r="U35" s="3381"/>
      <c r="V35" s="3381">
        <f>I35</f>
        <v>0</v>
      </c>
      <c r="W35" s="3381"/>
      <c r="X35" s="1169"/>
      <c r="Y35" s="1170"/>
      <c r="Z35" s="1169"/>
      <c r="AA35" s="1169"/>
      <c r="AB35" s="1169"/>
      <c r="AC35" s="1169"/>
    </row>
    <row r="36" spans="1:30" ht="15">
      <c r="A36" s="1171" t="s">
        <v>1443</v>
      </c>
      <c r="B36" s="1410"/>
      <c r="C36" s="1411" t="e">
        <f>R37</f>
        <v>#DIV/0!</v>
      </c>
      <c r="D36" s="1174" t="s">
        <v>1444</v>
      </c>
      <c r="E36" s="1412" t="e">
        <f>R36</f>
        <v>#DIV/0!</v>
      </c>
      <c r="F36" s="1175"/>
      <c r="G36" s="1411" t="e">
        <f>T36</f>
        <v>#DIV/0!</v>
      </c>
      <c r="H36" s="1175"/>
      <c r="I36" s="1412" t="e">
        <f>V36</f>
        <v>#DIV/0!</v>
      </c>
      <c r="J36" s="1175"/>
      <c r="K36" s="1177">
        <f>F36+H36+J36</f>
        <v>0</v>
      </c>
      <c r="L36" s="1168"/>
      <c r="M36" s="1041"/>
      <c r="N36" s="1041"/>
      <c r="O36" s="1041"/>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69"/>
      <c r="Y36" s="1169"/>
      <c r="Z36" s="1169"/>
      <c r="AA36" s="1169"/>
      <c r="AB36" s="1169"/>
      <c r="AC36" s="1169"/>
    </row>
    <row r="37" spans="1:30" ht="15">
      <c r="A37" s="1178" t="s">
        <v>1445</v>
      </c>
      <c r="B37" s="1179"/>
      <c r="C37" s="1050" t="e">
        <f>R37</f>
        <v>#DIV/0!</v>
      </c>
      <c r="D37" s="1050"/>
      <c r="E37" s="1050"/>
      <c r="F37" s="1050"/>
      <c r="G37" s="1050"/>
      <c r="H37" s="1050"/>
      <c r="I37" s="1050"/>
      <c r="J37" s="1050"/>
      <c r="K37" s="1181"/>
      <c r="L37" s="1168"/>
      <c r="M37" s="1041"/>
      <c r="N37" s="1041"/>
      <c r="O37" s="1041"/>
      <c r="P37" s="3416" t="str">
        <f>A37</f>
        <v>估价对象XX用房的比较价值（楼面单价，元/平方米）</v>
      </c>
      <c r="Q37" s="3417"/>
      <c r="R37" s="3448" t="e">
        <f>IF(F1="售价",ROUND(IF(D36="简单平均",AVERAGE(R36:W36),R36*F36+T36*H36+V36*J36),0),ROUND(IF(D36="简单平均",AVERAGE(R36:V36),R36*F36+T36*H36+V36*J36),1))</f>
        <v>#DIV/0!</v>
      </c>
      <c r="S37" s="3448"/>
      <c r="T37" s="3448"/>
      <c r="U37" s="3448"/>
      <c r="V37" s="3448"/>
      <c r="W37" s="3448"/>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1446</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1447</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1448</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1449</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1396</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1450</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1399</v>
      </c>
      <c r="B49" s="1253"/>
      <c r="C49" s="1254" t="s">
        <v>1451</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1404</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1407</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1409</v>
      </c>
      <c r="B61" s="1262" t="s">
        <v>1413</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1682</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1415</v>
      </c>
      <c r="C65" s="1113" t="s">
        <v>1458</v>
      </c>
      <c r="D65" s="1113" t="s">
        <v>1459</v>
      </c>
      <c r="E65" s="1113" t="s">
        <v>1460</v>
      </c>
      <c r="F65" s="1113" t="s">
        <v>1461</v>
      </c>
      <c r="G65" s="1113" t="s">
        <v>1462</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1471</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1419</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1423</v>
      </c>
      <c r="B77" s="1262" t="s">
        <v>1430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1670</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1671</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1680</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1681</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1684</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t="s">
        <v>1451</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7" t="s">
        <v>1402</v>
      </c>
      <c r="Q8" s="3378"/>
      <c r="R8" s="1064" t="s">
        <v>1398</v>
      </c>
      <c r="S8" s="1065">
        <f t="shared" si="0"/>
        <v>0</v>
      </c>
      <c r="T8" s="1064" t="s">
        <v>1398</v>
      </c>
      <c r="U8" s="1065">
        <f t="shared" si="1"/>
        <v>0</v>
      </c>
      <c r="V8" s="1064" t="s">
        <v>1398</v>
      </c>
      <c r="W8" s="1065">
        <f t="shared" si="2"/>
        <v>0</v>
      </c>
      <c r="X8" s="1066"/>
      <c r="Y8" s="3377" t="s">
        <v>1402</v>
      </c>
      <c r="Z8" s="3378"/>
      <c r="AA8" s="1068" t="e">
        <f t="shared" ref="AA8:AA45" si="3">D8/F8</f>
        <v>#DIV/0!</v>
      </c>
      <c r="AB8" s="1068" t="e">
        <f t="shared" ref="AB8:AB45" si="4">D8/H8</f>
        <v>#DIV/0!</v>
      </c>
      <c r="AC8" s="1068" t="e">
        <f t="shared" ref="AC8:AC45" si="5">D8/J8</f>
        <v>#DIV/0!</v>
      </c>
    </row>
    <row r="9" spans="1:29" s="1008" customFormat="1">
      <c r="A9" s="1070" t="s">
        <v>1403</v>
      </c>
      <c r="B9" s="1071" t="s">
        <v>1404</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0" t="s">
        <v>1405</v>
      </c>
      <c r="Q9" s="808" t="str">
        <f t="shared" ref="Q9:Q15" si="6">B9</f>
        <v>用途</v>
      </c>
      <c r="R9" s="1064" t="s">
        <v>1398</v>
      </c>
      <c r="S9" s="1065">
        <f t="shared" si="0"/>
        <v>100</v>
      </c>
      <c r="T9" s="1064" t="s">
        <v>1398</v>
      </c>
      <c r="U9" s="1065">
        <f t="shared" si="1"/>
        <v>100</v>
      </c>
      <c r="V9" s="1064" t="s">
        <v>1398</v>
      </c>
      <c r="W9" s="1065">
        <f t="shared" si="2"/>
        <v>100</v>
      </c>
      <c r="X9" s="1066"/>
      <c r="Y9" s="3356"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339"/>
      <c r="F10" s="1078">
        <f>ROUND(100/'数据-取费表'!G16,0)</f>
        <v>108</v>
      </c>
      <c r="G10" s="1340"/>
      <c r="H10" s="1078">
        <f>ROUND(100/'数据-取费表'!G16,0)</f>
        <v>108</v>
      </c>
      <c r="I10" s="1340"/>
      <c r="J10" s="1078">
        <f>ROUND(100/'数据-取费表'!G16,0)</f>
        <v>108</v>
      </c>
      <c r="K10" s="1079"/>
      <c r="L10" s="1080"/>
      <c r="M10" s="1081"/>
      <c r="N10" s="1081"/>
      <c r="O10" s="1082"/>
      <c r="P10" s="3380"/>
      <c r="Q10" s="808" t="str">
        <f t="shared" si="6"/>
        <v>土地使用年限（年）</v>
      </c>
      <c r="R10" s="1064" t="s">
        <v>1398</v>
      </c>
      <c r="S10" s="1065">
        <f t="shared" si="0"/>
        <v>108</v>
      </c>
      <c r="T10" s="1064" t="s">
        <v>1398</v>
      </c>
      <c r="U10" s="1065">
        <f t="shared" si="1"/>
        <v>108</v>
      </c>
      <c r="V10" s="1064" t="s">
        <v>1398</v>
      </c>
      <c r="W10" s="1065">
        <f t="shared" si="2"/>
        <v>108</v>
      </c>
      <c r="X10" s="1066"/>
      <c r="Y10" s="3356"/>
      <c r="Z10" s="1068" t="str">
        <f t="shared" si="7"/>
        <v>土地使用年限（年）</v>
      </c>
      <c r="AA10" s="1068">
        <f t="shared" si="3"/>
        <v>0.92592592592592593</v>
      </c>
      <c r="AB10" s="1068">
        <f t="shared" si="4"/>
        <v>0.92592592592592593</v>
      </c>
      <c r="AC10" s="1068">
        <f t="shared" si="5"/>
        <v>0.92592592592592593</v>
      </c>
    </row>
    <row r="11" spans="1:29" ht="15">
      <c r="A11" s="1083"/>
      <c r="B11" s="1076" t="s">
        <v>1408</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0"/>
      <c r="Q11" s="808" t="str">
        <f t="shared" si="6"/>
        <v>容积率</v>
      </c>
      <c r="R11" s="1064" t="s">
        <v>1398</v>
      </c>
      <c r="S11" s="1065" t="e">
        <f t="shared" si="0"/>
        <v>#N/A</v>
      </c>
      <c r="T11" s="1064" t="s">
        <v>1398</v>
      </c>
      <c r="U11" s="1065" t="e">
        <f t="shared" si="1"/>
        <v>#N/A</v>
      </c>
      <c r="V11" s="1064" t="s">
        <v>1398</v>
      </c>
      <c r="W11" s="1065" t="e">
        <f t="shared" si="2"/>
        <v>#N/A</v>
      </c>
      <c r="X11" s="1066"/>
      <c r="Y11" s="3356"/>
      <c r="Z11" s="1068" t="str">
        <f t="shared" si="7"/>
        <v>容积率</v>
      </c>
      <c r="AA11" s="1068" t="e">
        <f t="shared" si="3"/>
        <v>#N/A</v>
      </c>
      <c r="AB11" s="1068" t="e">
        <f t="shared" si="4"/>
        <v>#N/A</v>
      </c>
      <c r="AC11" s="1068" t="e">
        <f t="shared" si="5"/>
        <v>#N/A</v>
      </c>
    </row>
    <row r="12" spans="1:29" s="1008" customFormat="1" ht="15">
      <c r="A12" s="1089"/>
      <c r="B12" s="1090" t="s">
        <v>1685</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0"/>
      <c r="Q12" s="808" t="str">
        <f t="shared" si="6"/>
        <v>配建</v>
      </c>
      <c r="R12" s="1064" t="s">
        <v>1398</v>
      </c>
      <c r="S12" s="1065">
        <f t="shared" si="0"/>
        <v>100</v>
      </c>
      <c r="T12" s="1064" t="s">
        <v>1398</v>
      </c>
      <c r="U12" s="1065">
        <f t="shared" si="1"/>
        <v>100</v>
      </c>
      <c r="V12" s="1064" t="s">
        <v>1398</v>
      </c>
      <c r="W12" s="1065">
        <f t="shared" si="2"/>
        <v>100</v>
      </c>
      <c r="X12" s="1066"/>
      <c r="Y12" s="3356"/>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0"/>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0"/>
      <c r="Q14" s="808">
        <f t="shared" si="6"/>
        <v>111</v>
      </c>
      <c r="R14" s="1064" t="s">
        <v>1398</v>
      </c>
      <c r="S14" s="1065">
        <f t="shared" si="0"/>
        <v>100</v>
      </c>
      <c r="T14" s="1064" t="s">
        <v>1398</v>
      </c>
      <c r="U14" s="1065">
        <f t="shared" si="1"/>
        <v>100</v>
      </c>
      <c r="V14" s="1064" t="s">
        <v>1398</v>
      </c>
      <c r="W14" s="1065">
        <f t="shared" si="2"/>
        <v>100</v>
      </c>
      <c r="X14" s="1066"/>
      <c r="Y14" s="3356"/>
      <c r="Z14" s="1068">
        <f t="shared" si="7"/>
        <v>111</v>
      </c>
      <c r="AA14" s="1068">
        <f t="shared" si="3"/>
        <v>1</v>
      </c>
      <c r="AB14" s="1068">
        <f t="shared" si="4"/>
        <v>1</v>
      </c>
      <c r="AC14" s="1068">
        <f t="shared" si="5"/>
        <v>1</v>
      </c>
    </row>
    <row r="15" spans="1:29" ht="15">
      <c r="A15" s="1100" t="s">
        <v>1409</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7" t="s">
        <v>1411</v>
      </c>
      <c r="Q15" s="704" t="str">
        <f t="shared" si="6"/>
        <v>居住社区成熟度</v>
      </c>
      <c r="R15" s="1106" t="s">
        <v>1398</v>
      </c>
      <c r="S15" s="1107">
        <f t="shared" si="0"/>
        <v>100</v>
      </c>
      <c r="T15" s="1106" t="s">
        <v>1398</v>
      </c>
      <c r="U15" s="1107">
        <f t="shared" si="1"/>
        <v>100</v>
      </c>
      <c r="V15" s="1106" t="s">
        <v>1398</v>
      </c>
      <c r="W15" s="1107">
        <f t="shared" si="2"/>
        <v>100</v>
      </c>
      <c r="X15" s="1045"/>
      <c r="Y15" s="3387" t="s">
        <v>1411</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88"/>
      <c r="Q16" s="704"/>
      <c r="R16" s="1106"/>
      <c r="S16" s="1107"/>
      <c r="T16" s="1106"/>
      <c r="U16" s="1107"/>
      <c r="V16" s="1106"/>
      <c r="W16" s="1107"/>
      <c r="X16" s="1045"/>
      <c r="Y16" s="3388"/>
      <c r="Z16" s="1044"/>
      <c r="AA16" s="1044">
        <v>1</v>
      </c>
      <c r="AB16" s="1044">
        <v>1</v>
      </c>
      <c r="AC16" s="1044">
        <v>1</v>
      </c>
    </row>
    <row r="17" spans="1:29" ht="15">
      <c r="A17" s="1083"/>
      <c r="B17" s="1343" t="s">
        <v>1470</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88"/>
      <c r="Q17" s="704" t="str">
        <f>B17</f>
        <v>商业繁华度</v>
      </c>
      <c r="R17" s="1106" t="s">
        <v>1398</v>
      </c>
      <c r="S17" s="1107">
        <f>F17</f>
        <v>100</v>
      </c>
      <c r="T17" s="1106" t="s">
        <v>1398</v>
      </c>
      <c r="U17" s="1107">
        <f>H17</f>
        <v>100</v>
      </c>
      <c r="V17" s="1106" t="s">
        <v>1398</v>
      </c>
      <c r="W17" s="1107">
        <f>J17</f>
        <v>100</v>
      </c>
      <c r="X17" s="1045"/>
      <c r="Y17" s="3388"/>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88"/>
      <c r="Q18" s="704"/>
      <c r="R18" s="1106"/>
      <c r="S18" s="1107"/>
      <c r="T18" s="1106"/>
      <c r="U18" s="1107"/>
      <c r="V18" s="1106"/>
      <c r="W18" s="1107"/>
      <c r="X18" s="1045"/>
      <c r="Y18" s="3388"/>
      <c r="Z18" s="1044"/>
      <c r="AA18" s="1044">
        <v>1</v>
      </c>
      <c r="AB18" s="1044">
        <v>1</v>
      </c>
      <c r="AC18" s="1044">
        <v>1</v>
      </c>
    </row>
    <row r="19" spans="1:29" ht="15">
      <c r="A19" s="1083"/>
      <c r="B19" s="1343" t="s">
        <v>1410</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88"/>
      <c r="Q19" s="704" t="str">
        <f>B19</f>
        <v>办公集聚程度</v>
      </c>
      <c r="R19" s="1106" t="s">
        <v>1398</v>
      </c>
      <c r="S19" s="1107">
        <f>F19</f>
        <v>100</v>
      </c>
      <c r="T19" s="1106" t="s">
        <v>1398</v>
      </c>
      <c r="U19" s="1107">
        <f>H19</f>
        <v>100</v>
      </c>
      <c r="V19" s="1106" t="s">
        <v>1398</v>
      </c>
      <c r="W19" s="1107">
        <f>J19</f>
        <v>100</v>
      </c>
      <c r="X19" s="1045"/>
      <c r="Y19" s="3388"/>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88"/>
      <c r="Q20" s="704"/>
      <c r="R20" s="1106"/>
      <c r="S20" s="1107"/>
      <c r="T20" s="1106"/>
      <c r="U20" s="1107"/>
      <c r="V20" s="1106"/>
      <c r="W20" s="1107"/>
      <c r="X20" s="1045"/>
      <c r="Y20" s="3388"/>
      <c r="Z20" s="1044"/>
      <c r="AA20" s="1044">
        <v>1</v>
      </c>
      <c r="AB20" s="1044">
        <v>1</v>
      </c>
      <c r="AC20" s="1044">
        <v>1</v>
      </c>
    </row>
    <row r="21" spans="1:29" ht="15">
      <c r="A21" s="1083"/>
      <c r="B21" s="1343" t="s">
        <v>1413</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88"/>
      <c r="Q21" s="704" t="str">
        <f>B21</f>
        <v>交通便捷度</v>
      </c>
      <c r="R21" s="1106" t="s">
        <v>1398</v>
      </c>
      <c r="S21" s="1107">
        <f>F21</f>
        <v>100</v>
      </c>
      <c r="T21" s="1106" t="s">
        <v>1398</v>
      </c>
      <c r="U21" s="1107">
        <f>H21</f>
        <v>100</v>
      </c>
      <c r="V21" s="1106" t="s">
        <v>1398</v>
      </c>
      <c r="W21" s="1107">
        <f>J21</f>
        <v>100</v>
      </c>
      <c r="X21" s="1045"/>
      <c r="Y21" s="3388"/>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88"/>
      <c r="Q22" s="704"/>
      <c r="R22" s="1106"/>
      <c r="S22" s="1107"/>
      <c r="T22" s="1106"/>
      <c r="U22" s="1107"/>
      <c r="V22" s="1106"/>
      <c r="W22" s="1107"/>
      <c r="X22" s="1045"/>
      <c r="Y22" s="3388"/>
      <c r="Z22" s="1044"/>
      <c r="AA22" s="1044">
        <v>1</v>
      </c>
      <c r="AB22" s="1044">
        <v>1</v>
      </c>
      <c r="AC22" s="1044">
        <v>1</v>
      </c>
    </row>
    <row r="23" spans="1:29" ht="15">
      <c r="A23" s="1046"/>
      <c r="B23" s="1343" t="s">
        <v>1686</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88"/>
      <c r="Q23" s="704" t="str">
        <f t="shared" ref="Q23:Q38" si="8">B23</f>
        <v>区域土地利用方向</v>
      </c>
      <c r="R23" s="1106" t="s">
        <v>1398</v>
      </c>
      <c r="S23" s="1107">
        <f>F23</f>
        <v>100</v>
      </c>
      <c r="T23" s="1106" t="s">
        <v>1398</v>
      </c>
      <c r="U23" s="1107">
        <f>H23</f>
        <v>100</v>
      </c>
      <c r="V23" s="1106" t="s">
        <v>1398</v>
      </c>
      <c r="W23" s="1107">
        <f>J23</f>
        <v>100</v>
      </c>
      <c r="X23" s="1045"/>
      <c r="Y23" s="3388"/>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88"/>
      <c r="Q24" s="704"/>
      <c r="R24" s="1106"/>
      <c r="S24" s="1107"/>
      <c r="T24" s="1106"/>
      <c r="U24" s="1107"/>
      <c r="V24" s="1106"/>
      <c r="W24" s="1107"/>
      <c r="X24" s="1045"/>
      <c r="Y24" s="3388"/>
      <c r="Z24" s="1044"/>
      <c r="AA24" s="1044"/>
      <c r="AB24" s="1044"/>
      <c r="AC24" s="1044"/>
    </row>
    <row r="25" spans="1:29" ht="27">
      <c r="A25" s="1046"/>
      <c r="B25" s="1349" t="s">
        <v>1687</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88"/>
      <c r="Q25" s="704" t="str">
        <f t="shared" si="8"/>
        <v>自然及人文环境状况</v>
      </c>
      <c r="R25" s="1106" t="s">
        <v>1398</v>
      </c>
      <c r="S25" s="1107">
        <f>F25</f>
        <v>100</v>
      </c>
      <c r="T25" s="1106" t="s">
        <v>1398</v>
      </c>
      <c r="U25" s="1107">
        <f>H25</f>
        <v>100</v>
      </c>
      <c r="V25" s="1106" t="s">
        <v>1398</v>
      </c>
      <c r="W25" s="1107">
        <f>J25</f>
        <v>100</v>
      </c>
      <c r="X25" s="1045"/>
      <c r="Y25" s="3388"/>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88"/>
      <c r="Q26" s="704"/>
      <c r="R26" s="1106"/>
      <c r="S26" s="1107"/>
      <c r="T26" s="1106"/>
      <c r="U26" s="1107"/>
      <c r="V26" s="1106"/>
      <c r="W26" s="1107"/>
      <c r="X26" s="1045"/>
      <c r="Y26" s="3388"/>
      <c r="Z26" s="1044"/>
      <c r="AA26" s="1044">
        <v>1</v>
      </c>
      <c r="AB26" s="1044">
        <v>1</v>
      </c>
      <c r="AC26" s="1044">
        <v>1</v>
      </c>
    </row>
    <row r="27" spans="1:29" s="1008" customFormat="1" ht="15">
      <c r="A27" s="1123"/>
      <c r="B27" s="1349" t="s">
        <v>1414</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88"/>
      <c r="Q27" s="808" t="str">
        <f t="shared" si="8"/>
        <v>公共配套设施</v>
      </c>
      <c r="R27" s="1064" t="s">
        <v>1398</v>
      </c>
      <c r="S27" s="1065">
        <f>F27</f>
        <v>100</v>
      </c>
      <c r="T27" s="1064" t="s">
        <v>1398</v>
      </c>
      <c r="U27" s="1065">
        <f>H27</f>
        <v>100</v>
      </c>
      <c r="V27" s="1064" t="s">
        <v>1398</v>
      </c>
      <c r="W27" s="1065">
        <f>J27</f>
        <v>100</v>
      </c>
      <c r="X27" s="1066"/>
      <c r="Y27" s="3388"/>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88"/>
      <c r="Q28" s="808"/>
      <c r="R28" s="1064"/>
      <c r="S28" s="1065"/>
      <c r="T28" s="1064"/>
      <c r="U28" s="1065"/>
      <c r="V28" s="1064"/>
      <c r="W28" s="1065"/>
      <c r="X28" s="1066"/>
      <c r="Y28" s="3388"/>
      <c r="Z28" s="1068"/>
      <c r="AA28" s="1044">
        <v>1</v>
      </c>
      <c r="AB28" s="1044">
        <v>1</v>
      </c>
      <c r="AC28" s="1044">
        <v>1</v>
      </c>
    </row>
    <row r="29" spans="1:29" s="1008" customFormat="1" ht="15">
      <c r="A29" s="1123"/>
      <c r="B29" s="1349" t="s">
        <v>1415</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88"/>
      <c r="Q29" s="808" t="str">
        <f t="shared" ref="Q29" si="9">B29</f>
        <v>基础设施水平</v>
      </c>
      <c r="R29" s="1064" t="s">
        <v>1398</v>
      </c>
      <c r="S29" s="1065">
        <f>F29</f>
        <v>100</v>
      </c>
      <c r="T29" s="1064" t="s">
        <v>1398</v>
      </c>
      <c r="U29" s="1065">
        <f>H29</f>
        <v>100</v>
      </c>
      <c r="V29" s="1064" t="s">
        <v>1398</v>
      </c>
      <c r="W29" s="1065">
        <f>J29</f>
        <v>100</v>
      </c>
      <c r="X29" s="1066"/>
      <c r="Y29" s="3388"/>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88"/>
      <c r="Q30" s="808"/>
      <c r="R30" s="1064"/>
      <c r="S30" s="1065"/>
      <c r="T30" s="1064"/>
      <c r="U30" s="1065"/>
      <c r="V30" s="1064"/>
      <c r="W30" s="1065"/>
      <c r="X30" s="1066"/>
      <c r="Y30" s="3388"/>
      <c r="Z30" s="1068"/>
      <c r="AA30" s="1044">
        <v>1</v>
      </c>
      <c r="AB30" s="1044">
        <v>1</v>
      </c>
      <c r="AC30" s="1044">
        <v>1</v>
      </c>
    </row>
    <row r="31" spans="1:29" ht="15">
      <c r="A31" s="1083"/>
      <c r="B31" s="1148" t="s">
        <v>1472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88"/>
      <c r="Q31" s="704" t="str">
        <f t="shared" si="8"/>
        <v>临街状况</v>
      </c>
      <c r="R31" s="1106" t="s">
        <v>1398</v>
      </c>
      <c r="S31" s="1107">
        <f t="shared" ref="S31:S45" si="10">F31</f>
        <v>100</v>
      </c>
      <c r="T31" s="1106" t="s">
        <v>1398</v>
      </c>
      <c r="U31" s="1107">
        <f t="shared" ref="U31:U45" si="11">H31</f>
        <v>100</v>
      </c>
      <c r="V31" s="1106" t="s">
        <v>1398</v>
      </c>
      <c r="W31" s="1107">
        <f t="shared" ref="W31:W45" si="12">J31</f>
        <v>100</v>
      </c>
      <c r="X31" s="1045"/>
      <c r="Y31" s="3388"/>
      <c r="Z31" s="1044" t="str">
        <f t="shared" ref="Z31:Z45" si="13">Q31</f>
        <v>临街状况</v>
      </c>
      <c r="AA31" s="1044">
        <f t="shared" si="3"/>
        <v>1</v>
      </c>
      <c r="AB31" s="1044">
        <f t="shared" si="4"/>
        <v>1</v>
      </c>
      <c r="AC31" s="1044">
        <f t="shared" si="5"/>
        <v>1</v>
      </c>
    </row>
    <row r="32" spans="1:29" ht="27">
      <c r="A32" s="1083"/>
      <c r="B32" s="1349" t="s">
        <v>1418</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88"/>
      <c r="Q32" s="704" t="str">
        <f t="shared" si="8"/>
        <v>毗邻道路的类型与等级</v>
      </c>
      <c r="R32" s="1106" t="s">
        <v>1398</v>
      </c>
      <c r="S32" s="1107">
        <f t="shared" si="10"/>
        <v>100</v>
      </c>
      <c r="T32" s="1106" t="s">
        <v>1398</v>
      </c>
      <c r="U32" s="1107">
        <f t="shared" si="11"/>
        <v>100</v>
      </c>
      <c r="V32" s="1106" t="s">
        <v>1398</v>
      </c>
      <c r="W32" s="1107">
        <f t="shared" si="12"/>
        <v>100</v>
      </c>
      <c r="X32" s="1045"/>
      <c r="Y32" s="3388"/>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88"/>
      <c r="Q33" s="704"/>
      <c r="R33" s="1106"/>
      <c r="S33" s="1107"/>
      <c r="T33" s="1106"/>
      <c r="U33" s="1107"/>
      <c r="V33" s="1106"/>
      <c r="W33" s="1107"/>
      <c r="X33" s="1045"/>
      <c r="Y33" s="3388"/>
      <c r="Z33" s="1044"/>
      <c r="AA33" s="1044">
        <v>1</v>
      </c>
      <c r="AB33" s="1044">
        <v>1</v>
      </c>
      <c r="AC33" s="1044">
        <v>1</v>
      </c>
    </row>
    <row r="34" spans="1:29" ht="15">
      <c r="A34" s="1083"/>
      <c r="B34" s="1076" t="s">
        <v>1688</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88"/>
      <c r="Q34" s="704" t="str">
        <f t="shared" si="8"/>
        <v>土地级别</v>
      </c>
      <c r="R34" s="1106" t="s">
        <v>1398</v>
      </c>
      <c r="S34" s="1107">
        <f t="shared" si="10"/>
        <v>100</v>
      </c>
      <c r="T34" s="1106" t="s">
        <v>1398</v>
      </c>
      <c r="U34" s="1107">
        <f t="shared" si="11"/>
        <v>100</v>
      </c>
      <c r="V34" s="1106" t="s">
        <v>1398</v>
      </c>
      <c r="W34" s="1107">
        <f t="shared" si="12"/>
        <v>100</v>
      </c>
      <c r="X34" s="1045"/>
      <c r="Y34" s="3388"/>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88"/>
      <c r="Q35" s="704">
        <f t="shared" si="8"/>
        <v>111</v>
      </c>
      <c r="R35" s="1106" t="s">
        <v>1398</v>
      </c>
      <c r="S35" s="1107">
        <f t="shared" si="10"/>
        <v>100</v>
      </c>
      <c r="T35" s="1106" t="s">
        <v>1398</v>
      </c>
      <c r="U35" s="1107">
        <f t="shared" si="11"/>
        <v>100</v>
      </c>
      <c r="V35" s="1106" t="s">
        <v>1398</v>
      </c>
      <c r="W35" s="1107">
        <f t="shared" si="12"/>
        <v>100</v>
      </c>
      <c r="X35" s="1045"/>
      <c r="Y35" s="3388"/>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7" t="s">
        <v>1426</v>
      </c>
      <c r="Q36" s="704">
        <f t="shared" si="8"/>
        <v>111</v>
      </c>
      <c r="R36" s="1106" t="s">
        <v>1398</v>
      </c>
      <c r="S36" s="1107">
        <f t="shared" si="10"/>
        <v>100</v>
      </c>
      <c r="T36" s="1106" t="s">
        <v>1398</v>
      </c>
      <c r="U36" s="1107">
        <f t="shared" si="11"/>
        <v>100</v>
      </c>
      <c r="V36" s="1106" t="s">
        <v>1398</v>
      </c>
      <c r="W36" s="1107">
        <f t="shared" si="12"/>
        <v>100</v>
      </c>
      <c r="X36" s="1045"/>
      <c r="Y36" s="3389" t="s">
        <v>1426</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89"/>
      <c r="Q37" s="704">
        <f t="shared" si="8"/>
        <v>111</v>
      </c>
      <c r="R37" s="1144" t="s">
        <v>1398</v>
      </c>
      <c r="S37" s="1145">
        <f t="shared" si="10"/>
        <v>100</v>
      </c>
      <c r="T37" s="1144" t="s">
        <v>1398</v>
      </c>
      <c r="U37" s="1145">
        <f t="shared" si="11"/>
        <v>100</v>
      </c>
      <c r="V37" s="1144" t="s">
        <v>1398</v>
      </c>
      <c r="W37" s="1145">
        <f t="shared" si="12"/>
        <v>100</v>
      </c>
      <c r="X37" s="1146"/>
      <c r="Y37" s="3389"/>
      <c r="Z37" s="1147">
        <f t="shared" si="13"/>
        <v>111</v>
      </c>
      <c r="AA37" s="1044">
        <f t="shared" si="3"/>
        <v>1</v>
      </c>
      <c r="AB37" s="1044">
        <f t="shared" si="4"/>
        <v>1</v>
      </c>
      <c r="AC37" s="1044">
        <f t="shared" si="5"/>
        <v>1</v>
      </c>
    </row>
    <row r="38" spans="1:29" ht="15">
      <c r="A38" s="1151" t="s">
        <v>1423</v>
      </c>
      <c r="B38" s="1148" t="s">
        <v>1689</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89"/>
      <c r="Q38" s="704" t="str">
        <f t="shared" si="8"/>
        <v>宗地面积</v>
      </c>
      <c r="R38" s="1106" t="s">
        <v>1398</v>
      </c>
      <c r="S38" s="1107" t="e">
        <f t="shared" si="10"/>
        <v>#N/A</v>
      </c>
      <c r="T38" s="1106" t="s">
        <v>1398</v>
      </c>
      <c r="U38" s="1107" t="e">
        <f t="shared" si="11"/>
        <v>#N/A</v>
      </c>
      <c r="V38" s="1106" t="s">
        <v>1398</v>
      </c>
      <c r="W38" s="1107" t="e">
        <f t="shared" si="12"/>
        <v>#N/A</v>
      </c>
      <c r="X38" s="1045"/>
      <c r="Y38" s="3389"/>
      <c r="Z38" s="1044" t="str">
        <f t="shared" si="13"/>
        <v>宗地面积</v>
      </c>
      <c r="AA38" s="1044" t="e">
        <f t="shared" si="3"/>
        <v>#N/A</v>
      </c>
      <c r="AB38" s="1044" t="e">
        <f t="shared" si="4"/>
        <v>#N/A</v>
      </c>
      <c r="AC38" s="1044" t="e">
        <f t="shared" si="5"/>
        <v>#N/A</v>
      </c>
    </row>
    <row r="39" spans="1:29" ht="15">
      <c r="A39" s="1151"/>
      <c r="B39" s="1076" t="s">
        <v>1690</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89"/>
      <c r="Q39" s="704" t="str">
        <f t="shared" ref="Q39:Q45" si="14">B39</f>
        <v>宗地形状</v>
      </c>
      <c r="R39" s="1106" t="s">
        <v>1398</v>
      </c>
      <c r="S39" s="1107">
        <f t="shared" si="10"/>
        <v>100</v>
      </c>
      <c r="T39" s="1106" t="s">
        <v>1398</v>
      </c>
      <c r="U39" s="1107">
        <f t="shared" si="11"/>
        <v>100</v>
      </c>
      <c r="V39" s="1106" t="s">
        <v>1398</v>
      </c>
      <c r="W39" s="1107">
        <f t="shared" si="12"/>
        <v>100</v>
      </c>
      <c r="X39" s="1045"/>
      <c r="Y39" s="3389"/>
      <c r="Z39" s="1044" t="str">
        <f t="shared" si="13"/>
        <v>宗地形状</v>
      </c>
      <c r="AA39" s="1044">
        <f t="shared" si="3"/>
        <v>1</v>
      </c>
      <c r="AB39" s="1044">
        <f t="shared" si="4"/>
        <v>1</v>
      </c>
      <c r="AC39" s="1044">
        <f t="shared" si="5"/>
        <v>1</v>
      </c>
    </row>
    <row r="40" spans="1:29" ht="15">
      <c r="A40" s="1151"/>
      <c r="B40" s="1076" t="s">
        <v>1691</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89"/>
      <c r="Q40" s="704" t="str">
        <f t="shared" si="14"/>
        <v>临街宽度及深度</v>
      </c>
      <c r="R40" s="1106" t="s">
        <v>1398</v>
      </c>
      <c r="S40" s="1107">
        <f t="shared" si="10"/>
        <v>100</v>
      </c>
      <c r="T40" s="1106" t="s">
        <v>1398</v>
      </c>
      <c r="U40" s="1107">
        <f t="shared" si="11"/>
        <v>100</v>
      </c>
      <c r="V40" s="1106" t="s">
        <v>1398</v>
      </c>
      <c r="W40" s="1107">
        <f t="shared" si="12"/>
        <v>100</v>
      </c>
      <c r="X40" s="1045"/>
      <c r="Y40" s="3389"/>
      <c r="Z40" s="1044" t="str">
        <f t="shared" si="13"/>
        <v>临街宽度及深度</v>
      </c>
      <c r="AA40" s="1044">
        <f t="shared" si="3"/>
        <v>1</v>
      </c>
      <c r="AB40" s="1044">
        <f t="shared" si="4"/>
        <v>1</v>
      </c>
      <c r="AC40" s="1044">
        <f t="shared" si="5"/>
        <v>1</v>
      </c>
    </row>
    <row r="41" spans="1:29" s="1008" customFormat="1" ht="15">
      <c r="A41" s="1153"/>
      <c r="B41" s="1076" t="s">
        <v>1692</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89"/>
      <c r="Q41" s="704" t="str">
        <f t="shared" si="14"/>
        <v>宗地开发程度</v>
      </c>
      <c r="R41" s="1064" t="s">
        <v>1398</v>
      </c>
      <c r="S41" s="1065">
        <f t="shared" si="10"/>
        <v>100</v>
      </c>
      <c r="T41" s="1064" t="s">
        <v>1398</v>
      </c>
      <c r="U41" s="1065">
        <f t="shared" si="11"/>
        <v>100</v>
      </c>
      <c r="V41" s="1064" t="s">
        <v>1398</v>
      </c>
      <c r="W41" s="1065">
        <f t="shared" si="12"/>
        <v>100</v>
      </c>
      <c r="X41" s="1066"/>
      <c r="Y41" s="3389"/>
      <c r="Z41" s="1068" t="str">
        <f t="shared" si="13"/>
        <v>宗地开发程度</v>
      </c>
      <c r="AA41" s="1068">
        <f t="shared" si="3"/>
        <v>1</v>
      </c>
      <c r="AB41" s="1068">
        <f t="shared" si="4"/>
        <v>1</v>
      </c>
      <c r="AC41" s="1068">
        <f t="shared" si="5"/>
        <v>1</v>
      </c>
    </row>
    <row r="42" spans="1:29" ht="15">
      <c r="A42" s="1151"/>
      <c r="B42" s="1076" t="s">
        <v>1693</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89" t="s">
        <v>1426</v>
      </c>
      <c r="Q42" s="704" t="str">
        <f t="shared" si="14"/>
        <v>工程地质条件</v>
      </c>
      <c r="R42" s="1106" t="s">
        <v>1398</v>
      </c>
      <c r="S42" s="1107">
        <f t="shared" si="10"/>
        <v>100</v>
      </c>
      <c r="T42" s="1106" t="s">
        <v>1398</v>
      </c>
      <c r="U42" s="1107">
        <f t="shared" si="11"/>
        <v>100</v>
      </c>
      <c r="V42" s="1106" t="s">
        <v>1398</v>
      </c>
      <c r="W42" s="1107">
        <f t="shared" si="12"/>
        <v>100</v>
      </c>
      <c r="X42" s="1045"/>
      <c r="Y42" s="3389" t="s">
        <v>1426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89"/>
      <c r="Q43" s="704">
        <f t="shared" si="14"/>
        <v>111</v>
      </c>
      <c r="R43" s="1106" t="s">
        <v>1398</v>
      </c>
      <c r="S43" s="1107">
        <f t="shared" si="10"/>
        <v>100</v>
      </c>
      <c r="T43" s="1106" t="s">
        <v>1398</v>
      </c>
      <c r="U43" s="1107">
        <f t="shared" si="11"/>
        <v>100</v>
      </c>
      <c r="V43" s="1106" t="s">
        <v>1398</v>
      </c>
      <c r="W43" s="1107">
        <f t="shared" si="12"/>
        <v>100</v>
      </c>
      <c r="X43" s="1045"/>
      <c r="Y43" s="3389"/>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89"/>
      <c r="Q44" s="704">
        <f t="shared" si="14"/>
        <v>111</v>
      </c>
      <c r="R44" s="1106" t="s">
        <v>1398</v>
      </c>
      <c r="S44" s="1107">
        <f t="shared" si="10"/>
        <v>100</v>
      </c>
      <c r="T44" s="1106" t="s">
        <v>1398</v>
      </c>
      <c r="U44" s="1107">
        <f t="shared" si="11"/>
        <v>100</v>
      </c>
      <c r="V44" s="1106" t="s">
        <v>1398</v>
      </c>
      <c r="W44" s="1107">
        <f t="shared" si="12"/>
        <v>100</v>
      </c>
      <c r="X44" s="1045"/>
      <c r="Y44" s="3389"/>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89"/>
      <c r="Q45" s="704">
        <f t="shared" si="14"/>
        <v>111</v>
      </c>
      <c r="R45" s="1144" t="s">
        <v>1398</v>
      </c>
      <c r="S45" s="1145">
        <f t="shared" si="10"/>
        <v>100</v>
      </c>
      <c r="T45" s="1144" t="s">
        <v>1398</v>
      </c>
      <c r="U45" s="1145">
        <f t="shared" si="11"/>
        <v>100</v>
      </c>
      <c r="V45" s="1144" t="s">
        <v>1398</v>
      </c>
      <c r="W45" s="1145">
        <f t="shared" si="12"/>
        <v>100</v>
      </c>
      <c r="X45" s="1146"/>
      <c r="Y45" s="3389"/>
      <c r="Z45" s="1147">
        <f t="shared" si="13"/>
        <v>111</v>
      </c>
      <c r="AA45" s="1044">
        <f t="shared" si="3"/>
        <v>1</v>
      </c>
      <c r="AB45" s="1044">
        <f t="shared" si="4"/>
        <v>1</v>
      </c>
      <c r="AC45" s="1044">
        <f t="shared" si="5"/>
        <v>1</v>
      </c>
    </row>
    <row r="46" spans="1:29" ht="15">
      <c r="A46" s="1159" t="s">
        <v>1675</v>
      </c>
      <c r="B46" s="1160" t="s">
        <v>1694</v>
      </c>
      <c r="C46" s="1161" t="s">
        <v>124</v>
      </c>
      <c r="D46" s="1162"/>
      <c r="E46" s="1163"/>
      <c r="F46" s="1164"/>
      <c r="G46" s="1165"/>
      <c r="H46" s="1166"/>
      <c r="I46" s="1163"/>
      <c r="J46" s="1166"/>
      <c r="K46" s="1167"/>
      <c r="L46" s="1168"/>
      <c r="M46" s="1041"/>
      <c r="N46" s="1041"/>
      <c r="O46" s="1041"/>
      <c r="P46" s="3380" t="str">
        <f>A46</f>
        <v>成交单价</v>
      </c>
      <c r="Q46" s="3380"/>
      <c r="R46" s="3381">
        <f>E46</f>
        <v>0</v>
      </c>
      <c r="S46" s="3381"/>
      <c r="T46" s="3381">
        <f>G46</f>
        <v>0</v>
      </c>
      <c r="U46" s="3381"/>
      <c r="V46" s="3381">
        <f>I46</f>
        <v>0</v>
      </c>
      <c r="W46" s="3381"/>
      <c r="X46" s="1169"/>
      <c r="Y46" s="1170"/>
      <c r="Z46" s="1169"/>
      <c r="AA46" s="1169"/>
      <c r="AB46" s="1169"/>
      <c r="AC46" s="1169"/>
    </row>
    <row r="47" spans="1:29" ht="15">
      <c r="A47" s="1171" t="s">
        <v>1443</v>
      </c>
      <c r="B47" s="1172"/>
      <c r="C47" s="1173" t="e">
        <f>R48</f>
        <v>#DIV/0!</v>
      </c>
      <c r="D47" s="1174" t="s">
        <v>1444</v>
      </c>
      <c r="E47" s="1173" t="e">
        <f>R47</f>
        <v>#DIV/0!</v>
      </c>
      <c r="F47" s="1175"/>
      <c r="G47" s="1176" t="e">
        <f>T47</f>
        <v>#DIV/0!</v>
      </c>
      <c r="H47" s="1175"/>
      <c r="I47" s="1173" t="e">
        <f>V47</f>
        <v>#DIV/0!</v>
      </c>
      <c r="J47" s="1175"/>
      <c r="K47" s="1177">
        <f>F47+H47+J47</f>
        <v>0</v>
      </c>
      <c r="L47" s="1168"/>
      <c r="M47" s="1041"/>
      <c r="N47" s="1041"/>
      <c r="O47" s="1041"/>
      <c r="P47" s="3380" t="str">
        <f>A47</f>
        <v>比较价值（元/平方米）</v>
      </c>
      <c r="Q47" s="3380"/>
      <c r="R47" s="3450" t="e">
        <f>ROUND(PRODUCT(R46,AA7:AA45),0)</f>
        <v>#DIV/0!</v>
      </c>
      <c r="S47" s="3450"/>
      <c r="T47" s="3450" t="e">
        <f>ROUND(PRODUCT(T46,AB7:AB45),0)</f>
        <v>#DIV/0!</v>
      </c>
      <c r="U47" s="3450"/>
      <c r="V47" s="3450" t="e">
        <f>ROUND(PRODUCT(V46,AC7:AC45),0)</f>
        <v>#DIV/0!</v>
      </c>
      <c r="W47" s="3450"/>
      <c r="X47" s="1169"/>
      <c r="Y47" s="1169"/>
      <c r="Z47" s="1169"/>
      <c r="AA47" s="1169"/>
      <c r="AB47" s="1169"/>
      <c r="AC47" s="1169"/>
    </row>
    <row r="48" spans="1:29" ht="15">
      <c r="A48" s="1178" t="s">
        <v>1695</v>
      </c>
      <c r="B48" s="1179"/>
      <c r="C48" s="1180" t="e">
        <f>R48</f>
        <v>#DIV/0!</v>
      </c>
      <c r="D48" s="1180"/>
      <c r="E48" s="1180"/>
      <c r="F48" s="1180"/>
      <c r="G48" s="1180"/>
      <c r="H48" s="1180"/>
      <c r="I48" s="1180"/>
      <c r="J48" s="1180"/>
      <c r="K48" s="1181"/>
      <c r="L48" s="1168"/>
      <c r="M48" s="1041"/>
      <c r="N48" s="1041"/>
      <c r="O48" s="1041"/>
      <c r="P48" s="3416" t="str">
        <f>A48</f>
        <v>估价对象XX用房的比较价值（楼面单价，元/平方米）</v>
      </c>
      <c r="Q48" s="3417"/>
      <c r="R48" s="3451" t="e">
        <f>ROUND(IF(D47="简单平均",AVERAGE(R47:W47),R47*F47+T47*H47+V47*J47),0)</f>
        <v>#DIV/0!</v>
      </c>
      <c r="S48" s="3451"/>
      <c r="T48" s="3451"/>
      <c r="U48" s="3451"/>
      <c r="V48" s="3451"/>
      <c r="W48" s="3451"/>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1446</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1447</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1448</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1696</v>
      </c>
      <c r="B55" s="1196" t="s">
        <v>1697</v>
      </c>
      <c r="C55" s="1197" t="s">
        <v>1698</v>
      </c>
      <c r="D55" s="1198" t="s">
        <v>1699</v>
      </c>
      <c r="E55" s="1199" t="s">
        <v>1700</v>
      </c>
      <c r="F55" s="1352" t="s">
        <v>1701</v>
      </c>
      <c r="G55" s="3365" t="s">
        <v>1702</v>
      </c>
      <c r="H55" s="3449"/>
      <c r="I55" s="1353" t="s">
        <v>1703</v>
      </c>
      <c r="J55" s="1354">
        <f>项目基本情况!F35</f>
        <v>0</v>
      </c>
      <c r="K55" s="1201" t="s">
        <v>1704</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1705</v>
      </c>
      <c r="B56" s="1203" t="e">
        <f>C48</f>
        <v>#DIV/0!</v>
      </c>
      <c r="C56" s="1204">
        <v>1</v>
      </c>
      <c r="D56" s="1205">
        <v>1</v>
      </c>
      <c r="E56" s="1204">
        <f>'数据-汇总表'!E8+'数据-汇总表'!E9</f>
        <v>62.23</v>
      </c>
      <c r="F56" s="1355" t="e">
        <f t="shared" ref="F56:F64" si="15">ROUND(B56*E56/10000,0)</f>
        <v>#DIV/0!</v>
      </c>
      <c r="G56" s="3379"/>
      <c r="H56" s="3380"/>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1706</v>
      </c>
      <c r="B57" s="360" t="e">
        <f>ROUND($C$48*C57*D57,0)</f>
        <v>#DIV/0!</v>
      </c>
      <c r="C57" s="523">
        <f t="shared" ref="C57:C64" si="16">IF($C$55="北京市系数",I57,J57)</f>
        <v>0.6</v>
      </c>
      <c r="D57" s="1209">
        <v>0.25</v>
      </c>
      <c r="E57" s="1210"/>
      <c r="F57" s="1355" t="e">
        <f t="shared" si="15"/>
        <v>#DIV/0!</v>
      </c>
      <c r="G57" s="1211" t="s">
        <v>1707</v>
      </c>
      <c r="H57" s="1212" t="str">
        <f>项目基本情况!B37</f>
        <v>四级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1708</v>
      </c>
      <c r="B58" s="360" t="e">
        <f t="shared" ref="B58:B64" si="17">ROUND($C$48*C58*D58,0)</f>
        <v>#DIV/0!</v>
      </c>
      <c r="C58" s="523">
        <f t="shared" si="16"/>
        <v>0.3</v>
      </c>
      <c r="D58" s="1209">
        <v>0.25</v>
      </c>
      <c r="E58" s="1210"/>
      <c r="F58" s="1355" t="e">
        <f t="shared" si="15"/>
        <v>#DIV/0!</v>
      </c>
      <c r="G58" s="1214"/>
      <c r="H58" s="1212" t="str">
        <f>项目基本情况!B37</f>
        <v>四级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1709</v>
      </c>
      <c r="B59" s="360" t="e">
        <f t="shared" si="17"/>
        <v>#DIV/0!</v>
      </c>
      <c r="C59" s="523">
        <f t="shared" si="16"/>
        <v>0.25</v>
      </c>
      <c r="D59" s="1209">
        <v>0.25</v>
      </c>
      <c r="E59" s="1210"/>
      <c r="F59" s="1355" t="e">
        <f t="shared" si="15"/>
        <v>#DIV/0!</v>
      </c>
      <c r="G59" s="1214"/>
      <c r="H59" s="1212" t="str">
        <f>项目基本情况!B37</f>
        <v>四级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1710</v>
      </c>
      <c r="B60" s="360" t="e">
        <f t="shared" si="17"/>
        <v>#DIV/0!</v>
      </c>
      <c r="C60" s="523">
        <f t="shared" si="16"/>
        <v>0.3</v>
      </c>
      <c r="D60" s="1209">
        <v>0.25</v>
      </c>
      <c r="E60" s="359">
        <f>'数据-汇总表'!E11</f>
        <v>0</v>
      </c>
      <c r="F60" s="1355" t="e">
        <f t="shared" si="15"/>
        <v>#DIV/0!</v>
      </c>
      <c r="G60" s="1216" t="s">
        <v>1711</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1712</v>
      </c>
      <c r="B61" s="360" t="e">
        <f t="shared" si="17"/>
        <v>#DIV/0!</v>
      </c>
      <c r="C61" s="523">
        <f t="shared" si="16"/>
        <v>0.3</v>
      </c>
      <c r="D61" s="1209">
        <v>0.25</v>
      </c>
      <c r="E61" s="359">
        <f>'数据-汇总表'!E12</f>
        <v>0</v>
      </c>
      <c r="F61" s="1355" t="e">
        <f t="shared" si="15"/>
        <v>#DIV/0!</v>
      </c>
      <c r="G61" s="1217" t="s">
        <v>1713</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1714</v>
      </c>
      <c r="B62" s="360" t="e">
        <f t="shared" si="17"/>
        <v>#DIV/0!</v>
      </c>
      <c r="C62" s="523">
        <f t="shared" si="16"/>
        <v>0</v>
      </c>
      <c r="D62" s="1209">
        <v>0.25</v>
      </c>
      <c r="E62" s="359">
        <f>'数据-汇总表'!E13</f>
        <v>0</v>
      </c>
      <c r="F62" s="1355" t="e">
        <f t="shared" si="15"/>
        <v>#DIV/0!</v>
      </c>
      <c r="G62" s="1217" t="s">
        <v>1715</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1716</v>
      </c>
      <c r="B63" s="360" t="e">
        <f t="shared" si="17"/>
        <v>#DIV/0!</v>
      </c>
      <c r="C63" s="523">
        <f t="shared" si="16"/>
        <v>0.15</v>
      </c>
      <c r="D63" s="1209">
        <v>0.25</v>
      </c>
      <c r="E63" s="359">
        <f>'数据-汇总表'!E14</f>
        <v>0</v>
      </c>
      <c r="F63" s="1355" t="e">
        <f t="shared" si="15"/>
        <v>#DIV/0!</v>
      </c>
      <c r="G63" s="1216" t="s">
        <v>1707</v>
      </c>
      <c r="H63" s="1212" t="str">
        <f>项目基本情况!B37</f>
        <v>四级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1717</v>
      </c>
      <c r="B64" s="360" t="e">
        <f t="shared" si="17"/>
        <v>#DIV/0!</v>
      </c>
      <c r="C64" s="523">
        <f t="shared" si="16"/>
        <v>0.2</v>
      </c>
      <c r="D64" s="1209">
        <v>0.25</v>
      </c>
      <c r="E64" s="359">
        <f>'数据-汇总表'!E15</f>
        <v>0</v>
      </c>
      <c r="F64" s="1355" t="e">
        <f t="shared" si="15"/>
        <v>#DIV/0!</v>
      </c>
      <c r="G64" s="1218" t="s">
        <v>1711</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1718</v>
      </c>
      <c r="B65" s="1221" t="s">
        <v>1719</v>
      </c>
      <c r="C65" s="1221" t="s">
        <v>1719</v>
      </c>
      <c r="D65" s="1221" t="s">
        <v>1719</v>
      </c>
      <c r="E65" s="1221">
        <f>IF(B46="楼面地价",SUM(E56:E64),'数据-汇总表'!D3)</f>
        <v>62.23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1449</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1720</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1721</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1450</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1399</v>
      </c>
      <c r="B72" s="1253"/>
      <c r="C72" s="1254" t="s">
        <v>1451</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1404</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1407</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1409</v>
      </c>
      <c r="B87" s="1262" t="s">
        <v>1483</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1470</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1410</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1413</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1686</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1687</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1414</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1415</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1722</v>
      </c>
      <c r="D103" s="1272" t="s">
        <v>1723</v>
      </c>
      <c r="E103" s="1272" t="s">
        <v>1724</v>
      </c>
      <c r="F103" s="1272" t="s">
        <v>1725</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1418</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1688</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1423</v>
      </c>
      <c r="B115" s="1262" t="s">
        <v>1689</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1690</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1691</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1692</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1693</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1661</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452" t="s">
        <v>1726</v>
      </c>
      <c r="D6" s="3453"/>
      <c r="E6" s="3454" t="s">
        <v>1726</v>
      </c>
      <c r="F6" s="3455"/>
      <c r="G6" s="3452" t="s">
        <v>1726</v>
      </c>
      <c r="H6" s="3453"/>
      <c r="I6" s="3452" t="s">
        <v>1726</v>
      </c>
      <c r="J6" s="3453"/>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t="s">
        <v>1451</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7" t="s">
        <v>1402</v>
      </c>
      <c r="Q8" s="3378"/>
      <c r="R8" s="1064" t="s">
        <v>1398</v>
      </c>
      <c r="S8" s="1065">
        <f t="shared" si="0"/>
        <v>0</v>
      </c>
      <c r="T8" s="1064" t="s">
        <v>1398</v>
      </c>
      <c r="U8" s="1065">
        <f t="shared" si="1"/>
        <v>0</v>
      </c>
      <c r="V8" s="1064" t="s">
        <v>1398</v>
      </c>
      <c r="W8" s="1065">
        <f t="shared" si="2"/>
        <v>0</v>
      </c>
      <c r="X8" s="1066"/>
      <c r="Y8" s="3377" t="s">
        <v>1402</v>
      </c>
      <c r="Z8" s="3378"/>
      <c r="AA8" s="1068" t="e">
        <f t="shared" ref="AA8:AA40" si="3">D8/F8</f>
        <v>#DIV/0!</v>
      </c>
      <c r="AB8" s="1068" t="e">
        <f t="shared" ref="AB8:AB40" si="4">D8/H8</f>
        <v>#DIV/0!</v>
      </c>
      <c r="AC8" s="1068" t="e">
        <f t="shared" ref="AC8:AC40" si="5">D8/J8</f>
        <v>#DIV/0!</v>
      </c>
    </row>
    <row r="9" spans="1:29" s="1008" customFormat="1">
      <c r="A9" s="1070" t="s">
        <v>1403</v>
      </c>
      <c r="B9" s="1071" t="s">
        <v>1404</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0" t="s">
        <v>1405</v>
      </c>
      <c r="Q9" s="808" t="str">
        <f t="shared" ref="Q9:Q15" si="6">B9</f>
        <v>用途</v>
      </c>
      <c r="R9" s="1064" t="s">
        <v>1398</v>
      </c>
      <c r="S9" s="1065">
        <f t="shared" si="0"/>
        <v>100</v>
      </c>
      <c r="T9" s="1064" t="s">
        <v>1398</v>
      </c>
      <c r="U9" s="1065">
        <f t="shared" si="1"/>
        <v>100</v>
      </c>
      <c r="V9" s="1064" t="s">
        <v>1398</v>
      </c>
      <c r="W9" s="1065">
        <f t="shared" si="2"/>
        <v>100</v>
      </c>
      <c r="X9" s="1066"/>
      <c r="Y9" s="3356"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077"/>
      <c r="F10" s="1078">
        <f>ROUND(100/'数据-取费表'!G16,0)</f>
        <v>108</v>
      </c>
      <c r="G10" s="1077"/>
      <c r="H10" s="1078">
        <f>ROUND(100/'数据-取费表'!G16,0)</f>
        <v>108</v>
      </c>
      <c r="I10" s="1077"/>
      <c r="J10" s="1078">
        <f>ROUND(100/'数据-取费表'!G16,0)</f>
        <v>108</v>
      </c>
      <c r="K10" s="1079"/>
      <c r="L10" s="1080"/>
      <c r="M10" s="1081"/>
      <c r="N10" s="1081"/>
      <c r="O10" s="1082"/>
      <c r="P10" s="3380"/>
      <c r="Q10" s="808" t="str">
        <f t="shared" si="6"/>
        <v>土地使用年限（年）</v>
      </c>
      <c r="R10" s="1064" t="s">
        <v>1398</v>
      </c>
      <c r="S10" s="1065">
        <f t="shared" si="0"/>
        <v>108</v>
      </c>
      <c r="T10" s="1064" t="s">
        <v>1398</v>
      </c>
      <c r="U10" s="1065">
        <f t="shared" si="1"/>
        <v>108</v>
      </c>
      <c r="V10" s="1064" t="s">
        <v>1398</v>
      </c>
      <c r="W10" s="1065">
        <f t="shared" si="2"/>
        <v>108</v>
      </c>
      <c r="X10" s="1066"/>
      <c r="Y10" s="3356"/>
      <c r="Z10" s="1068" t="str">
        <f t="shared" si="7"/>
        <v>土地使用年限（年）</v>
      </c>
      <c r="AA10" s="1068">
        <f t="shared" si="3"/>
        <v>0.92592592592592593</v>
      </c>
      <c r="AB10" s="1068">
        <f t="shared" si="4"/>
        <v>0.92592592592592593</v>
      </c>
      <c r="AC10" s="1068">
        <f t="shared" si="5"/>
        <v>0.92592592592592593</v>
      </c>
    </row>
    <row r="11" spans="1:29" ht="15">
      <c r="A11" s="1083"/>
      <c r="B11" s="1076" t="s">
        <v>1408</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0"/>
      <c r="Q11" s="808" t="str">
        <f t="shared" si="6"/>
        <v>容积率</v>
      </c>
      <c r="R11" s="1064" t="s">
        <v>1398</v>
      </c>
      <c r="S11" s="1065" t="e">
        <f t="shared" si="0"/>
        <v>#N/A</v>
      </c>
      <c r="T11" s="1064" t="s">
        <v>1398</v>
      </c>
      <c r="U11" s="1065" t="e">
        <f t="shared" si="1"/>
        <v>#N/A</v>
      </c>
      <c r="V11" s="1064" t="s">
        <v>1398</v>
      </c>
      <c r="W11" s="1065" t="e">
        <f t="shared" si="2"/>
        <v>#N/A</v>
      </c>
      <c r="X11" s="1066"/>
      <c r="Y11" s="3356"/>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0"/>
      <c r="Q12" s="808">
        <f t="shared" si="6"/>
        <v>111</v>
      </c>
      <c r="R12" s="1064" t="s">
        <v>1398</v>
      </c>
      <c r="S12" s="1065">
        <f t="shared" si="0"/>
        <v>100</v>
      </c>
      <c r="T12" s="1064" t="s">
        <v>1398</v>
      </c>
      <c r="U12" s="1065">
        <f t="shared" si="1"/>
        <v>100</v>
      </c>
      <c r="V12" s="1064" t="s">
        <v>1398</v>
      </c>
      <c r="W12" s="1065">
        <f t="shared" si="2"/>
        <v>100</v>
      </c>
      <c r="X12" s="1066"/>
      <c r="Y12" s="3356"/>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0"/>
      <c r="Q13" s="808">
        <f t="shared" si="6"/>
        <v>111</v>
      </c>
      <c r="R13" s="1064" t="s">
        <v>1398</v>
      </c>
      <c r="S13" s="1065">
        <f t="shared" si="0"/>
        <v>100</v>
      </c>
      <c r="T13" s="1064" t="s">
        <v>1398</v>
      </c>
      <c r="U13" s="1065">
        <f t="shared" si="1"/>
        <v>100</v>
      </c>
      <c r="V13" s="1064" t="s">
        <v>1398</v>
      </c>
      <c r="W13" s="1065">
        <f t="shared" si="2"/>
        <v>100</v>
      </c>
      <c r="X13" s="1066"/>
      <c r="Y13" s="3356"/>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0"/>
      <c r="Q14" s="808">
        <f t="shared" si="6"/>
        <v>111</v>
      </c>
      <c r="R14" s="1064" t="s">
        <v>1398</v>
      </c>
      <c r="S14" s="1065">
        <f t="shared" si="0"/>
        <v>100</v>
      </c>
      <c r="T14" s="1064" t="s">
        <v>1398</v>
      </c>
      <c r="U14" s="1065">
        <f t="shared" si="1"/>
        <v>100</v>
      </c>
      <c r="V14" s="1064" t="s">
        <v>1398</v>
      </c>
      <c r="W14" s="1065">
        <f t="shared" si="2"/>
        <v>100</v>
      </c>
      <c r="X14" s="1066"/>
      <c r="Y14" s="3356"/>
      <c r="Z14" s="1068">
        <f t="shared" si="7"/>
        <v>111</v>
      </c>
      <c r="AA14" s="1068">
        <f t="shared" si="3"/>
        <v>1</v>
      </c>
      <c r="AB14" s="1068">
        <f t="shared" si="4"/>
        <v>1</v>
      </c>
      <c r="AC14" s="1068">
        <f t="shared" si="5"/>
        <v>1</v>
      </c>
    </row>
    <row r="15" spans="1:29" ht="57">
      <c r="A15" s="1100" t="s">
        <v>1409</v>
      </c>
      <c r="B15" s="1101" t="s">
        <v>1662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7" t="s">
        <v>1411</v>
      </c>
      <c r="Q15" s="704" t="str">
        <f t="shared" si="6"/>
        <v>产业集聚程度</v>
      </c>
      <c r="R15" s="1106" t="s">
        <v>1398</v>
      </c>
      <c r="S15" s="1107">
        <f t="shared" si="0"/>
        <v>100</v>
      </c>
      <c r="T15" s="1106" t="s">
        <v>1398</v>
      </c>
      <c r="U15" s="1107">
        <f t="shared" si="1"/>
        <v>100</v>
      </c>
      <c r="V15" s="1106" t="s">
        <v>1398</v>
      </c>
      <c r="W15" s="1107">
        <f t="shared" si="2"/>
        <v>100</v>
      </c>
      <c r="X15" s="1045"/>
      <c r="Y15" s="3387" t="s">
        <v>1411</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88"/>
      <c r="Q16" s="704"/>
      <c r="R16" s="1106"/>
      <c r="S16" s="1107"/>
      <c r="T16" s="1106"/>
      <c r="U16" s="1107"/>
      <c r="V16" s="1106"/>
      <c r="W16" s="1107"/>
      <c r="X16" s="1045"/>
      <c r="Y16" s="3388"/>
      <c r="Z16" s="1044"/>
      <c r="AA16" s="1044">
        <v>1</v>
      </c>
      <c r="AB16" s="1044">
        <v>1</v>
      </c>
      <c r="AC16" s="1044">
        <v>1</v>
      </c>
    </row>
    <row r="17" spans="1:29" ht="85.5">
      <c r="A17" s="1083"/>
      <c r="B17" s="1114" t="s">
        <v>1413</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88"/>
      <c r="Q17" s="704" t="str">
        <f>B17</f>
        <v>交通便捷度</v>
      </c>
      <c r="R17" s="1106" t="s">
        <v>1398</v>
      </c>
      <c r="S17" s="1107">
        <f>F17</f>
        <v>100</v>
      </c>
      <c r="T17" s="1106" t="s">
        <v>1398</v>
      </c>
      <c r="U17" s="1107">
        <f>H17</f>
        <v>100</v>
      </c>
      <c r="V17" s="1106" t="s">
        <v>1398</v>
      </c>
      <c r="W17" s="1107">
        <f>J17</f>
        <v>100</v>
      </c>
      <c r="X17" s="1045"/>
      <c r="Y17" s="3388"/>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88"/>
      <c r="Q18" s="704"/>
      <c r="R18" s="1106"/>
      <c r="S18" s="1107"/>
      <c r="T18" s="1106"/>
      <c r="U18" s="1107"/>
      <c r="V18" s="1106"/>
      <c r="W18" s="1107"/>
      <c r="X18" s="1045"/>
      <c r="Y18" s="3388"/>
      <c r="Z18" s="1044"/>
      <c r="AA18" s="1044">
        <v>1</v>
      </c>
      <c r="AB18" s="1044">
        <v>1</v>
      </c>
      <c r="AC18" s="1044">
        <v>1</v>
      </c>
    </row>
    <row r="19" spans="1:29" ht="15">
      <c r="A19" s="1083"/>
      <c r="B19" s="1114" t="s">
        <v>1686</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88"/>
      <c r="Q19" s="704" t="str">
        <f t="shared" ref="Q19:Q34" si="8">B19</f>
        <v>区域土地利用方向</v>
      </c>
      <c r="R19" s="1106" t="s">
        <v>1398</v>
      </c>
      <c r="S19" s="1107">
        <f>F19</f>
        <v>100</v>
      </c>
      <c r="T19" s="1106" t="s">
        <v>1398</v>
      </c>
      <c r="U19" s="1107">
        <f>H19</f>
        <v>100</v>
      </c>
      <c r="V19" s="1106" t="s">
        <v>1398</v>
      </c>
      <c r="W19" s="1107">
        <f>J19</f>
        <v>100</v>
      </c>
      <c r="X19" s="1045"/>
      <c r="Y19" s="3388"/>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88"/>
      <c r="Q20" s="704"/>
      <c r="R20" s="1106"/>
      <c r="S20" s="1107"/>
      <c r="T20" s="1106"/>
      <c r="U20" s="1107"/>
      <c r="V20" s="1106"/>
      <c r="W20" s="1107"/>
      <c r="X20" s="1045"/>
      <c r="Y20" s="3388"/>
      <c r="Z20" s="1044"/>
      <c r="AA20" s="1044"/>
      <c r="AB20" s="1044"/>
      <c r="AC20" s="1044"/>
    </row>
    <row r="21" spans="1:29" ht="71.25">
      <c r="A21" s="1046"/>
      <c r="B21" s="1114" t="s">
        <v>1727</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88"/>
      <c r="Q21" s="704" t="str">
        <f t="shared" si="8"/>
        <v>环境状况</v>
      </c>
      <c r="R21" s="1106" t="s">
        <v>1398</v>
      </c>
      <c r="S21" s="1107">
        <f>F21</f>
        <v>100</v>
      </c>
      <c r="T21" s="1106" t="s">
        <v>1398</v>
      </c>
      <c r="U21" s="1107">
        <f>H21</f>
        <v>100</v>
      </c>
      <c r="V21" s="1106" t="s">
        <v>1398</v>
      </c>
      <c r="W21" s="1107">
        <f>J21</f>
        <v>100</v>
      </c>
      <c r="X21" s="1045"/>
      <c r="Y21" s="3388"/>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88"/>
      <c r="Q22" s="704"/>
      <c r="R22" s="1106"/>
      <c r="S22" s="1107"/>
      <c r="T22" s="1106"/>
      <c r="U22" s="1107"/>
      <c r="V22" s="1106"/>
      <c r="W22" s="1107"/>
      <c r="X22" s="1045"/>
      <c r="Y22" s="3388"/>
      <c r="Z22" s="1044"/>
      <c r="AA22" s="1044">
        <v>1</v>
      </c>
      <c r="AB22" s="1044">
        <v>1</v>
      </c>
      <c r="AC22" s="1044">
        <v>1</v>
      </c>
    </row>
    <row r="23" spans="1:29" s="1008" customFormat="1" ht="42.75">
      <c r="A23" s="1123"/>
      <c r="B23" s="1124" t="s">
        <v>1414</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88"/>
      <c r="Q23" s="808" t="str">
        <f t="shared" si="8"/>
        <v>公共配套设施</v>
      </c>
      <c r="R23" s="1064" t="s">
        <v>1398</v>
      </c>
      <c r="S23" s="1065">
        <f>F23</f>
        <v>100</v>
      </c>
      <c r="T23" s="1064" t="s">
        <v>1398</v>
      </c>
      <c r="U23" s="1065">
        <f>H23</f>
        <v>100</v>
      </c>
      <c r="V23" s="1064" t="s">
        <v>1398</v>
      </c>
      <c r="W23" s="1065">
        <f>J23</f>
        <v>100</v>
      </c>
      <c r="X23" s="1066"/>
      <c r="Y23" s="3388"/>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88"/>
      <c r="Q24" s="808"/>
      <c r="R24" s="1064"/>
      <c r="S24" s="1065"/>
      <c r="T24" s="1064"/>
      <c r="U24" s="1065"/>
      <c r="V24" s="1064"/>
      <c r="W24" s="1065"/>
      <c r="X24" s="1066"/>
      <c r="Y24" s="3388"/>
      <c r="Z24" s="1068"/>
      <c r="AA24" s="1068">
        <v>1</v>
      </c>
      <c r="AB24" s="1068">
        <v>1</v>
      </c>
      <c r="AC24" s="1068">
        <v>1</v>
      </c>
    </row>
    <row r="25" spans="1:29" s="1008" customFormat="1" ht="28.5">
      <c r="A25" s="1123"/>
      <c r="B25" s="1124" t="s">
        <v>1415</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88"/>
      <c r="Q25" s="808" t="str">
        <f t="shared" ref="Q25" si="9">B25</f>
        <v>基础设施水平</v>
      </c>
      <c r="R25" s="1064" t="s">
        <v>1398</v>
      </c>
      <c r="S25" s="1065">
        <f>F25</f>
        <v>100</v>
      </c>
      <c r="T25" s="1064" t="s">
        <v>1398</v>
      </c>
      <c r="U25" s="1065">
        <f>H25</f>
        <v>100</v>
      </c>
      <c r="V25" s="1064" t="s">
        <v>1398</v>
      </c>
      <c r="W25" s="1065">
        <f>J25</f>
        <v>100</v>
      </c>
      <c r="X25" s="1066"/>
      <c r="Y25" s="3388"/>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88"/>
      <c r="Q26" s="808"/>
      <c r="R26" s="1064"/>
      <c r="S26" s="1065"/>
      <c r="T26" s="1064"/>
      <c r="U26" s="1065"/>
      <c r="V26" s="1064"/>
      <c r="W26" s="1065"/>
      <c r="X26" s="1066"/>
      <c r="Y26" s="3388"/>
      <c r="Z26" s="1068"/>
      <c r="AA26" s="1068">
        <v>1</v>
      </c>
      <c r="AB26" s="1068">
        <v>1</v>
      </c>
      <c r="AC26" s="1068">
        <v>1</v>
      </c>
    </row>
    <row r="27" spans="1:29" ht="15">
      <c r="A27" s="1083"/>
      <c r="B27" s="1119" t="s">
        <v>1472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88"/>
      <c r="Q27" s="704" t="str">
        <f t="shared" si="8"/>
        <v>临街状况</v>
      </c>
      <c r="R27" s="1106" t="s">
        <v>1398</v>
      </c>
      <c r="S27" s="1107">
        <f t="shared" ref="S27:S40" si="10">F27</f>
        <v>100</v>
      </c>
      <c r="T27" s="1106" t="s">
        <v>1398</v>
      </c>
      <c r="U27" s="1107">
        <f t="shared" ref="U27:U40" si="11">H27</f>
        <v>100</v>
      </c>
      <c r="V27" s="1106" t="s">
        <v>1398</v>
      </c>
      <c r="W27" s="1107">
        <f t="shared" ref="W27:W40" si="12">J27</f>
        <v>100</v>
      </c>
      <c r="X27" s="1045"/>
      <c r="Y27" s="3388"/>
      <c r="Z27" s="1044" t="str">
        <f t="shared" ref="Z27:Z40" si="13">Q27</f>
        <v>临街状况</v>
      </c>
      <c r="AA27" s="1044">
        <f t="shared" si="3"/>
        <v>1</v>
      </c>
      <c r="AB27" s="1044">
        <f t="shared" si="4"/>
        <v>1</v>
      </c>
      <c r="AC27" s="1044">
        <f t="shared" si="5"/>
        <v>1</v>
      </c>
    </row>
    <row r="28" spans="1:29" ht="27">
      <c r="A28" s="1083"/>
      <c r="B28" s="1124" t="s">
        <v>1418</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88"/>
      <c r="Q28" s="704" t="str">
        <f t="shared" si="8"/>
        <v>毗邻道路的类型与等级</v>
      </c>
      <c r="R28" s="1106" t="s">
        <v>1398</v>
      </c>
      <c r="S28" s="1107">
        <f t="shared" si="10"/>
        <v>100</v>
      </c>
      <c r="T28" s="1106" t="s">
        <v>1398</v>
      </c>
      <c r="U28" s="1107">
        <f t="shared" si="11"/>
        <v>100</v>
      </c>
      <c r="V28" s="1106" t="s">
        <v>1398</v>
      </c>
      <c r="W28" s="1107">
        <f t="shared" si="12"/>
        <v>100</v>
      </c>
      <c r="X28" s="1045"/>
      <c r="Y28" s="3388"/>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88"/>
      <c r="Q29" s="704"/>
      <c r="R29" s="1106"/>
      <c r="S29" s="1107"/>
      <c r="T29" s="1106"/>
      <c r="U29" s="1107"/>
      <c r="V29" s="1106"/>
      <c r="W29" s="1107"/>
      <c r="X29" s="1045"/>
      <c r="Y29" s="3388"/>
      <c r="Z29" s="1044"/>
      <c r="AA29" s="1044">
        <v>1</v>
      </c>
      <c r="AB29" s="1044">
        <v>1</v>
      </c>
      <c r="AC29" s="1044">
        <v>1</v>
      </c>
    </row>
    <row r="30" spans="1:29" ht="15">
      <c r="A30" s="1083"/>
      <c r="B30" s="1078" t="s">
        <v>1688</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88"/>
      <c r="Q30" s="704" t="str">
        <f t="shared" si="8"/>
        <v>土地级别</v>
      </c>
      <c r="R30" s="1106" t="s">
        <v>1398</v>
      </c>
      <c r="S30" s="1107">
        <f t="shared" si="10"/>
        <v>100</v>
      </c>
      <c r="T30" s="1106" t="s">
        <v>1398</v>
      </c>
      <c r="U30" s="1107">
        <f t="shared" si="11"/>
        <v>100</v>
      </c>
      <c r="V30" s="1106" t="s">
        <v>1398</v>
      </c>
      <c r="W30" s="1107">
        <f t="shared" si="12"/>
        <v>100</v>
      </c>
      <c r="X30" s="1045"/>
      <c r="Y30" s="3388"/>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88"/>
      <c r="Q31" s="704">
        <f t="shared" si="8"/>
        <v>111</v>
      </c>
      <c r="R31" s="1106" t="s">
        <v>1398</v>
      </c>
      <c r="S31" s="1107">
        <f t="shared" si="10"/>
        <v>100</v>
      </c>
      <c r="T31" s="1106" t="s">
        <v>1398</v>
      </c>
      <c r="U31" s="1107">
        <f t="shared" si="11"/>
        <v>100</v>
      </c>
      <c r="V31" s="1106" t="s">
        <v>1398</v>
      </c>
      <c r="W31" s="1107">
        <f t="shared" si="12"/>
        <v>100</v>
      </c>
      <c r="X31" s="1045"/>
      <c r="Y31" s="3388"/>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7" t="s">
        <v>1426</v>
      </c>
      <c r="Q32" s="704">
        <f t="shared" si="8"/>
        <v>111</v>
      </c>
      <c r="R32" s="1106" t="s">
        <v>1398</v>
      </c>
      <c r="S32" s="1107">
        <f t="shared" si="10"/>
        <v>100</v>
      </c>
      <c r="T32" s="1106" t="s">
        <v>1398</v>
      </c>
      <c r="U32" s="1107">
        <f t="shared" si="11"/>
        <v>100</v>
      </c>
      <c r="V32" s="1106" t="s">
        <v>1398</v>
      </c>
      <c r="W32" s="1107">
        <f t="shared" si="12"/>
        <v>100</v>
      </c>
      <c r="X32" s="1045"/>
      <c r="Y32" s="3389" t="s">
        <v>1426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89"/>
      <c r="Q33" s="704">
        <f t="shared" si="8"/>
        <v>111</v>
      </c>
      <c r="R33" s="1144" t="s">
        <v>1398</v>
      </c>
      <c r="S33" s="1145">
        <f t="shared" si="10"/>
        <v>100</v>
      </c>
      <c r="T33" s="1144" t="s">
        <v>1398</v>
      </c>
      <c r="U33" s="1145">
        <f t="shared" si="11"/>
        <v>100</v>
      </c>
      <c r="V33" s="1144" t="s">
        <v>1398</v>
      </c>
      <c r="W33" s="1145">
        <f t="shared" si="12"/>
        <v>100</v>
      </c>
      <c r="X33" s="1146"/>
      <c r="Y33" s="3389"/>
      <c r="Z33" s="1147">
        <f t="shared" si="13"/>
        <v>111</v>
      </c>
      <c r="AA33" s="1044">
        <f t="shared" si="3"/>
        <v>1</v>
      </c>
      <c r="AB33" s="1044">
        <f t="shared" si="4"/>
        <v>1</v>
      </c>
      <c r="AC33" s="1044">
        <f t="shared" si="5"/>
        <v>1</v>
      </c>
    </row>
    <row r="34" spans="1:31" ht="15">
      <c r="A34" s="1100" t="s">
        <v>1423</v>
      </c>
      <c r="B34" s="1148" t="s">
        <v>1689</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89"/>
      <c r="Q34" s="704" t="str">
        <f t="shared" si="8"/>
        <v>宗地面积</v>
      </c>
      <c r="R34" s="1106" t="s">
        <v>1398</v>
      </c>
      <c r="S34" s="1107" t="e">
        <f t="shared" si="10"/>
        <v>#N/A</v>
      </c>
      <c r="T34" s="1106" t="s">
        <v>1398</v>
      </c>
      <c r="U34" s="1107" t="e">
        <f t="shared" si="11"/>
        <v>#N/A</v>
      </c>
      <c r="V34" s="1106" t="s">
        <v>1398</v>
      </c>
      <c r="W34" s="1107" t="e">
        <f t="shared" si="12"/>
        <v>#N/A</v>
      </c>
      <c r="X34" s="1045"/>
      <c r="Y34" s="3389"/>
      <c r="Z34" s="1044" t="str">
        <f t="shared" si="13"/>
        <v>宗地面积</v>
      </c>
      <c r="AA34" s="1044" t="e">
        <f t="shared" si="3"/>
        <v>#N/A</v>
      </c>
      <c r="AB34" s="1044" t="e">
        <f t="shared" si="4"/>
        <v>#N/A</v>
      </c>
      <c r="AC34" s="1044" t="e">
        <f t="shared" si="5"/>
        <v>#N/A</v>
      </c>
    </row>
    <row r="35" spans="1:31" ht="15">
      <c r="A35" s="1151"/>
      <c r="B35" s="1076" t="s">
        <v>1690</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89"/>
      <c r="Q35" s="704" t="str">
        <f t="shared" ref="Q35:Q40" si="14">B35</f>
        <v>宗地形状</v>
      </c>
      <c r="R35" s="1106" t="s">
        <v>1398</v>
      </c>
      <c r="S35" s="1107">
        <f t="shared" si="10"/>
        <v>100</v>
      </c>
      <c r="T35" s="1106" t="s">
        <v>1398</v>
      </c>
      <c r="U35" s="1107">
        <f t="shared" si="11"/>
        <v>100</v>
      </c>
      <c r="V35" s="1106" t="s">
        <v>1398</v>
      </c>
      <c r="W35" s="1107">
        <f t="shared" si="12"/>
        <v>100</v>
      </c>
      <c r="X35" s="1045"/>
      <c r="Y35" s="3389"/>
      <c r="Z35" s="1044" t="str">
        <f t="shared" si="13"/>
        <v>宗地形状</v>
      </c>
      <c r="AA35" s="1044">
        <f t="shared" si="3"/>
        <v>1</v>
      </c>
      <c r="AB35" s="1044">
        <f t="shared" si="4"/>
        <v>1</v>
      </c>
      <c r="AC35" s="1044">
        <f t="shared" si="5"/>
        <v>1</v>
      </c>
    </row>
    <row r="36" spans="1:31" s="1008" customFormat="1" ht="15">
      <c r="A36" s="1153"/>
      <c r="B36" s="1076" t="s">
        <v>1692</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89"/>
      <c r="Q36" s="704" t="str">
        <f t="shared" si="14"/>
        <v>宗地开发程度</v>
      </c>
      <c r="R36" s="1064" t="s">
        <v>1398</v>
      </c>
      <c r="S36" s="1065">
        <f t="shared" si="10"/>
        <v>100</v>
      </c>
      <c r="T36" s="1064" t="s">
        <v>1398</v>
      </c>
      <c r="U36" s="1065">
        <f t="shared" si="11"/>
        <v>100</v>
      </c>
      <c r="V36" s="1064" t="s">
        <v>1398</v>
      </c>
      <c r="W36" s="1065">
        <f t="shared" si="12"/>
        <v>100</v>
      </c>
      <c r="X36" s="1066"/>
      <c r="Y36" s="3389"/>
      <c r="Z36" s="1068" t="str">
        <f t="shared" si="13"/>
        <v>宗地开发程度</v>
      </c>
      <c r="AA36" s="1068">
        <f t="shared" si="3"/>
        <v>1</v>
      </c>
      <c r="AB36" s="1068">
        <f t="shared" si="4"/>
        <v>1</v>
      </c>
      <c r="AC36" s="1068">
        <f t="shared" si="5"/>
        <v>1</v>
      </c>
    </row>
    <row r="37" spans="1:31" ht="15">
      <c r="A37" s="1151"/>
      <c r="B37" s="1076" t="s">
        <v>1693</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89" t="s">
        <v>1426</v>
      </c>
      <c r="Q37" s="704" t="str">
        <f t="shared" si="14"/>
        <v>工程地质条件</v>
      </c>
      <c r="R37" s="1106" t="s">
        <v>1398</v>
      </c>
      <c r="S37" s="1107">
        <f t="shared" si="10"/>
        <v>100</v>
      </c>
      <c r="T37" s="1106" t="s">
        <v>1398</v>
      </c>
      <c r="U37" s="1107">
        <f t="shared" si="11"/>
        <v>100</v>
      </c>
      <c r="V37" s="1106" t="s">
        <v>1398</v>
      </c>
      <c r="W37" s="1107">
        <f t="shared" si="12"/>
        <v>100</v>
      </c>
      <c r="X37" s="1045"/>
      <c r="Y37" s="3389" t="s">
        <v>1426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89"/>
      <c r="Q38" s="704">
        <f t="shared" si="14"/>
        <v>111</v>
      </c>
      <c r="R38" s="1106" t="s">
        <v>1398</v>
      </c>
      <c r="S38" s="1107">
        <f t="shared" si="10"/>
        <v>100</v>
      </c>
      <c r="T38" s="1106" t="s">
        <v>1398</v>
      </c>
      <c r="U38" s="1107">
        <f t="shared" si="11"/>
        <v>100</v>
      </c>
      <c r="V38" s="1106" t="s">
        <v>1398</v>
      </c>
      <c r="W38" s="1107">
        <f t="shared" si="12"/>
        <v>100</v>
      </c>
      <c r="X38" s="1045"/>
      <c r="Y38" s="3389"/>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89"/>
      <c r="Q39" s="704">
        <f t="shared" si="14"/>
        <v>111</v>
      </c>
      <c r="R39" s="1106" t="s">
        <v>1398</v>
      </c>
      <c r="S39" s="1107">
        <f t="shared" si="10"/>
        <v>100</v>
      </c>
      <c r="T39" s="1106" t="s">
        <v>1398</v>
      </c>
      <c r="U39" s="1107">
        <f t="shared" si="11"/>
        <v>100</v>
      </c>
      <c r="V39" s="1106" t="s">
        <v>1398</v>
      </c>
      <c r="W39" s="1107">
        <f t="shared" si="12"/>
        <v>100</v>
      </c>
      <c r="X39" s="1045"/>
      <c r="Y39" s="3389"/>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89"/>
      <c r="Q40" s="704">
        <f t="shared" si="14"/>
        <v>111</v>
      </c>
      <c r="R40" s="1144" t="s">
        <v>1398</v>
      </c>
      <c r="S40" s="1145">
        <f t="shared" si="10"/>
        <v>100</v>
      </c>
      <c r="T40" s="1144" t="s">
        <v>1398</v>
      </c>
      <c r="U40" s="1145">
        <f t="shared" si="11"/>
        <v>100</v>
      </c>
      <c r="V40" s="1144" t="s">
        <v>1398</v>
      </c>
      <c r="W40" s="1145">
        <f t="shared" si="12"/>
        <v>100</v>
      </c>
      <c r="X40" s="1146"/>
      <c r="Y40" s="3389"/>
      <c r="Z40" s="1147">
        <f t="shared" si="13"/>
        <v>111</v>
      </c>
      <c r="AA40" s="1044">
        <f t="shared" si="3"/>
        <v>1</v>
      </c>
      <c r="AB40" s="1044">
        <f t="shared" si="4"/>
        <v>1</v>
      </c>
      <c r="AC40" s="1044">
        <f t="shared" si="5"/>
        <v>1</v>
      </c>
    </row>
    <row r="41" spans="1:31" ht="15">
      <c r="A41" s="1159" t="s">
        <v>1675</v>
      </c>
      <c r="B41" s="1160" t="s">
        <v>1728</v>
      </c>
      <c r="C41" s="1161" t="s">
        <v>124</v>
      </c>
      <c r="D41" s="1162"/>
      <c r="E41" s="1163"/>
      <c r="F41" s="1164"/>
      <c r="G41" s="1165"/>
      <c r="H41" s="1166"/>
      <c r="I41" s="1163"/>
      <c r="J41" s="1166"/>
      <c r="K41" s="1167"/>
      <c r="L41" s="1168"/>
      <c r="M41" s="1041"/>
      <c r="N41" s="1041"/>
      <c r="O41" s="1041"/>
      <c r="P41" s="3380" t="str">
        <f>A41</f>
        <v>成交单价</v>
      </c>
      <c r="Q41" s="3380"/>
      <c r="R41" s="3381">
        <f>E41</f>
        <v>0</v>
      </c>
      <c r="S41" s="3381"/>
      <c r="T41" s="3381">
        <f>G41</f>
        <v>0</v>
      </c>
      <c r="U41" s="3381"/>
      <c r="V41" s="3381">
        <f>I41</f>
        <v>0</v>
      </c>
      <c r="W41" s="3381"/>
      <c r="X41" s="1169"/>
      <c r="Y41" s="1170"/>
      <c r="Z41" s="1169"/>
      <c r="AA41" s="1169"/>
      <c r="AB41" s="1169"/>
      <c r="AC41" s="1169"/>
    </row>
    <row r="42" spans="1:31" ht="15">
      <c r="A42" s="1171" t="s">
        <v>1443</v>
      </c>
      <c r="B42" s="1172"/>
      <c r="C42" s="1173" t="e">
        <f>R43</f>
        <v>#DIV/0!</v>
      </c>
      <c r="D42" s="1174" t="s">
        <v>1444</v>
      </c>
      <c r="E42" s="1173" t="e">
        <f>R42</f>
        <v>#DIV/0!</v>
      </c>
      <c r="F42" s="1175"/>
      <c r="G42" s="1176" t="e">
        <f>T42</f>
        <v>#DIV/0!</v>
      </c>
      <c r="H42" s="1175"/>
      <c r="I42" s="1173" t="e">
        <f>V42</f>
        <v>#DIV/0!</v>
      </c>
      <c r="J42" s="1175"/>
      <c r="K42" s="1177">
        <f>F42+H42+J42</f>
        <v>0</v>
      </c>
      <c r="L42" s="1168"/>
      <c r="M42" s="1041"/>
      <c r="N42" s="1041"/>
      <c r="O42" s="1041"/>
      <c r="P42" s="3380" t="str">
        <f>A42</f>
        <v>比较价值（元/平方米）</v>
      </c>
      <c r="Q42" s="3380"/>
      <c r="R42" s="3450" t="e">
        <f>ROUND(PRODUCT(R41,AA7:AA40),0)</f>
        <v>#DIV/0!</v>
      </c>
      <c r="S42" s="3450"/>
      <c r="T42" s="3450" t="e">
        <f>ROUND(PRODUCT(T41,AB7:AB40),0)</f>
        <v>#DIV/0!</v>
      </c>
      <c r="U42" s="3450"/>
      <c r="V42" s="3450" t="e">
        <f>ROUND(PRODUCT(V41,AC7:AC40),0)</f>
        <v>#DIV/0!</v>
      </c>
      <c r="W42" s="3450"/>
      <c r="X42" s="1169"/>
      <c r="Y42" s="1169"/>
      <c r="Z42" s="1169"/>
      <c r="AA42" s="1169"/>
      <c r="AB42" s="1169"/>
      <c r="AC42" s="1169"/>
    </row>
    <row r="43" spans="1:31" ht="15">
      <c r="A43" s="1178" t="s">
        <v>1445</v>
      </c>
      <c r="B43" s="1179"/>
      <c r="C43" s="1180" t="e">
        <f>R43</f>
        <v>#DIV/0!</v>
      </c>
      <c r="D43" s="1180"/>
      <c r="E43" s="1180"/>
      <c r="F43" s="1180"/>
      <c r="G43" s="1180"/>
      <c r="H43" s="1180"/>
      <c r="I43" s="1180"/>
      <c r="J43" s="1180"/>
      <c r="K43" s="1181"/>
      <c r="L43" s="1168"/>
      <c r="M43" s="1041"/>
      <c r="N43" s="1041"/>
      <c r="O43" s="1041"/>
      <c r="P43" s="3416" t="str">
        <f>A43</f>
        <v>估价对象XX用房的比较价值（楼面单价，元/平方米）</v>
      </c>
      <c r="Q43" s="3417"/>
      <c r="R43" s="3451" t="e">
        <f>ROUND(IF(D42="简单平均",AVERAGE(R42:W42),R42*F42+T42*H42+V42*J42),0)</f>
        <v>#DIV/0!</v>
      </c>
      <c r="S43" s="3451"/>
      <c r="T43" s="3451"/>
      <c r="U43" s="3451"/>
      <c r="V43" s="3451"/>
      <c r="W43" s="3451"/>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1696</v>
      </c>
      <c r="B50" s="1196" t="s">
        <v>1697</v>
      </c>
      <c r="C50" s="1197" t="s">
        <v>1698</v>
      </c>
      <c r="D50" s="1198" t="s">
        <v>1699</v>
      </c>
      <c r="E50" s="1199" t="s">
        <v>1700</v>
      </c>
      <c r="F50" s="1200" t="s">
        <v>1701</v>
      </c>
      <c r="G50" s="3365" t="s">
        <v>1702</v>
      </c>
      <c r="H50" s="3449"/>
      <c r="I50" s="1044" t="s">
        <v>1729</v>
      </c>
      <c r="J50" s="1044">
        <f>项目基本情况!F35</f>
        <v>0</v>
      </c>
      <c r="K50" s="1201" t="s">
        <v>1704</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1705</v>
      </c>
      <c r="B51" s="1203" t="e">
        <f>C43</f>
        <v>#DIV/0!</v>
      </c>
      <c r="C51" s="1204">
        <v>1</v>
      </c>
      <c r="D51" s="1205">
        <v>1</v>
      </c>
      <c r="E51" s="1204">
        <f>'数据-汇总表'!E8+'数据-汇总表'!E9</f>
        <v>62.23</v>
      </c>
      <c r="F51" s="1206" t="e">
        <f t="shared" ref="F51:F60" si="15">ROUND(B51*E51/10000,0)</f>
        <v>#DIV/0!</v>
      </c>
      <c r="G51" s="3379"/>
      <c r="H51" s="3380"/>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1706</v>
      </c>
      <c r="B52" s="360" t="e">
        <f>ROUND($C$43*C52*D52,0)</f>
        <v>#DIV/0!</v>
      </c>
      <c r="C52" s="523">
        <f t="shared" ref="C52:C60" si="16">IF($C$50="北京市系数",I52,J52)</f>
        <v>0.6</v>
      </c>
      <c r="D52" s="1209">
        <v>0.25</v>
      </c>
      <c r="E52" s="1210"/>
      <c r="F52" s="1206" t="e">
        <f t="shared" si="15"/>
        <v>#DIV/0!</v>
      </c>
      <c r="G52" s="1211" t="s">
        <v>1707</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1708</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1709</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1710</v>
      </c>
      <c r="B56" s="360" t="e">
        <f t="shared" si="17"/>
        <v>#DIV/0!</v>
      </c>
      <c r="C56" s="523">
        <f t="shared" si="16"/>
        <v>0.3</v>
      </c>
      <c r="D56" s="1209">
        <v>0.25</v>
      </c>
      <c r="E56" s="359">
        <f>'数据-汇总表'!E11</f>
        <v>0</v>
      </c>
      <c r="F56" s="1206" t="e">
        <f t="shared" si="15"/>
        <v>#DIV/0!</v>
      </c>
      <c r="G56" s="1216" t="s">
        <v>1711</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1712</v>
      </c>
      <c r="B57" s="360" t="e">
        <f t="shared" si="17"/>
        <v>#DIV/0!</v>
      </c>
      <c r="C57" s="523">
        <f t="shared" si="16"/>
        <v>0.3</v>
      </c>
      <c r="D57" s="1209">
        <v>0.25</v>
      </c>
      <c r="E57" s="359">
        <f>'数据-汇总表'!E12</f>
        <v>0</v>
      </c>
      <c r="F57" s="1206" t="e">
        <f t="shared" si="15"/>
        <v>#DIV/0!</v>
      </c>
      <c r="G57" s="1217" t="s">
        <v>1713</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1714</v>
      </c>
      <c r="B58" s="360" t="e">
        <f t="shared" si="17"/>
        <v>#DIV/0!</v>
      </c>
      <c r="C58" s="523">
        <f t="shared" si="16"/>
        <v>0</v>
      </c>
      <c r="D58" s="1209">
        <v>0.25</v>
      </c>
      <c r="E58" s="359">
        <f>'数据-汇总表'!E13</f>
        <v>0</v>
      </c>
      <c r="F58" s="1206" t="e">
        <f t="shared" si="15"/>
        <v>#DIV/0!</v>
      </c>
      <c r="G58" s="1217" t="s">
        <v>1715</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1716</v>
      </c>
      <c r="B59" s="360" t="e">
        <f t="shared" si="17"/>
        <v>#DIV/0!</v>
      </c>
      <c r="C59" s="523">
        <f t="shared" si="16"/>
        <v>0.15</v>
      </c>
      <c r="D59" s="1209">
        <v>0.25</v>
      </c>
      <c r="E59" s="359">
        <f>'数据-汇总表'!E14</f>
        <v>0</v>
      </c>
      <c r="F59" s="1206" t="e">
        <f t="shared" si="15"/>
        <v>#DIV/0!</v>
      </c>
      <c r="G59" s="1216" t="s">
        <v>1707</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1717</v>
      </c>
      <c r="B60" s="360" t="e">
        <f t="shared" si="17"/>
        <v>#DIV/0!</v>
      </c>
      <c r="C60" s="523">
        <f t="shared" si="16"/>
        <v>0.2</v>
      </c>
      <c r="D60" s="1209">
        <v>0.25</v>
      </c>
      <c r="E60" s="359">
        <f>'数据-汇总表'!E15</f>
        <v>0</v>
      </c>
      <c r="F60" s="1206" t="e">
        <f t="shared" si="15"/>
        <v>#DIV/0!</v>
      </c>
      <c r="G60" s="1218" t="s">
        <v>1711</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1718</v>
      </c>
      <c r="B61" s="1221" t="s">
        <v>1719</v>
      </c>
      <c r="C61" s="1221" t="s">
        <v>1719</v>
      </c>
      <c r="D61" s="1221" t="s">
        <v>1719</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1449</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1720</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1730</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1450</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1399</v>
      </c>
      <c r="B68" s="1253"/>
      <c r="C68" s="1254" t="s">
        <v>1451</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1404</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1407</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1409</v>
      </c>
      <c r="B83" s="1262" t="s">
        <v>1662</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1413</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1686</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1687</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1414</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1415</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1722</v>
      </c>
      <c r="D95" s="1272" t="s">
        <v>1723</v>
      </c>
      <c r="E95" s="1272" t="s">
        <v>1724</v>
      </c>
      <c r="F95" s="1272" t="s">
        <v>1725</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1418</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1688</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1423</v>
      </c>
      <c r="B107" s="1262" t="s">
        <v>1689</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1690</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1692</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1693</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1731</v>
      </c>
      <c r="C1" s="3456" t="s">
        <v>1732</v>
      </c>
      <c r="D1" s="3457"/>
      <c r="E1" s="3457"/>
      <c r="F1" s="3457"/>
      <c r="G1" s="3457"/>
      <c r="H1" s="3457"/>
      <c r="I1" s="3457"/>
      <c r="J1" s="3457"/>
      <c r="K1" s="3457"/>
      <c r="L1" s="3457"/>
      <c r="M1" s="3457"/>
      <c r="N1" s="3457"/>
      <c r="O1" s="3457"/>
      <c r="P1" s="3457"/>
      <c r="Q1" s="3457"/>
      <c r="R1" s="3457"/>
      <c r="S1" s="3458"/>
      <c r="T1" s="900" t="s">
        <v>1733</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1734</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1735</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1736</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1737</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1738</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1739</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1740</v>
      </c>
      <c r="B17" s="966" t="s">
        <v>1741</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1742</v>
      </c>
      <c r="E19" s="985"/>
      <c r="F19" s="985"/>
      <c r="G19" s="985"/>
      <c r="H19" s="986"/>
      <c r="I19" s="983"/>
      <c r="J19" s="983"/>
      <c r="K19" s="983"/>
      <c r="L19" s="983"/>
      <c r="M19" s="983"/>
      <c r="N19" s="983"/>
      <c r="O19" s="983"/>
      <c r="P19" s="983"/>
      <c r="Q19" s="983"/>
      <c r="R19" s="983"/>
      <c r="S19" s="982"/>
    </row>
    <row r="20" spans="1:45" ht="15.75">
      <c r="A20" s="987" t="s">
        <v>1743</v>
      </c>
      <c r="B20" s="988">
        <f ca="1">IF(D20="——",S22,S22-F20)</f>
        <v>116</v>
      </c>
      <c r="C20" s="983"/>
      <c r="D20" s="989" t="s">
        <v>124</v>
      </c>
      <c r="E20" s="990"/>
      <c r="F20" s="900" t="e">
        <f ca="1">SUMIF(INDIRECT("'"&amp;H20&amp;"'"&amp;"!A:A"),"承租人权益价值",INDIRECT("'"&amp;H20&amp;"'"&amp;"!c:c"))</f>
        <v>#REF!</v>
      </c>
      <c r="G20" s="900" t="s">
        <v>851</v>
      </c>
      <c r="H20" s="991"/>
      <c r="I20" s="983"/>
      <c r="J20" s="983"/>
      <c r="K20" s="983"/>
      <c r="L20" s="983"/>
      <c r="M20" s="983"/>
      <c r="N20" s="983"/>
      <c r="O20" s="983"/>
      <c r="P20" s="983"/>
      <c r="Q20" s="983"/>
      <c r="R20" s="983"/>
      <c r="S20" s="982"/>
    </row>
    <row r="21" spans="1:45" ht="15.75">
      <c r="A21" s="987" t="s">
        <v>1744</v>
      </c>
      <c r="B21" s="988">
        <f ca="1">ROUND(B20*10000/B22,0)</f>
        <v>9320</v>
      </c>
      <c r="C21" s="983"/>
      <c r="D21" s="983"/>
      <c r="E21" s="983"/>
      <c r="F21" s="983"/>
      <c r="G21" s="983"/>
      <c r="H21" s="983"/>
      <c r="I21" s="983"/>
      <c r="J21" s="983"/>
      <c r="K21" s="983"/>
      <c r="L21" s="983"/>
      <c r="M21" s="983"/>
      <c r="N21" s="983"/>
      <c r="O21" s="983"/>
      <c r="P21" s="983"/>
      <c r="Q21" s="983"/>
      <c r="R21" s="983"/>
      <c r="S21" s="982"/>
    </row>
    <row r="22" spans="1:45">
      <c r="A22" s="992" t="s">
        <v>1745</v>
      </c>
      <c r="B22" s="993">
        <f>SUM(B24:B10000)</f>
        <v>124.46</v>
      </c>
      <c r="C22" s="3459" t="s">
        <v>124</v>
      </c>
      <c r="D22" s="3460"/>
      <c r="E22" s="3460"/>
      <c r="F22" s="3460"/>
      <c r="G22" s="3460"/>
      <c r="H22" s="3460"/>
      <c r="I22" s="3460"/>
      <c r="J22" s="3460"/>
      <c r="K22" s="3460"/>
      <c r="L22" s="3460"/>
      <c r="M22" s="3460"/>
      <c r="N22" s="3460"/>
      <c r="O22" s="3460"/>
      <c r="P22" s="3460"/>
      <c r="Q22" s="3461"/>
      <c r="R22" s="993">
        <f ca="1">ROUND(S22*10000/B22,0)</f>
        <v>9320</v>
      </c>
      <c r="S22" s="993">
        <f ca="1">SUM(S24:S10000)</f>
        <v>116</v>
      </c>
      <c r="T22" s="898">
        <f ca="1">T24+T25</f>
        <v>1153370</v>
      </c>
    </row>
    <row r="23" spans="1:45" s="895" customFormat="1" ht="24">
      <c r="A23" s="997" t="s">
        <v>1746</v>
      </c>
      <c r="B23" s="997" t="s">
        <v>505</v>
      </c>
      <c r="C23" s="997" t="s">
        <v>1733</v>
      </c>
      <c r="D23" s="997" t="str">
        <f>B5</f>
        <v>修正项2</v>
      </c>
      <c r="E23" s="997" t="s">
        <v>1733</v>
      </c>
      <c r="F23" s="997" t="str">
        <f>B7</f>
        <v>修正项3</v>
      </c>
      <c r="G23" s="997" t="s">
        <v>1733</v>
      </c>
      <c r="H23" s="997" t="str">
        <f>B9</f>
        <v>修正项4</v>
      </c>
      <c r="I23" s="997" t="s">
        <v>1733</v>
      </c>
      <c r="J23" s="997" t="str">
        <f>B11</f>
        <v>修正项5</v>
      </c>
      <c r="K23" s="997" t="s">
        <v>1733</v>
      </c>
      <c r="L23" s="997" t="str">
        <f>B13</f>
        <v>修正项6</v>
      </c>
      <c r="M23" s="997" t="s">
        <v>1733</v>
      </c>
      <c r="N23" s="997" t="str">
        <f>B15</f>
        <v>修正项7</v>
      </c>
      <c r="O23" s="997" t="s">
        <v>1733</v>
      </c>
      <c r="P23" s="997" t="str">
        <f>B17</f>
        <v>楼层</v>
      </c>
      <c r="Q23" s="997" t="s">
        <v>1733</v>
      </c>
      <c r="R23" s="997" t="s">
        <v>1747</v>
      </c>
      <c r="S23" s="997" t="s">
        <v>1748</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62.23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9267</v>
      </c>
      <c r="S24" s="1002">
        <f t="shared" ref="S24:S54" ca="1" si="11">ROUND(R24*B24/10000,0)</f>
        <v>58</v>
      </c>
      <c r="T24" s="1003">
        <f ca="1">ROUND(R24*B24,0)</f>
        <v>576685</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9267</v>
      </c>
      <c r="S25" s="992">
        <f t="shared" ca="1" si="11"/>
        <v>58</v>
      </c>
      <c r="T25" s="1003">
        <f ca="1">ROUND(R25*B25,0)</f>
        <v>576685</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1749</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1750</v>
      </c>
      <c r="D2" s="883" t="s">
        <v>1751</v>
      </c>
      <c r="E2" s="885">
        <f ca="1">SUMIF(E6:E13,"&lt;&gt;#ref!",E6:E13)</f>
        <v>62.23</v>
      </c>
      <c r="F2" s="882"/>
      <c r="G2" s="882"/>
      <c r="H2" s="882"/>
      <c r="I2" s="882"/>
      <c r="J2" s="882"/>
      <c r="K2" s="882"/>
      <c r="L2" s="882"/>
      <c r="M2" s="882"/>
      <c r="N2" s="882"/>
      <c r="O2" s="882"/>
      <c r="P2" s="882"/>
    </row>
    <row r="3" spans="1:16" ht="15.75">
      <c r="A3" s="883" t="s">
        <v>1752</v>
      </c>
      <c r="B3" s="884" t="e">
        <f ca="1">ROUND(B2*10000/E2,0)</f>
        <v>#DIV/0!</v>
      </c>
      <c r="C3" s="883" t="s">
        <v>1753</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1754</v>
      </c>
      <c r="B5" s="888" t="s">
        <v>1755</v>
      </c>
      <c r="C5" s="889"/>
      <c r="D5" s="882"/>
      <c r="E5" s="890" t="s">
        <v>1756</v>
      </c>
      <c r="F5" s="882"/>
      <c r="G5" s="882"/>
      <c r="H5" s="882"/>
      <c r="I5" s="882"/>
      <c r="J5" s="882"/>
      <c r="K5" s="882"/>
      <c r="L5" s="882"/>
      <c r="M5" s="882"/>
      <c r="N5" s="882"/>
      <c r="O5" s="882"/>
      <c r="P5" s="882"/>
    </row>
    <row r="6" spans="1:16" ht="15.75">
      <c r="A6" s="891" t="s">
        <v>1757</v>
      </c>
      <c r="B6" s="884" t="e">
        <f ca="1">SUMIF(INDIRECT("'"&amp;A6&amp;"'"&amp;"!A:A"),"总价",INDIRECT("'"&amp;A6&amp;"'"&amp;"!B:B"))</f>
        <v>#DIV/0!</v>
      </c>
      <c r="C6" s="883" t="s">
        <v>1750</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1750</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1750</v>
      </c>
      <c r="D8" s="882"/>
      <c r="E8" s="885" t="e">
        <f t="shared" ca="1" si="0"/>
        <v>#REF!</v>
      </c>
      <c r="F8" s="882"/>
      <c r="G8" s="882"/>
      <c r="H8" s="882"/>
      <c r="I8" s="882"/>
      <c r="J8" s="882"/>
      <c r="K8" s="882"/>
      <c r="L8" s="882"/>
      <c r="M8" s="882"/>
      <c r="N8" s="882"/>
      <c r="O8" s="882"/>
      <c r="P8" s="882"/>
    </row>
    <row r="9" spans="1:16" ht="15.75">
      <c r="A9" s="891"/>
      <c r="B9" s="884" t="e">
        <f t="shared" ca="1" si="1"/>
        <v>#REF!</v>
      </c>
      <c r="C9" s="883" t="s">
        <v>1750</v>
      </c>
      <c r="D9" s="882"/>
      <c r="E9" s="885" t="e">
        <f t="shared" ca="1" si="0"/>
        <v>#REF!</v>
      </c>
      <c r="F9" s="882"/>
      <c r="G9" s="882"/>
      <c r="H9" s="882"/>
      <c r="I9" s="882"/>
      <c r="J9" s="882"/>
      <c r="K9" s="882"/>
      <c r="L9" s="882"/>
      <c r="M9" s="882"/>
      <c r="N9" s="882"/>
      <c r="O9" s="882"/>
      <c r="P9" s="882"/>
    </row>
    <row r="10" spans="1:16" ht="15.75">
      <c r="A10" s="891"/>
      <c r="B10" s="884" t="e">
        <f t="shared" ca="1" si="1"/>
        <v>#REF!</v>
      </c>
      <c r="C10" s="883" t="s">
        <v>1750</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1750</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1750</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1750</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1758</v>
      </c>
      <c r="B1" s="340"/>
      <c r="C1" s="343" t="s">
        <v>1385</v>
      </c>
      <c r="D1" s="510">
        <f>SUM(D33:D34,D37:D42)</f>
        <v>62.23</v>
      </c>
      <c r="E1" s="511"/>
      <c r="F1" s="511"/>
      <c r="G1" s="511"/>
      <c r="H1" s="511"/>
      <c r="I1" s="511"/>
      <c r="J1" s="511"/>
      <c r="K1" s="503"/>
      <c r="L1" s="512" t="s">
        <v>1759</v>
      </c>
      <c r="M1" s="513">
        <f>SUMPRODUCT((区片价!B5:B9=I2)*(区片价!C3:G3=E2)*(区片价!C5:G9))</f>
        <v>0</v>
      </c>
      <c r="N1" s="514">
        <f>SUMPRODUCT((因素修正幅度!B5:B9=I2)*(因素修正幅度!C3:G3=E2)*(因素修正幅度!C5:G9))</f>
        <v>0</v>
      </c>
      <c r="O1" s="504"/>
      <c r="P1" s="504"/>
      <c r="Q1" s="503"/>
      <c r="R1" s="515" t="s">
        <v>1760</v>
      </c>
      <c r="S1" s="515" t="s">
        <v>1761</v>
      </c>
      <c r="T1" s="515" t="s">
        <v>1762</v>
      </c>
      <c r="U1" s="515" t="s">
        <v>1763</v>
      </c>
      <c r="V1" s="515" t="s">
        <v>1764</v>
      </c>
      <c r="W1" s="516"/>
      <c r="X1" s="516"/>
      <c r="Y1" s="516"/>
      <c r="Z1" s="516"/>
      <c r="AA1" s="516"/>
      <c r="AB1" s="516"/>
      <c r="AC1" s="517"/>
      <c r="AD1" s="518"/>
      <c r="AE1" s="518"/>
      <c r="AF1" s="518"/>
      <c r="AG1" s="518"/>
      <c r="AH1" s="518"/>
      <c r="AI1" s="518"/>
      <c r="AJ1" s="519"/>
    </row>
    <row r="2" spans="1:36" ht="15.75">
      <c r="A2" s="343" t="s">
        <v>1035</v>
      </c>
      <c r="B2" s="347" t="e">
        <f>C30</f>
        <v>#DIV/0!</v>
      </c>
      <c r="C2" s="520" t="s">
        <v>1036</v>
      </c>
      <c r="D2" s="521" t="s">
        <v>1765</v>
      </c>
      <c r="E2" s="522" t="s">
        <v>229</v>
      </c>
      <c r="F2" s="521" t="s">
        <v>1766</v>
      </c>
      <c r="G2" s="523" t="str">
        <f>IF(E2="商业",项目基本情况!B37,IF(E2="办公",项目基本情况!C37,IF(E2="住宅",项目基本情况!D37,IF(E2="工业",项目基本情况!E37,项目基本情况!F37))))</f>
        <v>四级</v>
      </c>
      <c r="H2" s="521" t="s">
        <v>1767</v>
      </c>
      <c r="I2" s="523" t="str">
        <f>IF(E2="商业",项目基本情况!B38,IF(E2="办公",项目基本情况!C38,IF(E2="住宅",项目基本情况!D38,IF(E2="工业",项目基本情况!E38,项目基本情况!F38))))</f>
        <v>Ⅳ-19</v>
      </c>
      <c r="J2" s="511"/>
      <c r="K2" s="503"/>
      <c r="L2" s="524" t="s">
        <v>1768</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1037</v>
      </c>
      <c r="B3" s="347" t="e">
        <f>ROUND(B2*10000/D1,0)</f>
        <v>#DIV/0!</v>
      </c>
      <c r="C3" s="520" t="s">
        <v>1038</v>
      </c>
      <c r="D3" s="521" t="s">
        <v>1769</v>
      </c>
      <c r="E3" s="528" t="s">
        <v>244</v>
      </c>
      <c r="F3" s="529" t="s">
        <v>1770</v>
      </c>
      <c r="G3" s="530">
        <f>IF(F3="宗地容积率",'数据-汇总表'!I4,IF(F3="估价对象容积率",'数据-汇总表'!I6,'数据-汇总表'!I7))</f>
        <v>3.5</v>
      </c>
      <c r="H3" s="521" t="s">
        <v>1771</v>
      </c>
      <c r="I3" s="531">
        <v>5</v>
      </c>
      <c r="J3" s="511" t="s">
        <v>1772</v>
      </c>
      <c r="K3" s="503"/>
      <c r="L3" s="524" t="s">
        <v>1773</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2"/>
      <c r="B4" s="3463"/>
      <c r="C4" s="3463"/>
      <c r="D4" s="3464"/>
      <c r="E4" s="3464"/>
      <c r="F4" s="3464"/>
      <c r="G4" s="3464"/>
      <c r="H4" s="3464"/>
      <c r="I4" s="3464"/>
      <c r="J4" s="3465"/>
      <c r="K4" s="503"/>
      <c r="L4" s="524" t="s">
        <v>1774</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941</v>
      </c>
      <c r="B5" s="533" t="s">
        <v>1775</v>
      </c>
      <c r="C5" s="534">
        <f>ROUND(IF(E2="商业",C6*C7*C17+C20,(IF(E2="住宅",C6*C13*C17+C20,IF(E2="办公",C6*C12*C17+C20,C6+C20)))),0)</f>
        <v>17574</v>
      </c>
      <c r="D5" s="535">
        <f>ROUND(C6*C17+C20,0)</f>
        <v>17574</v>
      </c>
      <c r="E5" s="535"/>
      <c r="F5" s="536"/>
      <c r="G5" s="537"/>
      <c r="H5" s="537"/>
      <c r="I5" s="537"/>
      <c r="J5" s="538"/>
      <c r="K5" s="539"/>
      <c r="L5" s="524" t="s">
        <v>1776</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1040</v>
      </c>
      <c r="B6" s="544" t="s">
        <v>1777</v>
      </c>
      <c r="C6" s="545">
        <f>SUMIF(L1:L12,G2,M1:M12)</f>
        <v>17610</v>
      </c>
      <c r="D6" s="546"/>
      <c r="E6" s="547"/>
      <c r="F6" s="547"/>
      <c r="G6" s="548"/>
      <c r="H6" s="548"/>
      <c r="I6" s="548"/>
      <c r="J6" s="549"/>
      <c r="K6" s="550"/>
      <c r="L6" s="524" t="s">
        <v>1778</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t="e">
        <f t="shared" si="0"/>
        <v>#DIV/0!</v>
      </c>
      <c r="U6" s="527">
        <f>'数据-汇总表'!E19</f>
        <v>62.23</v>
      </c>
      <c r="V6" s="526" t="e">
        <f t="shared" si="1"/>
        <v>#DIV/0!</v>
      </c>
      <c r="W6" s="516"/>
      <c r="X6" s="516"/>
      <c r="Y6" s="516"/>
      <c r="Z6" s="516"/>
      <c r="AA6" s="516"/>
      <c r="AB6" s="516"/>
      <c r="AC6" s="540"/>
      <c r="AD6" s="541"/>
      <c r="AE6" s="541"/>
      <c r="AF6" s="541"/>
      <c r="AG6" s="541"/>
      <c r="AH6" s="541"/>
      <c r="AI6" s="541"/>
      <c r="AJ6" s="542"/>
    </row>
    <row r="7" spans="1:36" ht="24">
      <c r="A7" s="551" t="s">
        <v>1779</v>
      </c>
      <c r="B7" s="552" t="s">
        <v>1780</v>
      </c>
      <c r="C7" s="553">
        <f>IF(C8="不临65条商业街",1,ROUND(1+(1.6*E8+1.2*E9+0.8*E10+0.4*E11)*C9,4))</f>
        <v>1</v>
      </c>
      <c r="D7" s="554" t="s">
        <v>1781</v>
      </c>
      <c r="E7" s="555"/>
      <c r="F7" s="556"/>
      <c r="G7" s="557"/>
      <c r="H7" s="557"/>
      <c r="I7" s="557"/>
      <c r="J7" s="558"/>
      <c r="K7" s="550"/>
      <c r="L7" s="524" t="s">
        <v>1782</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1783</v>
      </c>
      <c r="X7" s="561" t="str">
        <f>G2</f>
        <v>四级</v>
      </c>
      <c r="Y7" s="561" t="s">
        <v>1784</v>
      </c>
      <c r="Z7" s="562">
        <f>G3</f>
        <v>3.5</v>
      </c>
      <c r="AA7" s="516"/>
      <c r="AB7" s="516"/>
      <c r="AC7" s="517"/>
      <c r="AD7" s="518"/>
      <c r="AE7" s="518"/>
      <c r="AF7" s="518"/>
      <c r="AG7" s="518"/>
      <c r="AH7" s="518"/>
      <c r="AI7" s="518"/>
      <c r="AJ7" s="519"/>
    </row>
    <row r="8" spans="1:36" ht="25.5">
      <c r="A8" s="563"/>
      <c r="B8" s="521" t="s">
        <v>1785</v>
      </c>
      <c r="C8" s="564" t="s">
        <v>1786</v>
      </c>
      <c r="D8" s="565" t="s">
        <v>1787</v>
      </c>
      <c r="E8" s="566" t="e">
        <f>ROUND(C11/E7,4)</f>
        <v>#DIV/0!</v>
      </c>
      <c r="F8" s="567" t="s">
        <v>1788</v>
      </c>
      <c r="G8" s="568"/>
      <c r="H8" s="568"/>
      <c r="I8" s="568"/>
      <c r="J8" s="569"/>
      <c r="K8" s="503"/>
      <c r="L8" s="524" t="s">
        <v>1789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6" t="s">
        <v>1790</v>
      </c>
      <c r="X8" s="3467"/>
      <c r="Y8" s="570" t="s">
        <v>1791</v>
      </c>
      <c r="Z8" s="570" t="s">
        <v>1792</v>
      </c>
      <c r="AA8" s="570" t="s">
        <v>1793</v>
      </c>
      <c r="AB8" s="570" t="s">
        <v>1794</v>
      </c>
      <c r="AC8" s="570" t="s">
        <v>1795</v>
      </c>
      <c r="AD8" s="570" t="s">
        <v>1796</v>
      </c>
      <c r="AE8" s="570" t="s">
        <v>1797</v>
      </c>
      <c r="AF8" s="570" t="s">
        <v>1798</v>
      </c>
      <c r="AG8" s="570" t="s">
        <v>1799</v>
      </c>
      <c r="AH8" s="570" t="s">
        <v>1800</v>
      </c>
      <c r="AI8" s="570" t="s">
        <v>1801</v>
      </c>
      <c r="AJ8" s="570" t="s">
        <v>1802</v>
      </c>
    </row>
    <row r="9" spans="1:36" ht="15">
      <c r="A9" s="563"/>
      <c r="B9" s="521" t="s">
        <v>1803</v>
      </c>
      <c r="C9" s="571">
        <f>SUMIF(修正!C73:C140,C8,修正!E73:E140)</f>
        <v>0</v>
      </c>
      <c r="D9" s="523" t="s">
        <v>1804</v>
      </c>
      <c r="E9" s="523" t="e">
        <f>ROUND(C11/E7,4)</f>
        <v>#DIV/0!</v>
      </c>
      <c r="F9" s="567" t="s">
        <v>1805</v>
      </c>
      <c r="G9" s="568"/>
      <c r="H9" s="568"/>
      <c r="I9" s="568"/>
      <c r="J9" s="569"/>
      <c r="K9" s="503"/>
      <c r="L9" s="524" t="s">
        <v>1806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80"/>
      <c r="X9" s="572" t="s">
        <v>1807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1808</v>
      </c>
      <c r="C10" s="523">
        <f>SUMIF(修正!C73:C140,C8,修正!F73:F140)</f>
        <v>0</v>
      </c>
      <c r="D10" s="523" t="s">
        <v>1809</v>
      </c>
      <c r="E10" s="523" t="e">
        <f>ROUND(C11/E7,4)</f>
        <v>#DIV/0!</v>
      </c>
      <c r="F10" s="567" t="s">
        <v>1810</v>
      </c>
      <c r="G10" s="568"/>
      <c r="H10" s="568"/>
      <c r="I10" s="568"/>
      <c r="J10" s="569"/>
      <c r="K10" s="503"/>
      <c r="L10" s="524" t="s">
        <v>1811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80"/>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1812</v>
      </c>
      <c r="C11" s="578">
        <f>C10/4</f>
        <v>0</v>
      </c>
      <c r="D11" s="578" t="s">
        <v>1813</v>
      </c>
      <c r="E11" s="578" t="e">
        <f>ROUND(C11/E7,4)</f>
        <v>#DIV/0!</v>
      </c>
      <c r="F11" s="579" t="s">
        <v>1814</v>
      </c>
      <c r="G11" s="580"/>
      <c r="H11" s="580"/>
      <c r="I11" s="580"/>
      <c r="J11" s="581"/>
      <c r="K11" s="503"/>
      <c r="L11" s="524" t="s">
        <v>1815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1816</v>
      </c>
      <c r="B12" s="584" t="s">
        <v>1817</v>
      </c>
      <c r="C12" s="585">
        <v>1</v>
      </c>
      <c r="D12" s="586" t="s">
        <v>1818</v>
      </c>
      <c r="E12" s="587" t="s">
        <v>1819</v>
      </c>
      <c r="F12" s="588"/>
      <c r="G12" s="589"/>
      <c r="H12" s="589"/>
      <c r="I12" s="589"/>
      <c r="J12" s="590"/>
      <c r="K12" s="503"/>
      <c r="L12" s="591" t="s">
        <v>1820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1821</v>
      </c>
      <c r="B13" s="593" t="s">
        <v>1822</v>
      </c>
      <c r="C13" s="553">
        <f>ROUND(C16*D16*E16*F16*G16*H16*I16*J16,4)</f>
        <v>0</v>
      </c>
      <c r="D13" s="594" t="s">
        <v>1823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1824</v>
      </c>
      <c r="C14" s="603" t="s">
        <v>1825</v>
      </c>
      <c r="D14" s="604" t="s">
        <v>1826</v>
      </c>
      <c r="E14" s="605" t="s">
        <v>1827</v>
      </c>
      <c r="F14" s="606" t="s">
        <v>1828</v>
      </c>
      <c r="G14" s="606" t="s">
        <v>1828</v>
      </c>
      <c r="H14" s="606" t="s">
        <v>1828</v>
      </c>
      <c r="I14" s="606" t="s">
        <v>1828</v>
      </c>
      <c r="J14" s="606" t="s">
        <v>1828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1733</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1830</v>
      </c>
      <c r="B17" s="620" t="s">
        <v>1831</v>
      </c>
      <c r="C17" s="621">
        <f>ROUND(IF(OR(E2="工业",E2="公共服务"),1,IF(AND(E18=0,E19=0),1,IF(AND(E18=J24,E19=G19),0.8,IF(E19=0,1+E17*(-0.2),1+E17*G17*(-0.2))))),4)</f>
        <v>1</v>
      </c>
      <c r="D17" s="622" t="s">
        <v>1832</v>
      </c>
      <c r="E17" s="621">
        <f>ROUND(G18/I18,2)</f>
        <v>0</v>
      </c>
      <c r="F17" s="622" t="s">
        <v>1833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1834</v>
      </c>
      <c r="E18" s="629"/>
      <c r="F18" s="630" t="s">
        <v>1835</v>
      </c>
      <c r="G18" s="627">
        <f>ROUND(1-(1/(POWER(1+G24,E18))),4)</f>
        <v>0</v>
      </c>
      <c r="H18" s="630" t="s">
        <v>1836</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1837</v>
      </c>
      <c r="E19" s="639"/>
      <c r="F19" s="640" t="s">
        <v>1838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2" t="s">
        <v>1839</v>
      </c>
      <c r="B20" s="645" t="s">
        <v>1840</v>
      </c>
      <c r="C20" s="646">
        <f>ROUND(IF(F21="与级别开发程度一致",0,(G21-E21)/C21),0)</f>
        <v>-36</v>
      </c>
      <c r="D20" s="647" t="s">
        <v>1841</v>
      </c>
      <c r="E20" s="648"/>
      <c r="F20" s="3468" t="s">
        <v>1842</v>
      </c>
      <c r="G20" s="3469"/>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3"/>
      <c r="B21" s="653" t="s">
        <v>1843</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1844</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952</v>
      </c>
      <c r="B22" s="662" t="s">
        <v>1845</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957</v>
      </c>
      <c r="B23" s="669" t="s">
        <v>1846</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1847</v>
      </c>
      <c r="E23" s="672">
        <v>44197</v>
      </c>
      <c r="F23" s="671" t="s">
        <v>1848</v>
      </c>
      <c r="G23" s="673">
        <f>'数据-取费表'!B2</f>
        <v>45966</v>
      </c>
      <c r="H23" s="674" t="s">
        <v>1849</v>
      </c>
      <c r="I23" s="675" t="str">
        <f>IF(H23="季度增幅（自定义）",SUMIF(N25:N28,E2,O25:O28),"")</f>
        <v/>
      </c>
      <c r="J23" s="676" t="s">
        <v>1850</v>
      </c>
      <c r="K23" s="633"/>
      <c r="L23" s="677" t="s">
        <v>1851</v>
      </c>
      <c r="M23" s="678">
        <f>ROUND(SUMIF(地价!B2:G2,E2,地价!B16:G16),0)</f>
        <v>350</v>
      </c>
      <c r="N23" s="679" t="s">
        <v>1852</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960</v>
      </c>
      <c r="B24" s="682" t="s">
        <v>1853</v>
      </c>
      <c r="C24" s="683" t="e">
        <f>ROUND(POWER(1+G24,J24-I24)*(POWER(1+G24,I24)-1)/(POWER(1+G24,J24)-1),4)</f>
        <v>#DIV/0!</v>
      </c>
      <c r="D24" s="684" t="s">
        <v>1854</v>
      </c>
      <c r="E24" s="685">
        <f>存贷款利率!E28/100</f>
        <v>4.3499999999999997E-2</v>
      </c>
      <c r="F24" s="684" t="s">
        <v>1855</v>
      </c>
      <c r="G24" s="686">
        <f>SUMIF(M30:Q30,E2,M33:Q33)</f>
        <v>5.5E-2</v>
      </c>
      <c r="H24" s="684" t="s">
        <v>1856</v>
      </c>
      <c r="I24" s="687" t="e">
        <f>SUMIF('数据-取费表'!C6:C15,E2,'数据-取费表'!F6:F15)/COUNTIF('数据-取费表'!C6:C15,E2)</f>
        <v>#DIV/0!</v>
      </c>
      <c r="J24" s="688">
        <f>IF(E2="住宅",70,IF(E2="商业",40,50))</f>
        <v>40</v>
      </c>
      <c r="K24" s="633"/>
      <c r="L24" s="689" t="s">
        <v>1857</v>
      </c>
      <c r="M24" s="690">
        <f>ROUND(SUMPRODUCT((地价!A4:A16=YEAR(G23)&amp;"-"&amp;ROUNDUP(MONTH(G23)/3,0))*(地价!B2:G2=E2)*(地价!B4:G16)),0)</f>
        <v>0</v>
      </c>
      <c r="N24" s="691" t="s">
        <v>1858</v>
      </c>
      <c r="O24" s="692" t="s">
        <v>1859</v>
      </c>
      <c r="P24" s="693" t="s">
        <v>1860</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982</v>
      </c>
      <c r="B25" s="695" t="s">
        <v>1861</v>
      </c>
      <c r="C25" s="696">
        <f>IF(B25="容积率修正",IF(G3&lt;10,D26,J26),C27)</f>
        <v>0.84799999999999998</v>
      </c>
      <c r="D25" s="697"/>
      <c r="E25" s="697"/>
      <c r="F25" s="697"/>
      <c r="G25" s="697"/>
      <c r="H25" s="697"/>
      <c r="I25" s="697"/>
      <c r="J25" s="698"/>
      <c r="K25" s="633"/>
      <c r="L25" s="635"/>
      <c r="M25" s="635"/>
      <c r="N25" s="699" t="s">
        <v>1862</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1863</v>
      </c>
      <c r="B26" s="703" t="s">
        <v>1864</v>
      </c>
      <c r="C26" s="703" t="s">
        <v>1865</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1866</v>
      </c>
      <c r="J26" s="705" t="str">
        <f>IF(G3&gt;=10,D115,"——")</f>
        <v>——</v>
      </c>
      <c r="K26" s="633"/>
      <c r="L26" s="635"/>
      <c r="M26" s="635"/>
      <c r="N26" s="699" t="s">
        <v>1867</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1868</v>
      </c>
      <c r="B27" s="706" t="s">
        <v>1869</v>
      </c>
      <c r="C27" s="707">
        <f>ROUND(IF(I3&lt;6,SUMPRODUCT((B106:B110=I3)*(C105:N105=G2)*(C106:N110)),SUMIF(C105:N105,G2,C112:N112)),4)</f>
        <v>0.84799999999999998</v>
      </c>
      <c r="D27" s="511"/>
      <c r="E27" s="511"/>
      <c r="F27" s="708"/>
      <c r="G27" s="709"/>
      <c r="H27" s="710"/>
      <c r="I27" s="711"/>
      <c r="J27" s="712"/>
      <c r="K27" s="503"/>
      <c r="L27" s="504"/>
      <c r="M27" s="504"/>
      <c r="N27" s="699" t="s">
        <v>1870</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1871</v>
      </c>
      <c r="B28" s="669" t="s">
        <v>1872</v>
      </c>
      <c r="C28" s="670">
        <f>SUMIF(A47:A101,E2,B47:B101)</f>
        <v>1.0435000000000001</v>
      </c>
      <c r="D28" s="713"/>
      <c r="E28" s="714"/>
      <c r="F28" s="714"/>
      <c r="G28" s="714"/>
      <c r="H28" s="714"/>
      <c r="I28" s="714"/>
      <c r="J28" s="715"/>
      <c r="K28" s="633"/>
      <c r="L28" s="635"/>
      <c r="M28" s="635"/>
      <c r="N28" s="716" t="s">
        <v>1873</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1874</v>
      </c>
      <c r="B29" s="719" t="s">
        <v>1875</v>
      </c>
      <c r="C29" s="720"/>
      <c r="D29" s="557"/>
      <c r="E29" s="557"/>
      <c r="F29" s="721"/>
      <c r="G29" s="557"/>
      <c r="H29" s="557"/>
      <c r="I29" s="557"/>
      <c r="J29" s="558"/>
      <c r="K29" s="503"/>
      <c r="L29" s="504"/>
      <c r="M29" s="504"/>
      <c r="N29" s="722" t="s">
        <v>1876</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1877</v>
      </c>
      <c r="C30" s="726" t="e">
        <f>IF(B25="容积率修正",E33+SUM(E37:E42),SUM(V2:V16)+SUM(E37:E42))</f>
        <v>#DIV/0!</v>
      </c>
      <c r="D30" s="727"/>
      <c r="E30" s="511"/>
      <c r="F30" s="728"/>
      <c r="G30" s="511"/>
      <c r="H30" s="511"/>
      <c r="I30" s="511"/>
      <c r="J30" s="729"/>
      <c r="K30" s="503"/>
      <c r="L30" s="730" t="s">
        <v>1765</v>
      </c>
      <c r="M30" s="731" t="s">
        <v>1878</v>
      </c>
      <c r="N30" s="731" t="s">
        <v>1879</v>
      </c>
      <c r="O30" s="731" t="s">
        <v>1880</v>
      </c>
      <c r="P30" s="731" t="s">
        <v>1881</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1882</v>
      </c>
      <c r="C31" s="733" t="e">
        <f>E34+SUM(I37:I42)</f>
        <v>#DIV/0!</v>
      </c>
      <c r="D31" s="734"/>
      <c r="E31" s="735"/>
      <c r="F31" s="736"/>
      <c r="G31" s="735"/>
      <c r="H31" s="735"/>
      <c r="I31" s="735"/>
      <c r="J31" s="737"/>
      <c r="K31" s="503"/>
      <c r="L31" s="738" t="s">
        <v>1883</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1884</v>
      </c>
      <c r="C32" s="742" t="s">
        <v>1885</v>
      </c>
      <c r="D32" s="742" t="s">
        <v>612</v>
      </c>
      <c r="E32" s="743" t="s">
        <v>1886</v>
      </c>
      <c r="F32" s="744"/>
      <c r="G32" s="596"/>
      <c r="H32" s="596"/>
      <c r="I32" s="596"/>
      <c r="J32" s="597"/>
      <c r="K32" s="503"/>
      <c r="L32" s="745" t="s">
        <v>1855</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1887</v>
      </c>
      <c r="C33" s="750" t="e">
        <f>ROUND(C5*C22*C23*C24*C25*C28,0)</f>
        <v>#DIV/0!</v>
      </c>
      <c r="D33" s="751">
        <f>'数据-汇总表'!F19</f>
        <v>62.23</v>
      </c>
      <c r="E33" s="752" t="e">
        <f>ROUND(C33*D33/10000,0)</f>
        <v>#DIV/0!</v>
      </c>
      <c r="F33" s="753" t="s">
        <v>1888</v>
      </c>
      <c r="G33" s="754"/>
      <c r="H33" s="754"/>
      <c r="I33" s="754"/>
      <c r="J33" s="755"/>
      <c r="K33" s="503"/>
      <c r="L33" s="756" t="s">
        <v>1889</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1890</v>
      </c>
      <c r="C34" s="655" t="e">
        <f>ROUND(IF(E2="工业",C33*M42,IF(B25="楼层修正",SUM(V2:V16)*M41*10000/D34,C33*M41)),0)</f>
        <v>#DIV/0!</v>
      </c>
      <c r="D34" s="760"/>
      <c r="E34" s="752" t="e">
        <f>ROUND(IF(B25="楼层修正",SUM(V2:V16)*M40,C34*D34/10000),0)</f>
        <v>#DIV/0!</v>
      </c>
      <c r="F34" s="761" t="s">
        <v>1891</v>
      </c>
      <c r="G34" s="762"/>
      <c r="H34" s="762"/>
      <c r="I34" s="762"/>
      <c r="J34" s="763"/>
      <c r="K34" s="503"/>
      <c r="L34" s="756" t="s">
        <v>1892</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1893</v>
      </c>
      <c r="C35" s="766" t="s">
        <v>1894</v>
      </c>
      <c r="D35" s="596"/>
      <c r="E35" s="767"/>
      <c r="F35" s="767"/>
      <c r="G35" s="594" t="s">
        <v>1891</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1885</v>
      </c>
      <c r="D36" s="771" t="s">
        <v>612</v>
      </c>
      <c r="E36" s="771" t="s">
        <v>1886</v>
      </c>
      <c r="F36" s="510" t="s">
        <v>1895</v>
      </c>
      <c r="G36" s="772" t="s">
        <v>1885</v>
      </c>
      <c r="H36" s="772" t="s">
        <v>612</v>
      </c>
      <c r="I36" s="772" t="s">
        <v>1886</v>
      </c>
      <c r="J36" s="391"/>
      <c r="K36" s="773" t="s">
        <v>1896</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4"/>
      <c r="B37" s="776" t="s">
        <v>1897</v>
      </c>
      <c r="C37" s="750" t="e">
        <f>ROUND(D5*C22*C23*C24*C28*F37,0)</f>
        <v>#DIV/0!</v>
      </c>
      <c r="D37" s="751"/>
      <c r="E37" s="523" t="e">
        <f>ROUND(C37*D37/10000,0)</f>
        <v>#DIV/0!</v>
      </c>
      <c r="F37" s="523">
        <f>SUMIF(修正!A59:A70,G2,修正!B59:B70)</f>
        <v>0.6</v>
      </c>
      <c r="G37" s="523" t="e">
        <f>ROUND(IF(E2="工业",C37*$M$42,C37*$M$41),0)</f>
        <v>#DIV/0!</v>
      </c>
      <c r="H37" s="523">
        <f>D37</f>
        <v>0</v>
      </c>
      <c r="I37" s="523" t="e">
        <f>ROUND(G37*H37/10000,0)</f>
        <v>#DIV/0!</v>
      </c>
      <c r="J37" s="777"/>
      <c r="K37" s="778" t="s">
        <v>1898</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5"/>
      <c r="B38" s="603" t="s">
        <v>1899</v>
      </c>
      <c r="C38" s="750" t="e">
        <f>ROUND(D5*C22*C23*C24*C28*F38,0)</f>
        <v>#DIV/0!</v>
      </c>
      <c r="D38" s="751"/>
      <c r="E38" s="523" t="e">
        <f t="shared" ref="E38:E42" si="4">ROUND(C38*D38/10000,0)</f>
        <v>#DIV/0!</v>
      </c>
      <c r="F38" s="523">
        <f>SUMIF(修正!A59:A70,G2,修正!C59:C70)</f>
        <v>0.3</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5"/>
      <c r="B39" s="603" t="s">
        <v>1900</v>
      </c>
      <c r="C39" s="750" t="e">
        <f>ROUND(D5*C22*C23*C24*C28*F39,0)</f>
        <v>#DIV/0!</v>
      </c>
      <c r="D39" s="751"/>
      <c r="E39" s="523" t="e">
        <f t="shared" si="4"/>
        <v>#DIV/0!</v>
      </c>
      <c r="F39" s="523">
        <f>SUMIF(修正!A59:A70,G2,修正!D59:D70)</f>
        <v>0.25</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1901</v>
      </c>
      <c r="C40" s="523" t="e">
        <f>ROUND(D5*C22*C23*C24*C28*F40,0)</f>
        <v>#DIV/0!</v>
      </c>
      <c r="D40" s="751"/>
      <c r="E40" s="523" t="e">
        <f t="shared" si="4"/>
        <v>#DIV/0!</v>
      </c>
      <c r="F40" s="750">
        <f>SUMIF(修正!A59:A70,G2,修正!E59:E70)</f>
        <v>0.25</v>
      </c>
      <c r="G40" s="523" t="e">
        <f>ROUND(IF(E2="工业",C40*$M$42,C40*$M$41),0)</f>
        <v>#DIV/0!</v>
      </c>
      <c r="H40" s="523">
        <f t="shared" si="5"/>
        <v>0</v>
      </c>
      <c r="I40" s="523" t="e">
        <f t="shared" si="6"/>
        <v>#DIV/0!</v>
      </c>
      <c r="J40" s="781"/>
      <c r="L40" s="782" t="s">
        <v>1902</v>
      </c>
      <c r="M40" s="783"/>
      <c r="Z40" s="624"/>
      <c r="AA40" s="624"/>
      <c r="AB40" s="624"/>
      <c r="AC40" s="624"/>
      <c r="AD40" s="624"/>
      <c r="AE40" s="624"/>
      <c r="AF40" s="624"/>
      <c r="AG40" s="624"/>
      <c r="AH40" s="624"/>
      <c r="AI40" s="624"/>
      <c r="AJ40" s="624"/>
    </row>
    <row r="41" spans="1:37" s="503" customFormat="1">
      <c r="A41" s="780"/>
      <c r="B41" s="603" t="s">
        <v>1903</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1904</v>
      </c>
      <c r="M41" s="785">
        <v>0.25</v>
      </c>
      <c r="Z41" s="624"/>
      <c r="AA41" s="624"/>
      <c r="AB41" s="624"/>
      <c r="AC41" s="624"/>
      <c r="AD41" s="624"/>
      <c r="AE41" s="624"/>
      <c r="AF41" s="624"/>
      <c r="AG41" s="624"/>
      <c r="AH41" s="624"/>
      <c r="AI41" s="624"/>
      <c r="AJ41" s="624"/>
    </row>
    <row r="42" spans="1:37" s="503" customFormat="1">
      <c r="A42" s="758"/>
      <c r="B42" s="786" t="s">
        <v>1905</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1881</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1906</v>
      </c>
      <c r="C44" s="510">
        <f>ROUND(POWER(1+E44,H44-G44)*(POWER(1+E44,G44)-1)/(POWER(1+E44,H44)-1),4)</f>
        <v>0</v>
      </c>
      <c r="D44" s="523" t="s">
        <v>1855</v>
      </c>
      <c r="E44" s="792">
        <f>G24</f>
        <v>5.5E-2</v>
      </c>
      <c r="F44" s="523" t="s">
        <v>1856</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1907</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1908</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1909</v>
      </c>
      <c r="B49" s="804" t="s">
        <v>1910</v>
      </c>
      <c r="C49" s="804" t="s">
        <v>1911</v>
      </c>
      <c r="D49" s="804" t="s">
        <v>1912</v>
      </c>
      <c r="E49" s="805" t="s">
        <v>1913</v>
      </c>
      <c r="F49" s="806" t="s">
        <v>1914</v>
      </c>
      <c r="G49" s="804" t="s">
        <v>1733</v>
      </c>
      <c r="H49" s="807" t="s">
        <v>1915</v>
      </c>
      <c r="I49" s="804" t="s">
        <v>1916</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1917</v>
      </c>
      <c r="B50" s="809">
        <f>估价对象房地状况!C4</f>
        <v>0</v>
      </c>
      <c r="C50" s="609" t="s">
        <v>1417</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1918</v>
      </c>
      <c r="B51" s="804">
        <f>估价对象房地状况!C18</f>
        <v>0</v>
      </c>
      <c r="C51" s="609" t="s">
        <v>1417</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1919</v>
      </c>
      <c r="B52" s="804">
        <f>估价对象房地状况!C19</f>
        <v>0</v>
      </c>
      <c r="C52" s="609" t="s">
        <v>1417</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1920</v>
      </c>
      <c r="B53" s="819" t="s">
        <v>1921</v>
      </c>
      <c r="C53" s="609" t="s">
        <v>1412</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1922</v>
      </c>
      <c r="B54" s="804">
        <f>估价对象房地状况!C24</f>
        <v>0</v>
      </c>
      <c r="C54" s="609" t="s">
        <v>1485</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1923</v>
      </c>
      <c r="B55" s="820" t="s">
        <v>1924</v>
      </c>
      <c r="C55" s="609" t="s">
        <v>1417</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1925</v>
      </c>
      <c r="B56" s="822">
        <f>估价对象房地状况!C21</f>
        <v>0</v>
      </c>
      <c r="C56" s="609" t="s">
        <v>1417</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1926</v>
      </c>
      <c r="B57" s="804">
        <f>估价对象房地状况!C22</f>
        <v>0</v>
      </c>
      <c r="C57" s="609" t="s">
        <v>1484</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1927</v>
      </c>
      <c r="B58" s="824">
        <f>估价对象房地状况!C20</f>
        <v>0</v>
      </c>
      <c r="C58" s="609" t="s">
        <v>1417</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1928</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1909</v>
      </c>
      <c r="B60" s="804"/>
      <c r="C60" s="804" t="s">
        <v>1911</v>
      </c>
      <c r="D60" s="804" t="s">
        <v>1912</v>
      </c>
      <c r="E60" s="805" t="s">
        <v>1913</v>
      </c>
      <c r="F60" s="806" t="s">
        <v>1929</v>
      </c>
      <c r="G60" s="804" t="s">
        <v>1733</v>
      </c>
      <c r="H60" s="807" t="s">
        <v>1915</v>
      </c>
      <c r="I60" s="804" t="s">
        <v>1916</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1930</v>
      </c>
      <c r="B61" s="809">
        <f>估价对象房地状况!C17</f>
        <v>0</v>
      </c>
      <c r="C61" s="609" t="s">
        <v>1417</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1918</v>
      </c>
      <c r="B62" s="804">
        <f>估价对象房地状况!C18</f>
        <v>0</v>
      </c>
      <c r="C62" s="609" t="s">
        <v>1484</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1919</v>
      </c>
      <c r="B63" s="804">
        <f>估价对象房地状况!C19</f>
        <v>0</v>
      </c>
      <c r="C63" s="609" t="s">
        <v>1417</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1920</v>
      </c>
      <c r="B64" s="819" t="s">
        <v>1921</v>
      </c>
      <c r="C64" s="609" t="s">
        <v>1417</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1922</v>
      </c>
      <c r="B65" s="804">
        <f>估价对象房地状况!C24</f>
        <v>0</v>
      </c>
      <c r="C65" s="609" t="s">
        <v>1417</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1923</v>
      </c>
      <c r="B66" s="820" t="s">
        <v>1924</v>
      </c>
      <c r="C66" s="609" t="s">
        <v>1417</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1925</v>
      </c>
      <c r="B67" s="822">
        <f>估价对象房地状况!C21</f>
        <v>0</v>
      </c>
      <c r="C67" s="609" t="s">
        <v>1417</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1926</v>
      </c>
      <c r="B68" s="822">
        <f>估价对象房地状况!C22</f>
        <v>0</v>
      </c>
      <c r="C68" s="609" t="s">
        <v>1484</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1927</v>
      </c>
      <c r="B69" s="827">
        <f>估价对象房地状况!C20</f>
        <v>0</v>
      </c>
      <c r="C69" s="609" t="s">
        <v>1417</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1931</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1909</v>
      </c>
      <c r="B71" s="804"/>
      <c r="C71" s="804" t="s">
        <v>1911</v>
      </c>
      <c r="D71" s="804" t="s">
        <v>1912</v>
      </c>
      <c r="E71" s="805" t="s">
        <v>1913</v>
      </c>
      <c r="F71" s="806" t="s">
        <v>1929</v>
      </c>
      <c r="G71" s="804" t="s">
        <v>1733</v>
      </c>
      <c r="H71" s="807" t="s">
        <v>1915</v>
      </c>
      <c r="I71" s="804" t="s">
        <v>1916</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1932</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1918</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1919</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1933</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1925</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1926</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1923</v>
      </c>
      <c r="B78" s="820" t="s">
        <v>1924</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1927</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1934</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1935</v>
      </c>
      <c r="B81" s="798">
        <f>1+E83</f>
        <v>1</v>
      </c>
      <c r="C81" s="800"/>
      <c r="D81" s="800"/>
      <c r="E81" s="801"/>
      <c r="F81" s="802"/>
      <c r="G81" s="598"/>
      <c r="H81" s="598"/>
      <c r="I81" s="598"/>
      <c r="J81" s="599"/>
      <c r="K81" s="599"/>
      <c r="L81" s="599"/>
      <c r="M81" s="599"/>
      <c r="N81" s="599"/>
      <c r="Z81" s="507"/>
      <c r="AA81" s="505"/>
      <c r="AG81" s="509"/>
      <c r="AK81" s="505"/>
    </row>
    <row r="82" spans="1:37" ht="24.75">
      <c r="A82" s="803" t="s">
        <v>1909</v>
      </c>
      <c r="B82" s="804"/>
      <c r="C82" s="804" t="s">
        <v>1911</v>
      </c>
      <c r="D82" s="804" t="s">
        <v>1912</v>
      </c>
      <c r="E82" s="805" t="s">
        <v>1913</v>
      </c>
      <c r="F82" s="806" t="s">
        <v>1929</v>
      </c>
      <c r="G82" s="804" t="s">
        <v>1733</v>
      </c>
      <c r="H82" s="807" t="s">
        <v>1915</v>
      </c>
      <c r="I82" s="804" t="s">
        <v>1916</v>
      </c>
      <c r="J82" s="808" t="s">
        <v>1453</v>
      </c>
      <c r="K82" s="808" t="s">
        <v>1454</v>
      </c>
      <c r="L82" s="808" t="s">
        <v>1455</v>
      </c>
      <c r="M82" s="808" t="s">
        <v>1456</v>
      </c>
      <c r="N82" s="808" t="s">
        <v>1457</v>
      </c>
      <c r="Z82" s="507"/>
      <c r="AA82" s="505"/>
      <c r="AG82" s="509"/>
      <c r="AK82" s="505"/>
    </row>
    <row r="83" spans="1:37" ht="38.25">
      <c r="A83" s="803" t="s">
        <v>1936</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1918</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1919</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1933</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1925</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1926</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1923</v>
      </c>
      <c r="B89" s="820" t="s">
        <v>1937</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1938</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1909</v>
      </c>
      <c r="B92" s="626"/>
      <c r="C92" s="626" t="s">
        <v>1911</v>
      </c>
      <c r="D92" s="626" t="s">
        <v>1912</v>
      </c>
      <c r="E92" s="739" t="s">
        <v>1913</v>
      </c>
      <c r="F92" s="841" t="s">
        <v>1929</v>
      </c>
      <c r="G92" s="626" t="s">
        <v>1733</v>
      </c>
      <c r="H92" s="842" t="s">
        <v>1915</v>
      </c>
      <c r="I92" s="626" t="s">
        <v>1916</v>
      </c>
      <c r="J92" s="843" t="s">
        <v>1453</v>
      </c>
      <c r="K92" s="843" t="s">
        <v>1454</v>
      </c>
      <c r="L92" s="843" t="s">
        <v>1455</v>
      </c>
      <c r="M92" s="843" t="s">
        <v>1456</v>
      </c>
      <c r="N92" s="843" t="s">
        <v>1457</v>
      </c>
    </row>
    <row r="93" spans="1:37" ht="24">
      <c r="A93" s="818" t="s">
        <v>1939</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1918</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1919</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1920</v>
      </c>
      <c r="B96" s="849" t="s">
        <v>1921</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1922</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1923</v>
      </c>
      <c r="B98" s="850" t="s">
        <v>1924</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1925</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1926</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1927</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0" t="s">
        <v>1940</v>
      </c>
      <c r="B103" s="3470"/>
      <c r="C103" s="3470"/>
      <c r="D103" s="3470"/>
      <c r="E103" s="3470"/>
      <c r="F103" s="3470"/>
      <c r="G103" s="3470"/>
      <c r="H103" s="3470"/>
      <c r="I103" s="3470"/>
      <c r="J103" s="3470"/>
      <c r="K103" s="854"/>
      <c r="L103" s="854"/>
      <c r="M103" s="854"/>
      <c r="N103" s="854"/>
    </row>
    <row r="104" spans="1:14">
      <c r="A104" s="3476" t="s">
        <v>1941</v>
      </c>
      <c r="B104" s="3476" t="s">
        <v>1942</v>
      </c>
      <c r="C104" s="856" t="s">
        <v>1943</v>
      </c>
      <c r="D104" s="857"/>
      <c r="E104" s="857"/>
      <c r="F104" s="857"/>
      <c r="G104" s="857"/>
      <c r="H104" s="857"/>
      <c r="I104" s="857"/>
      <c r="J104" s="858"/>
      <c r="K104" s="859"/>
      <c r="L104" s="859"/>
      <c r="M104" s="859"/>
      <c r="N104" s="859"/>
    </row>
    <row r="105" spans="1:14">
      <c r="A105" s="3476"/>
      <c r="B105" s="3476"/>
      <c r="C105" s="855" t="s">
        <v>1791</v>
      </c>
      <c r="D105" s="855" t="s">
        <v>1792</v>
      </c>
      <c r="E105" s="855" t="s">
        <v>1793</v>
      </c>
      <c r="F105" s="855" t="s">
        <v>1794</v>
      </c>
      <c r="G105" s="855" t="s">
        <v>1795</v>
      </c>
      <c r="H105" s="855" t="s">
        <v>1796</v>
      </c>
      <c r="I105" s="855" t="s">
        <v>1797</v>
      </c>
      <c r="J105" s="855" t="s">
        <v>1798</v>
      </c>
      <c r="K105" s="855" t="s">
        <v>1799</v>
      </c>
      <c r="L105" s="855" t="s">
        <v>1800</v>
      </c>
      <c r="M105" s="855" t="s">
        <v>1801</v>
      </c>
      <c r="N105" s="855" t="s">
        <v>1802</v>
      </c>
    </row>
    <row r="106" spans="1:14">
      <c r="A106" s="3477" t="s">
        <v>1944</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8"/>
      <c r="B111" s="855" t="s">
        <v>1807</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79"/>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1" t="s">
        <v>1945</v>
      </c>
      <c r="B113" s="3471"/>
      <c r="C113" s="3471"/>
      <c r="D113" s="3471"/>
      <c r="E113" s="3471"/>
      <c r="F113" s="3471"/>
      <c r="G113" s="3471"/>
      <c r="H113" s="3471"/>
      <c r="I113" s="3471"/>
      <c r="J113" s="3471"/>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1946</v>
      </c>
      <c r="B116" s="864">
        <f>G3</f>
        <v>3.5</v>
      </c>
      <c r="C116" s="865" t="s">
        <v>1947</v>
      </c>
      <c r="D116" s="866">
        <f>SUMPRODUCT((A118:A122=F116)*(B117:M117=H116)*B118:M122)</f>
        <v>0.9</v>
      </c>
      <c r="E116" s="521" t="s">
        <v>1765</v>
      </c>
      <c r="F116" s="867" t="str">
        <f>E2</f>
        <v>商业</v>
      </c>
      <c r="G116" s="521" t="s">
        <v>1766</v>
      </c>
      <c r="H116" s="867" t="str">
        <f>G2</f>
        <v>四级</v>
      </c>
      <c r="I116" s="521"/>
      <c r="J116" s="868"/>
      <c r="K116" s="868"/>
      <c r="L116" s="868"/>
      <c r="M116" s="868"/>
      <c r="N116" s="862"/>
    </row>
    <row r="117" spans="1:14">
      <c r="A117" s="869"/>
      <c r="B117" s="870" t="s">
        <v>1948</v>
      </c>
      <c r="C117" s="870" t="s">
        <v>1949</v>
      </c>
      <c r="D117" s="870" t="s">
        <v>1950</v>
      </c>
      <c r="E117" s="871" t="s">
        <v>1951</v>
      </c>
      <c r="F117" s="871" t="s">
        <v>1952</v>
      </c>
      <c r="G117" s="871" t="s">
        <v>1953</v>
      </c>
      <c r="H117" s="872" t="s">
        <v>1954</v>
      </c>
      <c r="I117" s="872" t="s">
        <v>1955</v>
      </c>
      <c r="J117" s="873" t="s">
        <v>1956</v>
      </c>
      <c r="K117" s="873" t="s">
        <v>1957</v>
      </c>
      <c r="L117" s="873" t="s">
        <v>1958</v>
      </c>
      <c r="M117" s="874" t="s">
        <v>1959</v>
      </c>
      <c r="N117" s="862"/>
    </row>
    <row r="118" spans="1:14">
      <c r="A118" s="738" t="s">
        <v>1878</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1879</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1880</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1881</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1960</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1962</v>
      </c>
      <c r="B18" s="467"/>
      <c r="C18" s="468"/>
      <c r="D18" s="468"/>
      <c r="E18" s="467"/>
      <c r="F18" s="468"/>
      <c r="G18" s="468"/>
    </row>
    <row r="19" spans="1:13" ht="19.5" customHeight="1">
      <c r="A19" s="465" t="s">
        <v>1963</v>
      </c>
      <c r="B19" s="469" t="s">
        <v>1964</v>
      </c>
      <c r="C19" s="469" t="s">
        <v>1965</v>
      </c>
      <c r="D19" s="470"/>
      <c r="E19" s="465" t="s">
        <v>1966</v>
      </c>
      <c r="F19" s="471"/>
      <c r="G19" s="471"/>
    </row>
    <row r="20" spans="1:13" ht="19.5" customHeight="1">
      <c r="A20" s="3481" t="s">
        <v>229</v>
      </c>
      <c r="B20" s="3487" t="s">
        <v>1967</v>
      </c>
      <c r="C20" s="472" t="s">
        <v>244</v>
      </c>
      <c r="D20" s="472"/>
      <c r="E20" s="473">
        <v>1</v>
      </c>
      <c r="F20" s="474" t="s">
        <v>1968</v>
      </c>
      <c r="G20" s="474"/>
    </row>
    <row r="21" spans="1:13" ht="19.5" customHeight="1">
      <c r="A21" s="3482"/>
      <c r="B21" s="3488"/>
      <c r="C21" s="475" t="s">
        <v>259</v>
      </c>
      <c r="D21" s="475"/>
      <c r="E21" s="476">
        <v>1</v>
      </c>
      <c r="F21" s="474" t="s">
        <v>1969</v>
      </c>
      <c r="G21" s="474"/>
    </row>
    <row r="22" spans="1:13" ht="19.5" customHeight="1">
      <c r="A22" s="3482"/>
      <c r="B22" s="3488"/>
      <c r="C22" s="475" t="s">
        <v>270</v>
      </c>
      <c r="D22" s="475"/>
      <c r="E22" s="476">
        <v>0.9</v>
      </c>
      <c r="F22" s="474" t="s">
        <v>1970</v>
      </c>
      <c r="G22" s="474"/>
    </row>
    <row r="23" spans="1:13" ht="19.5" customHeight="1">
      <c r="A23" s="3482"/>
      <c r="B23" s="3488"/>
      <c r="C23" s="475" t="s">
        <v>281</v>
      </c>
      <c r="D23" s="475"/>
      <c r="E23" s="476">
        <v>0.9</v>
      </c>
      <c r="F23" s="474" t="s">
        <v>1971</v>
      </c>
      <c r="G23" s="474"/>
    </row>
    <row r="24" spans="1:13" ht="19.5" customHeight="1">
      <c r="A24" s="3482"/>
      <c r="B24" s="3488"/>
      <c r="C24" s="475" t="s">
        <v>290</v>
      </c>
      <c r="D24" s="475"/>
      <c r="E24" s="476">
        <v>0.8</v>
      </c>
      <c r="F24" s="474" t="s">
        <v>1972</v>
      </c>
      <c r="G24" s="474"/>
    </row>
    <row r="25" spans="1:13" ht="19.5" customHeight="1">
      <c r="A25" s="3482"/>
      <c r="B25" s="3488"/>
      <c r="C25" s="475" t="s">
        <v>298</v>
      </c>
      <c r="D25" s="475"/>
      <c r="E25" s="476">
        <v>0.8</v>
      </c>
      <c r="F25" s="474"/>
      <c r="G25" s="474"/>
    </row>
    <row r="26" spans="1:13" ht="19.5" customHeight="1">
      <c r="A26" s="3482"/>
      <c r="B26" s="3488"/>
      <c r="C26" s="475" t="s">
        <v>306</v>
      </c>
      <c r="D26" s="475"/>
      <c r="E26" s="476">
        <v>0.43</v>
      </c>
      <c r="F26" s="474"/>
      <c r="G26" s="474"/>
    </row>
    <row r="27" spans="1:13" ht="19.5" customHeight="1">
      <c r="A27" s="3483"/>
      <c r="B27" s="3489"/>
      <c r="C27" s="477" t="s">
        <v>313</v>
      </c>
      <c r="D27" s="477"/>
      <c r="E27" s="478">
        <f>E26*0.9</f>
        <v>0.38700000000000001</v>
      </c>
      <c r="F27" s="474" t="s">
        <v>1973</v>
      </c>
      <c r="G27" s="474"/>
    </row>
    <row r="28" spans="1:13" ht="19.5" customHeight="1">
      <c r="A28" s="479" t="s">
        <v>230</v>
      </c>
      <c r="B28" s="480" t="s">
        <v>1967</v>
      </c>
      <c r="C28" s="481" t="s">
        <v>245</v>
      </c>
      <c r="D28" s="482"/>
      <c r="E28" s="483">
        <v>1</v>
      </c>
      <c r="F28" s="474" t="s">
        <v>1974</v>
      </c>
      <c r="G28" s="474"/>
    </row>
    <row r="29" spans="1:13" ht="19.5" customHeight="1">
      <c r="A29" s="3484" t="s">
        <v>231</v>
      </c>
      <c r="B29" s="3490" t="s">
        <v>231</v>
      </c>
      <c r="C29" s="484" t="s">
        <v>246</v>
      </c>
      <c r="D29" s="485"/>
      <c r="E29" s="473">
        <v>1</v>
      </c>
      <c r="F29" s="474" t="s">
        <v>1975</v>
      </c>
      <c r="G29" s="474"/>
    </row>
    <row r="30" spans="1:13" ht="19.5" customHeight="1">
      <c r="A30" s="3485"/>
      <c r="B30" s="3491"/>
      <c r="C30" s="486" t="s">
        <v>260</v>
      </c>
      <c r="D30" s="487"/>
      <c r="E30" s="476">
        <v>1</v>
      </c>
      <c r="F30" s="474" t="s">
        <v>1976</v>
      </c>
      <c r="G30" s="474"/>
    </row>
    <row r="31" spans="1:13" ht="19.5" customHeight="1">
      <c r="A31" s="3485"/>
      <c r="B31" s="3491"/>
      <c r="C31" s="486" t="s">
        <v>271</v>
      </c>
      <c r="D31" s="487"/>
      <c r="E31" s="476">
        <v>0.8</v>
      </c>
      <c r="F31" s="474" t="s">
        <v>1977</v>
      </c>
      <c r="G31" s="474"/>
    </row>
    <row r="32" spans="1:13" ht="19.5" customHeight="1">
      <c r="A32" s="3485"/>
      <c r="B32" s="3491"/>
      <c r="C32" s="486" t="s">
        <v>282</v>
      </c>
      <c r="D32" s="487"/>
      <c r="E32" s="476">
        <v>0.8</v>
      </c>
      <c r="F32" s="474" t="s">
        <v>1978</v>
      </c>
      <c r="G32" s="474"/>
    </row>
    <row r="33" spans="1:7" ht="19.5" customHeight="1">
      <c r="A33" s="3485"/>
      <c r="B33" s="3491"/>
      <c r="C33" s="486" t="s">
        <v>291</v>
      </c>
      <c r="D33" s="487"/>
      <c r="E33" s="476">
        <v>0.8</v>
      </c>
      <c r="F33" s="474" t="s">
        <v>1979</v>
      </c>
      <c r="G33" s="474"/>
    </row>
    <row r="34" spans="1:7" ht="19.5" customHeight="1">
      <c r="A34" s="3485"/>
      <c r="B34" s="3491"/>
      <c r="C34" s="486" t="s">
        <v>299</v>
      </c>
      <c r="D34" s="487"/>
      <c r="E34" s="476">
        <v>0.7</v>
      </c>
      <c r="F34" s="474" t="s">
        <v>1980</v>
      </c>
      <c r="G34" s="474"/>
    </row>
    <row r="35" spans="1:7" ht="19.5" customHeight="1">
      <c r="A35" s="3485"/>
      <c r="B35" s="3491"/>
      <c r="C35" s="486" t="s">
        <v>307</v>
      </c>
      <c r="D35" s="487"/>
      <c r="E35" s="476">
        <v>0.8</v>
      </c>
      <c r="F35" s="474" t="s">
        <v>1981</v>
      </c>
      <c r="G35" s="474"/>
    </row>
    <row r="36" spans="1:7" ht="19.5" customHeight="1">
      <c r="A36" s="3485"/>
      <c r="B36" s="3491"/>
      <c r="C36" s="486" t="s">
        <v>314</v>
      </c>
      <c r="D36" s="487"/>
      <c r="E36" s="476">
        <v>0.6</v>
      </c>
      <c r="F36" s="474" t="s">
        <v>1982</v>
      </c>
      <c r="G36" s="474"/>
    </row>
    <row r="37" spans="1:7" ht="19.5" customHeight="1">
      <c r="A37" s="3485"/>
      <c r="B37" s="3491"/>
      <c r="C37" s="486" t="s">
        <v>320</v>
      </c>
      <c r="D37" s="487"/>
      <c r="E37" s="476">
        <v>0.2</v>
      </c>
      <c r="F37" s="474" t="s">
        <v>1983</v>
      </c>
      <c r="G37" s="474"/>
    </row>
    <row r="38" spans="1:7" ht="19.5" customHeight="1">
      <c r="A38" s="3485"/>
      <c r="B38" s="3491"/>
      <c r="C38" s="486" t="s">
        <v>326</v>
      </c>
      <c r="D38" s="487"/>
      <c r="E38" s="476">
        <v>0.2</v>
      </c>
      <c r="F38" s="474" t="s">
        <v>1984</v>
      </c>
      <c r="G38" s="474"/>
    </row>
    <row r="39" spans="1:7" ht="19.5" customHeight="1">
      <c r="A39" s="3485"/>
      <c r="B39" s="3492" t="s">
        <v>1985</v>
      </c>
      <c r="C39" s="486" t="s">
        <v>332</v>
      </c>
      <c r="D39" s="487"/>
      <c r="E39" s="476">
        <v>0.6</v>
      </c>
      <c r="F39" s="474" t="s">
        <v>1986</v>
      </c>
      <c r="G39" s="474"/>
    </row>
    <row r="40" spans="1:7" ht="19.5" customHeight="1">
      <c r="A40" s="3485"/>
      <c r="B40" s="3491"/>
      <c r="C40" s="486" t="s">
        <v>338</v>
      </c>
      <c r="D40" s="487"/>
      <c r="E40" s="476">
        <v>0.6</v>
      </c>
      <c r="F40" s="474" t="s">
        <v>1987</v>
      </c>
      <c r="G40" s="474"/>
    </row>
    <row r="41" spans="1:7" ht="19.5" customHeight="1">
      <c r="A41" s="3486"/>
      <c r="B41" s="3493"/>
      <c r="C41" s="488" t="s">
        <v>342</v>
      </c>
      <c r="D41" s="489"/>
      <c r="E41" s="478">
        <v>0.6</v>
      </c>
      <c r="F41" s="474" t="s">
        <v>1988</v>
      </c>
      <c r="G41" s="474"/>
    </row>
    <row r="42" spans="1:7" ht="19.5" customHeight="1">
      <c r="A42" s="490" t="s">
        <v>232</v>
      </c>
      <c r="B42" s="491" t="s">
        <v>232</v>
      </c>
      <c r="C42" s="492" t="s">
        <v>247</v>
      </c>
      <c r="D42" s="493"/>
      <c r="E42" s="494">
        <v>1</v>
      </c>
      <c r="F42" s="474" t="s">
        <v>1989</v>
      </c>
      <c r="G42" s="474"/>
    </row>
    <row r="43" spans="1:7" ht="19.5" customHeight="1">
      <c r="A43" s="3481" t="s">
        <v>233</v>
      </c>
      <c r="B43" s="3490" t="s">
        <v>1990</v>
      </c>
      <c r="C43" s="484" t="s">
        <v>248</v>
      </c>
      <c r="D43" s="485"/>
      <c r="E43" s="473">
        <v>1</v>
      </c>
      <c r="F43" s="474" t="s">
        <v>1991</v>
      </c>
      <c r="G43" s="474"/>
    </row>
    <row r="44" spans="1:7" ht="19.5" customHeight="1">
      <c r="A44" s="3482"/>
      <c r="B44" s="3491"/>
      <c r="C44" s="486" t="s">
        <v>261</v>
      </c>
      <c r="D44" s="487"/>
      <c r="E44" s="476">
        <v>1</v>
      </c>
      <c r="F44" s="474" t="s">
        <v>1992</v>
      </c>
      <c r="G44" s="474"/>
    </row>
    <row r="45" spans="1:7" ht="19.5" customHeight="1">
      <c r="A45" s="3482"/>
      <c r="B45" s="3494"/>
      <c r="C45" s="486" t="s">
        <v>272</v>
      </c>
      <c r="D45" s="487"/>
      <c r="E45" s="476">
        <v>1.5</v>
      </c>
      <c r="F45" s="474" t="s">
        <v>1993</v>
      </c>
      <c r="G45" s="474"/>
    </row>
    <row r="46" spans="1:7" ht="19.5" customHeight="1">
      <c r="A46" s="3482"/>
      <c r="B46" s="475" t="s">
        <v>231</v>
      </c>
      <c r="C46" s="486" t="s">
        <v>283</v>
      </c>
      <c r="D46" s="487"/>
      <c r="E46" s="476">
        <v>2</v>
      </c>
      <c r="F46" s="474" t="s">
        <v>1994</v>
      </c>
      <c r="G46" s="474"/>
    </row>
    <row r="47" spans="1:7" ht="19.5" customHeight="1">
      <c r="A47" s="3482"/>
      <c r="B47" s="3492" t="s">
        <v>1995</v>
      </c>
      <c r="C47" s="486" t="s">
        <v>292</v>
      </c>
      <c r="D47" s="487"/>
      <c r="E47" s="476">
        <v>1</v>
      </c>
      <c r="F47" s="474" t="s">
        <v>1996</v>
      </c>
      <c r="G47" s="474"/>
    </row>
    <row r="48" spans="1:7" ht="19.5" customHeight="1">
      <c r="A48" s="3482"/>
      <c r="B48" s="3491"/>
      <c r="C48" s="486" t="s">
        <v>300</v>
      </c>
      <c r="D48" s="487"/>
      <c r="E48" s="476">
        <v>1</v>
      </c>
      <c r="F48" s="474" t="s">
        <v>1997</v>
      </c>
      <c r="G48" s="474"/>
    </row>
    <row r="49" spans="1:7" ht="19.5" customHeight="1">
      <c r="A49" s="3482"/>
      <c r="B49" s="3491"/>
      <c r="C49" s="486" t="s">
        <v>308</v>
      </c>
      <c r="D49" s="487"/>
      <c r="E49" s="476">
        <v>1</v>
      </c>
      <c r="F49" s="474" t="s">
        <v>1998</v>
      </c>
      <c r="G49" s="474"/>
    </row>
    <row r="50" spans="1:7" ht="19.5" customHeight="1">
      <c r="A50" s="3482"/>
      <c r="B50" s="3491"/>
      <c r="C50" s="486" t="s">
        <v>315</v>
      </c>
      <c r="D50" s="487"/>
      <c r="E50" s="476">
        <v>1</v>
      </c>
      <c r="F50" s="474" t="s">
        <v>1999</v>
      </c>
      <c r="G50" s="474"/>
    </row>
    <row r="51" spans="1:7" ht="19.5" customHeight="1">
      <c r="A51" s="3482"/>
      <c r="B51" s="3491"/>
      <c r="C51" s="486" t="s">
        <v>321</v>
      </c>
      <c r="D51" s="487"/>
      <c r="E51" s="476">
        <v>1</v>
      </c>
      <c r="F51" s="474" t="s">
        <v>2000</v>
      </c>
      <c r="G51" s="474"/>
    </row>
    <row r="52" spans="1:7" ht="19.5" customHeight="1">
      <c r="A52" s="3482"/>
      <c r="B52" s="3491"/>
      <c r="C52" s="486" t="s">
        <v>327</v>
      </c>
      <c r="D52" s="487"/>
      <c r="E52" s="476">
        <v>1</v>
      </c>
      <c r="F52" s="474" t="s">
        <v>2001</v>
      </c>
      <c r="G52" s="474"/>
    </row>
    <row r="53" spans="1:7" ht="19.5" customHeight="1">
      <c r="A53" s="3483"/>
      <c r="B53" s="3493"/>
      <c r="C53" s="488" t="s">
        <v>333</v>
      </c>
      <c r="D53" s="489"/>
      <c r="E53" s="478">
        <v>1</v>
      </c>
      <c r="F53" s="474" t="s">
        <v>2002</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2003</v>
      </c>
      <c r="G56" s="465" t="s">
        <v>468</v>
      </c>
    </row>
    <row r="57" spans="1:7" ht="19.5" customHeight="1">
      <c r="A57" s="498"/>
      <c r="B57" s="465" t="s">
        <v>229</v>
      </c>
      <c r="C57" s="465" t="s">
        <v>229</v>
      </c>
      <c r="D57" s="465" t="s">
        <v>229</v>
      </c>
      <c r="E57" s="462" t="s">
        <v>230</v>
      </c>
      <c r="F57" s="462" t="s">
        <v>233</v>
      </c>
      <c r="G57" s="462" t="s">
        <v>1666</v>
      </c>
    </row>
    <row r="58" spans="1:7" ht="19.5" customHeight="1">
      <c r="A58" s="499"/>
      <c r="B58" s="462">
        <v>1</v>
      </c>
      <c r="C58" s="462">
        <v>2</v>
      </c>
      <c r="D58" s="462">
        <v>3</v>
      </c>
      <c r="E58" s="500" t="s">
        <v>2004</v>
      </c>
      <c r="F58" s="500" t="s">
        <v>2004</v>
      </c>
      <c r="G58" s="500" t="s">
        <v>2004</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2005</v>
      </c>
      <c r="E72" s="501"/>
      <c r="F72" s="501"/>
    </row>
    <row r="73" spans="1:7" ht="19.5" customHeight="1">
      <c r="A73" s="475" t="s">
        <v>2006</v>
      </c>
      <c r="B73" s="475" t="s">
        <v>2007</v>
      </c>
      <c r="C73" s="475" t="s">
        <v>2008</v>
      </c>
      <c r="D73" s="475" t="s">
        <v>2009</v>
      </c>
      <c r="E73" s="475" t="s">
        <v>2010</v>
      </c>
      <c r="F73" s="475" t="s">
        <v>2011</v>
      </c>
    </row>
    <row r="74" spans="1:7" ht="13.5">
      <c r="A74" s="475"/>
      <c r="B74" s="475"/>
      <c r="C74" s="475" t="s">
        <v>1786</v>
      </c>
      <c r="D74" s="475"/>
      <c r="E74" s="475" t="s">
        <v>124</v>
      </c>
      <c r="F74" s="475" t="s">
        <v>124</v>
      </c>
    </row>
    <row r="75" spans="1:7" ht="13.5">
      <c r="A75" s="475">
        <v>1</v>
      </c>
      <c r="B75" s="3492" t="s">
        <v>2012</v>
      </c>
      <c r="C75" s="462" t="s">
        <v>2013</v>
      </c>
      <c r="D75" s="462" t="s">
        <v>2014</v>
      </c>
      <c r="E75" s="475">
        <v>0.2</v>
      </c>
      <c r="F75" s="475">
        <v>25</v>
      </c>
    </row>
    <row r="76" spans="1:7" ht="24">
      <c r="A76" s="475">
        <v>2</v>
      </c>
      <c r="B76" s="3491"/>
      <c r="C76" s="462" t="s">
        <v>2015</v>
      </c>
      <c r="D76" s="462" t="s">
        <v>2016</v>
      </c>
      <c r="E76" s="475">
        <v>0.2</v>
      </c>
      <c r="F76" s="475">
        <v>25</v>
      </c>
    </row>
    <row r="77" spans="1:7" ht="24">
      <c r="A77" s="475">
        <v>3</v>
      </c>
      <c r="B77" s="3491"/>
      <c r="C77" s="462" t="s">
        <v>2017</v>
      </c>
      <c r="D77" s="462" t="s">
        <v>2018</v>
      </c>
      <c r="E77" s="475">
        <v>0.2</v>
      </c>
      <c r="F77" s="475">
        <v>25</v>
      </c>
    </row>
    <row r="78" spans="1:7" ht="13.5">
      <c r="A78" s="475">
        <v>4</v>
      </c>
      <c r="B78" s="3491"/>
      <c r="C78" s="462" t="s">
        <v>2019</v>
      </c>
      <c r="D78" s="462" t="s">
        <v>2020</v>
      </c>
      <c r="E78" s="475">
        <v>0.15</v>
      </c>
      <c r="F78" s="475">
        <v>20</v>
      </c>
    </row>
    <row r="79" spans="1:7" ht="24">
      <c r="A79" s="475">
        <v>5</v>
      </c>
      <c r="B79" s="3491"/>
      <c r="C79" s="462" t="s">
        <v>2021</v>
      </c>
      <c r="D79" s="462" t="s">
        <v>2022</v>
      </c>
      <c r="E79" s="475">
        <v>0.15</v>
      </c>
      <c r="F79" s="475">
        <v>20</v>
      </c>
    </row>
    <row r="80" spans="1:7" ht="24">
      <c r="A80" s="475">
        <v>6</v>
      </c>
      <c r="B80" s="3491"/>
      <c r="C80" s="462" t="s">
        <v>2023</v>
      </c>
      <c r="D80" s="462" t="s">
        <v>2024</v>
      </c>
      <c r="E80" s="475">
        <v>0.15</v>
      </c>
      <c r="F80" s="475">
        <v>20</v>
      </c>
    </row>
    <row r="81" spans="1:6" ht="24">
      <c r="A81" s="475">
        <v>7</v>
      </c>
      <c r="B81" s="3491"/>
      <c r="C81" s="462" t="s">
        <v>2025</v>
      </c>
      <c r="D81" s="462" t="s">
        <v>2026</v>
      </c>
      <c r="E81" s="475">
        <v>0.15</v>
      </c>
      <c r="F81" s="475">
        <v>20</v>
      </c>
    </row>
    <row r="82" spans="1:6" ht="24">
      <c r="A82" s="475">
        <v>8</v>
      </c>
      <c r="B82" s="3491"/>
      <c r="C82" s="462" t="s">
        <v>2027</v>
      </c>
      <c r="D82" s="462" t="s">
        <v>2028</v>
      </c>
      <c r="E82" s="475">
        <v>0.1</v>
      </c>
      <c r="F82" s="475">
        <v>15</v>
      </c>
    </row>
    <row r="83" spans="1:6" ht="24">
      <c r="A83" s="475">
        <v>9</v>
      </c>
      <c r="B83" s="3491"/>
      <c r="C83" s="462" t="s">
        <v>2029</v>
      </c>
      <c r="D83" s="462" t="s">
        <v>2030</v>
      </c>
      <c r="E83" s="475">
        <v>0.1</v>
      </c>
      <c r="F83" s="475">
        <v>15</v>
      </c>
    </row>
    <row r="84" spans="1:6" ht="24">
      <c r="A84" s="475">
        <v>10</v>
      </c>
      <c r="B84" s="3491"/>
      <c r="C84" s="462" t="s">
        <v>2031</v>
      </c>
      <c r="D84" s="462" t="s">
        <v>2032</v>
      </c>
      <c r="E84" s="475">
        <v>0.1</v>
      </c>
      <c r="F84" s="475">
        <v>15</v>
      </c>
    </row>
    <row r="85" spans="1:6" ht="24">
      <c r="A85" s="475">
        <v>11</v>
      </c>
      <c r="B85" s="3491"/>
      <c r="C85" s="462" t="s">
        <v>2033</v>
      </c>
      <c r="D85" s="462" t="s">
        <v>2034</v>
      </c>
      <c r="E85" s="475">
        <v>0.1</v>
      </c>
      <c r="F85" s="475">
        <v>15</v>
      </c>
    </row>
    <row r="86" spans="1:6" ht="24">
      <c r="A86" s="475">
        <v>12</v>
      </c>
      <c r="B86" s="3491"/>
      <c r="C86" s="462" t="s">
        <v>2035</v>
      </c>
      <c r="D86" s="462" t="s">
        <v>2036</v>
      </c>
      <c r="E86" s="475">
        <v>0.1</v>
      </c>
      <c r="F86" s="475">
        <v>15</v>
      </c>
    </row>
    <row r="87" spans="1:6" ht="13.5">
      <c r="A87" s="475">
        <v>13</v>
      </c>
      <c r="B87" s="3491"/>
      <c r="C87" s="462" t="s">
        <v>2037</v>
      </c>
      <c r="D87" s="462" t="s">
        <v>2038</v>
      </c>
      <c r="E87" s="475">
        <v>0.1</v>
      </c>
      <c r="F87" s="475">
        <v>15</v>
      </c>
    </row>
    <row r="88" spans="1:6" ht="13.5">
      <c r="A88" s="475">
        <v>14</v>
      </c>
      <c r="B88" s="3491"/>
      <c r="C88" s="462" t="s">
        <v>2039</v>
      </c>
      <c r="D88" s="462" t="s">
        <v>2040</v>
      </c>
      <c r="E88" s="475">
        <v>0.1</v>
      </c>
      <c r="F88" s="475">
        <v>15</v>
      </c>
    </row>
    <row r="89" spans="1:6" ht="13.5">
      <c r="A89" s="475">
        <v>15</v>
      </c>
      <c r="B89" s="3491"/>
      <c r="C89" s="462" t="s">
        <v>2041</v>
      </c>
      <c r="D89" s="462" t="s">
        <v>2042</v>
      </c>
      <c r="E89" s="475">
        <v>0.1</v>
      </c>
      <c r="F89" s="475">
        <v>15</v>
      </c>
    </row>
    <row r="90" spans="1:6" ht="24">
      <c r="A90" s="475">
        <v>16</v>
      </c>
      <c r="B90" s="3491"/>
      <c r="C90" s="462" t="s">
        <v>2043</v>
      </c>
      <c r="D90" s="462" t="s">
        <v>2044</v>
      </c>
      <c r="E90" s="475">
        <v>0.1</v>
      </c>
      <c r="F90" s="475">
        <v>15</v>
      </c>
    </row>
    <row r="91" spans="1:6" ht="24">
      <c r="A91" s="475">
        <v>17</v>
      </c>
      <c r="B91" s="3494"/>
      <c r="C91" s="462" t="s">
        <v>2045</v>
      </c>
      <c r="D91" s="462" t="s">
        <v>2046</v>
      </c>
      <c r="E91" s="475">
        <v>0.1</v>
      </c>
      <c r="F91" s="475">
        <v>15</v>
      </c>
    </row>
    <row r="92" spans="1:6" ht="13.5">
      <c r="A92" s="475">
        <v>18</v>
      </c>
      <c r="B92" s="3492" t="s">
        <v>2047</v>
      </c>
      <c r="C92" s="462" t="s">
        <v>2048</v>
      </c>
      <c r="D92" s="462" t="s">
        <v>2049</v>
      </c>
      <c r="E92" s="475">
        <v>0.2</v>
      </c>
      <c r="F92" s="475">
        <v>25</v>
      </c>
    </row>
    <row r="93" spans="1:6" ht="24">
      <c r="A93" s="475">
        <v>19</v>
      </c>
      <c r="B93" s="3491"/>
      <c r="C93" s="462" t="s">
        <v>2050</v>
      </c>
      <c r="D93" s="462" t="s">
        <v>2051</v>
      </c>
      <c r="E93" s="475">
        <v>0.2</v>
      </c>
      <c r="F93" s="475">
        <v>25</v>
      </c>
    </row>
    <row r="94" spans="1:6" ht="13.5">
      <c r="A94" s="475">
        <v>20</v>
      </c>
      <c r="B94" s="3491"/>
      <c r="C94" s="462" t="s">
        <v>2052</v>
      </c>
      <c r="D94" s="462" t="s">
        <v>2053</v>
      </c>
      <c r="E94" s="475">
        <v>0.15</v>
      </c>
      <c r="F94" s="475">
        <v>20</v>
      </c>
    </row>
    <row r="95" spans="1:6" ht="13.5">
      <c r="A95" s="475">
        <v>21</v>
      </c>
      <c r="B95" s="3491"/>
      <c r="C95" s="462" t="s">
        <v>2054</v>
      </c>
      <c r="D95" s="462" t="s">
        <v>2055</v>
      </c>
      <c r="E95" s="475">
        <v>0.15</v>
      </c>
      <c r="F95" s="475">
        <v>20</v>
      </c>
    </row>
    <row r="96" spans="1:6" ht="13.5">
      <c r="A96" s="475">
        <v>22</v>
      </c>
      <c r="B96" s="3491"/>
      <c r="C96" s="462" t="s">
        <v>2056</v>
      </c>
      <c r="D96" s="462" t="s">
        <v>2057</v>
      </c>
      <c r="E96" s="475">
        <v>0.15</v>
      </c>
      <c r="F96" s="475">
        <v>20</v>
      </c>
    </row>
    <row r="97" spans="1:6" ht="36">
      <c r="A97" s="475">
        <v>23</v>
      </c>
      <c r="B97" s="3491"/>
      <c r="C97" s="462" t="s">
        <v>2058</v>
      </c>
      <c r="D97" s="462" t="s">
        <v>2059</v>
      </c>
      <c r="E97" s="475">
        <v>0.15</v>
      </c>
      <c r="F97" s="475">
        <v>20</v>
      </c>
    </row>
    <row r="98" spans="1:6" ht="13.5">
      <c r="A98" s="475">
        <v>24</v>
      </c>
      <c r="B98" s="3491"/>
      <c r="C98" s="462" t="s">
        <v>2060</v>
      </c>
      <c r="D98" s="462" t="s">
        <v>2061</v>
      </c>
      <c r="E98" s="475">
        <v>0.1</v>
      </c>
      <c r="F98" s="475">
        <v>15</v>
      </c>
    </row>
    <row r="99" spans="1:6" ht="13.5">
      <c r="A99" s="475">
        <v>25</v>
      </c>
      <c r="B99" s="3491"/>
      <c r="C99" s="462" t="s">
        <v>2062</v>
      </c>
      <c r="D99" s="462" t="s">
        <v>2063</v>
      </c>
      <c r="E99" s="475">
        <v>0.1</v>
      </c>
      <c r="F99" s="475">
        <v>15</v>
      </c>
    </row>
    <row r="100" spans="1:6" ht="24">
      <c r="A100" s="475">
        <v>26</v>
      </c>
      <c r="B100" s="3491"/>
      <c r="C100" s="462" t="s">
        <v>2064</v>
      </c>
      <c r="D100" s="462" t="s">
        <v>2065</v>
      </c>
      <c r="E100" s="475">
        <v>0.1</v>
      </c>
      <c r="F100" s="475">
        <v>15</v>
      </c>
    </row>
    <row r="101" spans="1:6" ht="24">
      <c r="A101" s="475">
        <v>27</v>
      </c>
      <c r="B101" s="3491"/>
      <c r="C101" s="462" t="s">
        <v>2066</v>
      </c>
      <c r="D101" s="462" t="s">
        <v>2067</v>
      </c>
      <c r="E101" s="475">
        <v>0.1</v>
      </c>
      <c r="F101" s="475">
        <v>15</v>
      </c>
    </row>
    <row r="102" spans="1:6" ht="13.5">
      <c r="A102" s="475">
        <v>28</v>
      </c>
      <c r="B102" s="3491"/>
      <c r="C102" s="462" t="s">
        <v>2068</v>
      </c>
      <c r="D102" s="462" t="s">
        <v>2069</v>
      </c>
      <c r="E102" s="475">
        <v>0.1</v>
      </c>
      <c r="F102" s="475">
        <v>15</v>
      </c>
    </row>
    <row r="103" spans="1:6" ht="13.5">
      <c r="A103" s="475">
        <v>29</v>
      </c>
      <c r="B103" s="3491"/>
      <c r="C103" s="462" t="s">
        <v>2070</v>
      </c>
      <c r="D103" s="462" t="s">
        <v>2071</v>
      </c>
      <c r="E103" s="475">
        <v>0.1</v>
      </c>
      <c r="F103" s="475">
        <v>15</v>
      </c>
    </row>
    <row r="104" spans="1:6" ht="13.5">
      <c r="A104" s="475">
        <v>30</v>
      </c>
      <c r="B104" s="3491"/>
      <c r="C104" s="462" t="s">
        <v>2072</v>
      </c>
      <c r="D104" s="462" t="s">
        <v>2073</v>
      </c>
      <c r="E104" s="475">
        <v>0.1</v>
      </c>
      <c r="F104" s="475">
        <v>15</v>
      </c>
    </row>
    <row r="105" spans="1:6" ht="24">
      <c r="A105" s="475">
        <v>31</v>
      </c>
      <c r="B105" s="3491"/>
      <c r="C105" s="462" t="s">
        <v>2074</v>
      </c>
      <c r="D105" s="462" t="s">
        <v>2075</v>
      </c>
      <c r="E105" s="475">
        <v>0.1</v>
      </c>
      <c r="F105" s="475">
        <v>15</v>
      </c>
    </row>
    <row r="106" spans="1:6" ht="24">
      <c r="A106" s="475">
        <v>32</v>
      </c>
      <c r="B106" s="3491"/>
      <c r="C106" s="462" t="s">
        <v>2076</v>
      </c>
      <c r="D106" s="462" t="s">
        <v>2077</v>
      </c>
      <c r="E106" s="475">
        <v>0.1</v>
      </c>
      <c r="F106" s="475">
        <v>15</v>
      </c>
    </row>
    <row r="107" spans="1:6" ht="24">
      <c r="A107" s="475">
        <v>33</v>
      </c>
      <c r="B107" s="3491"/>
      <c r="C107" s="462" t="s">
        <v>2078</v>
      </c>
      <c r="D107" s="462" t="s">
        <v>2079</v>
      </c>
      <c r="E107" s="475">
        <v>0.1</v>
      </c>
      <c r="F107" s="475">
        <v>15</v>
      </c>
    </row>
    <row r="108" spans="1:6" ht="24">
      <c r="A108" s="475">
        <v>34</v>
      </c>
      <c r="B108" s="3494"/>
      <c r="C108" s="462" t="s">
        <v>2080</v>
      </c>
      <c r="D108" s="462" t="s">
        <v>2081</v>
      </c>
      <c r="E108" s="475">
        <v>0.1</v>
      </c>
      <c r="F108" s="475">
        <v>15</v>
      </c>
    </row>
    <row r="109" spans="1:6" ht="24">
      <c r="A109" s="475">
        <v>35</v>
      </c>
      <c r="B109" s="3492" t="s">
        <v>2082</v>
      </c>
      <c r="C109" s="475" t="s">
        <v>2083</v>
      </c>
      <c r="D109" s="462" t="s">
        <v>2084</v>
      </c>
      <c r="E109" s="475">
        <v>0.15</v>
      </c>
      <c r="F109" s="475">
        <v>20</v>
      </c>
    </row>
    <row r="110" spans="1:6" ht="13.5">
      <c r="A110" s="475">
        <v>36</v>
      </c>
      <c r="B110" s="3491"/>
      <c r="C110" s="475" t="s">
        <v>2085</v>
      </c>
      <c r="D110" s="462" t="s">
        <v>2086</v>
      </c>
      <c r="E110" s="475">
        <v>0.15</v>
      </c>
      <c r="F110" s="475">
        <v>20</v>
      </c>
    </row>
    <row r="111" spans="1:6" ht="13.5">
      <c r="A111" s="475">
        <v>37</v>
      </c>
      <c r="B111" s="3491"/>
      <c r="C111" s="475" t="s">
        <v>2087</v>
      </c>
      <c r="D111" s="462" t="s">
        <v>2088</v>
      </c>
      <c r="E111" s="475">
        <v>0.15</v>
      </c>
      <c r="F111" s="475">
        <v>20</v>
      </c>
    </row>
    <row r="112" spans="1:6" ht="13.5">
      <c r="A112" s="475">
        <v>38</v>
      </c>
      <c r="B112" s="3491"/>
      <c r="C112" s="475" t="s">
        <v>2089</v>
      </c>
      <c r="D112" s="462" t="s">
        <v>2090</v>
      </c>
      <c r="E112" s="475">
        <v>0.1</v>
      </c>
      <c r="F112" s="475">
        <v>15</v>
      </c>
    </row>
    <row r="113" spans="1:6" ht="24">
      <c r="A113" s="475">
        <v>39</v>
      </c>
      <c r="B113" s="3491"/>
      <c r="C113" s="475" t="s">
        <v>2091</v>
      </c>
      <c r="D113" s="462" t="s">
        <v>2092</v>
      </c>
      <c r="E113" s="475">
        <v>0.1</v>
      </c>
      <c r="F113" s="475">
        <v>15</v>
      </c>
    </row>
    <row r="114" spans="1:6" ht="24">
      <c r="A114" s="475">
        <v>40</v>
      </c>
      <c r="B114" s="3494"/>
      <c r="C114" s="475" t="s">
        <v>2093</v>
      </c>
      <c r="D114" s="462" t="s">
        <v>2094</v>
      </c>
      <c r="E114" s="475">
        <v>0.1</v>
      </c>
      <c r="F114" s="475">
        <v>15</v>
      </c>
    </row>
    <row r="115" spans="1:6" ht="13.5">
      <c r="A115" s="475">
        <v>41</v>
      </c>
      <c r="B115" s="3488" t="s">
        <v>2095</v>
      </c>
      <c r="C115" s="475" t="s">
        <v>2096</v>
      </c>
      <c r="D115" s="462" t="s">
        <v>2097</v>
      </c>
      <c r="E115" s="475">
        <v>0.1</v>
      </c>
      <c r="F115" s="475">
        <v>15</v>
      </c>
    </row>
    <row r="116" spans="1:6" ht="13.5">
      <c r="A116" s="475">
        <v>42</v>
      </c>
      <c r="B116" s="3488"/>
      <c r="C116" s="475" t="s">
        <v>2098</v>
      </c>
      <c r="D116" s="462" t="s">
        <v>2099</v>
      </c>
      <c r="E116" s="475">
        <v>0.1</v>
      </c>
      <c r="F116" s="475">
        <v>15</v>
      </c>
    </row>
    <row r="117" spans="1:6" ht="24">
      <c r="A117" s="475">
        <v>43</v>
      </c>
      <c r="B117" s="3488"/>
      <c r="C117" s="475" t="s">
        <v>2100</v>
      </c>
      <c r="D117" s="462" t="s">
        <v>2101</v>
      </c>
      <c r="E117" s="475">
        <v>0.1</v>
      </c>
      <c r="F117" s="475">
        <v>15</v>
      </c>
    </row>
    <row r="118" spans="1:6" ht="13.5">
      <c r="A118" s="475">
        <v>44</v>
      </c>
      <c r="B118" s="3492" t="s">
        <v>2102</v>
      </c>
      <c r="C118" s="475" t="s">
        <v>2103</v>
      </c>
      <c r="D118" s="462" t="s">
        <v>2104</v>
      </c>
      <c r="E118" s="475">
        <v>0.1</v>
      </c>
      <c r="F118" s="475">
        <v>15</v>
      </c>
    </row>
    <row r="119" spans="1:6" ht="24">
      <c r="A119" s="475">
        <v>45</v>
      </c>
      <c r="B119" s="3494"/>
      <c r="C119" s="462" t="s">
        <v>2105</v>
      </c>
      <c r="D119" s="462" t="s">
        <v>2106</v>
      </c>
      <c r="E119" s="475">
        <v>0.1</v>
      </c>
      <c r="F119" s="475">
        <v>15</v>
      </c>
    </row>
    <row r="120" spans="1:6" ht="24">
      <c r="A120" s="475">
        <v>46</v>
      </c>
      <c r="B120" s="3492" t="s">
        <v>2107</v>
      </c>
      <c r="C120" s="475" t="s">
        <v>2108</v>
      </c>
      <c r="D120" s="462" t="s">
        <v>2109</v>
      </c>
      <c r="E120" s="475">
        <v>0.1</v>
      </c>
      <c r="F120" s="475">
        <v>15</v>
      </c>
    </row>
    <row r="121" spans="1:6" ht="24">
      <c r="A121" s="475">
        <v>47</v>
      </c>
      <c r="B121" s="3494"/>
      <c r="C121" s="475" t="s">
        <v>2110</v>
      </c>
      <c r="D121" s="462" t="s">
        <v>2111</v>
      </c>
      <c r="E121" s="475">
        <v>0.1</v>
      </c>
      <c r="F121" s="475">
        <v>15</v>
      </c>
    </row>
    <row r="122" spans="1:6" ht="13.5">
      <c r="A122" s="475">
        <v>48</v>
      </c>
      <c r="B122" s="3492" t="s">
        <v>2112</v>
      </c>
      <c r="C122" s="475" t="s">
        <v>2113</v>
      </c>
      <c r="D122" s="462" t="s">
        <v>2114</v>
      </c>
      <c r="E122" s="475">
        <v>0.1</v>
      </c>
      <c r="F122" s="475">
        <v>15</v>
      </c>
    </row>
    <row r="123" spans="1:6" ht="13.5">
      <c r="A123" s="475">
        <v>49</v>
      </c>
      <c r="B123" s="3494"/>
      <c r="C123" s="475" t="s">
        <v>2115</v>
      </c>
      <c r="D123" s="462" t="s">
        <v>2116</v>
      </c>
      <c r="E123" s="475">
        <v>0.1</v>
      </c>
      <c r="F123" s="475">
        <v>15</v>
      </c>
    </row>
    <row r="124" spans="1:6" ht="24">
      <c r="A124" s="475">
        <v>50</v>
      </c>
      <c r="B124" s="3488" t="s">
        <v>2117</v>
      </c>
      <c r="C124" s="475" t="s">
        <v>2118</v>
      </c>
      <c r="D124" s="462" t="s">
        <v>2119</v>
      </c>
      <c r="E124" s="475">
        <v>0.1</v>
      </c>
      <c r="F124" s="475">
        <v>15</v>
      </c>
    </row>
    <row r="125" spans="1:6" ht="24">
      <c r="A125" s="475">
        <v>51</v>
      </c>
      <c r="B125" s="3488"/>
      <c r="C125" s="475" t="s">
        <v>2120</v>
      </c>
      <c r="D125" s="462" t="s">
        <v>2121</v>
      </c>
      <c r="E125" s="475">
        <v>0.1</v>
      </c>
      <c r="F125" s="475">
        <v>15</v>
      </c>
    </row>
    <row r="126" spans="1:6" ht="24">
      <c r="A126" s="475">
        <v>52</v>
      </c>
      <c r="B126" s="3488" t="s">
        <v>2122</v>
      </c>
      <c r="C126" s="475" t="s">
        <v>2123</v>
      </c>
      <c r="D126" s="462" t="s">
        <v>2124</v>
      </c>
      <c r="E126" s="475">
        <v>0.1</v>
      </c>
      <c r="F126" s="475">
        <v>15</v>
      </c>
    </row>
    <row r="127" spans="1:6" ht="24">
      <c r="A127" s="475">
        <v>53</v>
      </c>
      <c r="B127" s="3488"/>
      <c r="C127" s="475" t="s">
        <v>2125</v>
      </c>
      <c r="D127" s="462" t="s">
        <v>2126</v>
      </c>
      <c r="E127" s="475">
        <v>0.1</v>
      </c>
      <c r="F127" s="475">
        <v>15</v>
      </c>
    </row>
    <row r="128" spans="1:6" ht="13.5">
      <c r="A128" s="475">
        <v>54</v>
      </c>
      <c r="B128" s="475" t="s">
        <v>2127</v>
      </c>
      <c r="C128" s="475" t="s">
        <v>2128</v>
      </c>
      <c r="D128" s="462" t="s">
        <v>2129</v>
      </c>
      <c r="E128" s="475">
        <v>0.1</v>
      </c>
      <c r="F128" s="475">
        <v>15</v>
      </c>
    </row>
    <row r="129" spans="1:6" ht="13.5">
      <c r="A129" s="475">
        <v>55</v>
      </c>
      <c r="B129" s="3488" t="s">
        <v>2130</v>
      </c>
      <c r="C129" s="475" t="s">
        <v>2131</v>
      </c>
      <c r="D129" s="462" t="s">
        <v>2132</v>
      </c>
      <c r="E129" s="475">
        <v>0.1</v>
      </c>
      <c r="F129" s="475">
        <v>15</v>
      </c>
    </row>
    <row r="130" spans="1:6" ht="13.5">
      <c r="A130" s="475">
        <v>56</v>
      </c>
      <c r="B130" s="3488"/>
      <c r="C130" s="475" t="s">
        <v>2133</v>
      </c>
      <c r="D130" s="462" t="s">
        <v>2134</v>
      </c>
      <c r="E130" s="475">
        <v>0.1</v>
      </c>
      <c r="F130" s="475">
        <v>15</v>
      </c>
    </row>
    <row r="131" spans="1:6" ht="24">
      <c r="A131" s="475">
        <v>57</v>
      </c>
      <c r="B131" s="3488"/>
      <c r="C131" s="475" t="s">
        <v>2135</v>
      </c>
      <c r="D131" s="462" t="s">
        <v>2136</v>
      </c>
      <c r="E131" s="475">
        <v>0.1</v>
      </c>
      <c r="F131" s="475">
        <v>15</v>
      </c>
    </row>
    <row r="132" spans="1:6" ht="24">
      <c r="A132" s="475">
        <v>58</v>
      </c>
      <c r="B132" s="3488" t="s">
        <v>2137</v>
      </c>
      <c r="C132" s="475" t="s">
        <v>2138</v>
      </c>
      <c r="D132" s="462" t="s">
        <v>2139</v>
      </c>
      <c r="E132" s="475">
        <v>0.1</v>
      </c>
      <c r="F132" s="475">
        <v>15</v>
      </c>
    </row>
    <row r="133" spans="1:6" ht="13.5">
      <c r="A133" s="475">
        <v>59</v>
      </c>
      <c r="B133" s="3488"/>
      <c r="C133" s="475" t="s">
        <v>2140</v>
      </c>
      <c r="D133" s="462" t="s">
        <v>2141</v>
      </c>
      <c r="E133" s="475">
        <v>0.1</v>
      </c>
      <c r="F133" s="475">
        <v>15</v>
      </c>
    </row>
    <row r="134" spans="1:6" ht="13.5">
      <c r="A134" s="475">
        <v>60</v>
      </c>
      <c r="B134" s="3492" t="s">
        <v>2142</v>
      </c>
      <c r="C134" s="475" t="s">
        <v>2143</v>
      </c>
      <c r="D134" s="462" t="s">
        <v>2144</v>
      </c>
      <c r="E134" s="475">
        <v>0.1</v>
      </c>
      <c r="F134" s="475">
        <v>15</v>
      </c>
    </row>
    <row r="135" spans="1:6" ht="13.5">
      <c r="A135" s="475">
        <v>61</v>
      </c>
      <c r="B135" s="3494"/>
      <c r="C135" s="475" t="s">
        <v>2145</v>
      </c>
      <c r="D135" s="462" t="s">
        <v>2146</v>
      </c>
      <c r="E135" s="475">
        <v>0.1</v>
      </c>
      <c r="F135" s="475">
        <v>15</v>
      </c>
    </row>
    <row r="136" spans="1:6" ht="24">
      <c r="A136" s="475">
        <v>62</v>
      </c>
      <c r="B136" s="475" t="s">
        <v>2147</v>
      </c>
      <c r="C136" s="475" t="s">
        <v>2148</v>
      </c>
      <c r="D136" s="462" t="s">
        <v>2149</v>
      </c>
      <c r="E136" s="475">
        <v>0.1</v>
      </c>
      <c r="F136" s="475">
        <v>15</v>
      </c>
    </row>
    <row r="137" spans="1:6" ht="13.5">
      <c r="A137" s="475">
        <v>63</v>
      </c>
      <c r="B137" s="3488" t="s">
        <v>2150</v>
      </c>
      <c r="C137" s="475" t="s">
        <v>2151</v>
      </c>
      <c r="D137" s="462" t="s">
        <v>2152</v>
      </c>
      <c r="E137" s="475">
        <v>0.1</v>
      </c>
      <c r="F137" s="475">
        <v>15</v>
      </c>
    </row>
    <row r="138" spans="1:6" ht="13.5">
      <c r="A138" s="475">
        <v>64</v>
      </c>
      <c r="B138" s="3488"/>
      <c r="C138" s="475" t="s">
        <v>2153</v>
      </c>
      <c r="D138" s="462" t="s">
        <v>2154</v>
      </c>
      <c r="E138" s="475">
        <v>0.1</v>
      </c>
      <c r="F138" s="475">
        <v>15</v>
      </c>
    </row>
    <row r="139" spans="1:6" ht="13.5">
      <c r="A139" s="475">
        <v>65</v>
      </c>
      <c r="B139" s="475" t="s">
        <v>2155</v>
      </c>
      <c r="C139" s="475" t="s">
        <v>2156</v>
      </c>
      <c r="D139" s="462" t="s">
        <v>2157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2158</v>
      </c>
      <c r="B1" s="422"/>
      <c r="C1" s="422"/>
      <c r="D1" s="422"/>
      <c r="E1" s="422"/>
      <c r="F1" s="422"/>
      <c r="G1" s="422"/>
      <c r="H1" s="422"/>
      <c r="I1" s="422"/>
      <c r="J1" s="422"/>
      <c r="K1" s="422"/>
      <c r="L1" s="422"/>
      <c r="M1" s="422"/>
      <c r="N1" s="423"/>
    </row>
    <row r="2" spans="1:20">
      <c r="A2" s="424" t="s">
        <v>2159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2160</v>
      </c>
      <c r="R2" s="429" t="s">
        <v>2161</v>
      </c>
      <c r="S2" s="429" t="s">
        <v>2162</v>
      </c>
      <c r="T2" s="429" t="s">
        <v>2163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2164</v>
      </c>
      <c r="B93" s="422"/>
      <c r="C93" s="422"/>
      <c r="D93" s="422"/>
      <c r="E93" s="422"/>
      <c r="F93" s="422"/>
      <c r="G93" s="422"/>
      <c r="H93" s="422"/>
      <c r="I93" s="422"/>
      <c r="J93" s="422"/>
      <c r="K93" s="422"/>
      <c r="L93" s="422"/>
      <c r="M93" s="422"/>
    </row>
    <row r="94" spans="1:20">
      <c r="A94" s="424" t="s">
        <v>2159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2160</v>
      </c>
      <c r="R94" s="429" t="s">
        <v>2161</v>
      </c>
      <c r="S94" s="429" t="s">
        <v>2162</v>
      </c>
      <c r="T94" s="429" t="s">
        <v>2163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2165</v>
      </c>
      <c r="B185" s="422"/>
      <c r="C185" s="422"/>
      <c r="D185" s="422"/>
      <c r="E185" s="422"/>
      <c r="F185" s="422"/>
      <c r="G185" s="422"/>
      <c r="H185" s="422"/>
      <c r="I185" s="422"/>
      <c r="J185" s="422"/>
      <c r="K185" s="422"/>
      <c r="L185" s="422"/>
      <c r="M185" s="422"/>
    </row>
    <row r="186" spans="1:20">
      <c r="A186" s="424" t="s">
        <v>2159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2160</v>
      </c>
      <c r="R186" s="429" t="s">
        <v>2161</v>
      </c>
      <c r="S186" s="429" t="s">
        <v>2162</v>
      </c>
      <c r="T186" s="429" t="s">
        <v>2163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2166</v>
      </c>
      <c r="B277" s="422"/>
      <c r="C277" s="422"/>
      <c r="D277" s="422"/>
      <c r="E277" s="422"/>
      <c r="F277" s="422"/>
      <c r="G277" s="422"/>
      <c r="H277" s="422"/>
      <c r="I277" s="422"/>
      <c r="J277" s="422"/>
      <c r="K277" s="422"/>
      <c r="L277" s="422"/>
      <c r="M277" s="422"/>
    </row>
    <row r="278" spans="1:21">
      <c r="A278" s="424" t="s">
        <v>2159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2160</v>
      </c>
      <c r="R278" s="429" t="s">
        <v>2161</v>
      </c>
      <c r="S278" s="429" t="s">
        <v>2167</v>
      </c>
      <c r="T278" s="429" t="s">
        <v>2168</v>
      </c>
      <c r="U278" s="429" t="s">
        <v>2163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2169</v>
      </c>
      <c r="B369" s="437"/>
      <c r="C369" s="437"/>
      <c r="D369" s="437"/>
      <c r="E369" s="437"/>
      <c r="F369" s="437"/>
      <c r="G369" s="437"/>
      <c r="H369" s="437"/>
      <c r="I369" s="437"/>
      <c r="J369" s="437"/>
      <c r="K369" s="437"/>
      <c r="L369" s="437"/>
      <c r="M369" s="437"/>
    </row>
    <row r="370" spans="1:20">
      <c r="A370" s="424" t="s">
        <v>2159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2160</v>
      </c>
      <c r="R370" s="429" t="s">
        <v>2161</v>
      </c>
      <c r="S370" s="429" t="s">
        <v>2162</v>
      </c>
      <c r="T370" s="429" t="s">
        <v>2163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2170</v>
      </c>
      <c r="B1" s="340"/>
      <c r="C1" s="341"/>
      <c r="D1" s="341"/>
      <c r="E1" s="341"/>
      <c r="F1" s="341"/>
      <c r="G1" s="342"/>
    </row>
    <row r="2" spans="1:7" s="331" customFormat="1" ht="18" customHeight="1">
      <c r="A2" s="343" t="s">
        <v>2171</v>
      </c>
      <c r="B2" s="344">
        <f ca="1">C52</f>
        <v>27894</v>
      </c>
      <c r="C2" s="345" t="s">
        <v>1505</v>
      </c>
      <c r="D2" s="342"/>
      <c r="E2" s="342"/>
      <c r="F2" s="342"/>
      <c r="G2" s="342"/>
    </row>
    <row r="3" spans="1:7" s="331" customFormat="1" ht="18" customHeight="1">
      <c r="A3" s="346" t="s">
        <v>2172</v>
      </c>
      <c r="B3" s="347">
        <f ca="1">ROUND(B2*10000/'数据-汇总表'!E3,0)</f>
        <v>4482404</v>
      </c>
      <c r="C3" s="345" t="s">
        <v>1676</v>
      </c>
      <c r="D3" s="342"/>
      <c r="E3" s="342"/>
      <c r="F3" s="342"/>
      <c r="G3" s="342"/>
    </row>
    <row r="4" spans="1:7" s="332" customFormat="1" ht="15.75">
      <c r="A4" s="348" t="s">
        <v>2173</v>
      </c>
      <c r="B4" s="349"/>
      <c r="C4" s="349"/>
      <c r="D4" s="349"/>
      <c r="E4" s="349"/>
      <c r="F4" s="349"/>
      <c r="G4" s="350"/>
    </row>
    <row r="5" spans="1:7" s="333" customFormat="1" ht="13.5" customHeight="1">
      <c r="A5" s="351" t="s">
        <v>1040</v>
      </c>
      <c r="B5" s="352" t="s">
        <v>2174</v>
      </c>
      <c r="C5" s="353">
        <f>C6+C7+C8</f>
        <v>20610</v>
      </c>
      <c r="D5" s="353" t="s">
        <v>2175</v>
      </c>
      <c r="E5" s="354" t="s">
        <v>2176</v>
      </c>
      <c r="F5" s="354" t="s">
        <v>2177</v>
      </c>
      <c r="G5" s="355"/>
    </row>
    <row r="6" spans="1:7" s="333" customFormat="1" ht="13.5" customHeight="1">
      <c r="A6" s="356" t="s">
        <v>1044</v>
      </c>
      <c r="B6" s="357" t="s">
        <v>2178</v>
      </c>
      <c r="C6" s="358">
        <v>20000</v>
      </c>
      <c r="D6" s="359"/>
      <c r="E6" s="360"/>
      <c r="F6" s="360"/>
      <c r="G6" s="361"/>
    </row>
    <row r="7" spans="1:7" s="333" customFormat="1" ht="13.5" customHeight="1">
      <c r="A7" s="356" t="s">
        <v>1046</v>
      </c>
      <c r="B7" s="357" t="s">
        <v>2179</v>
      </c>
      <c r="C7" s="362">
        <f>ROUND(C6*F7,0)</f>
        <v>610</v>
      </c>
      <c r="D7" s="362"/>
      <c r="E7" s="360"/>
      <c r="F7" s="363">
        <f>'数据-取费表'!B48+'数据-取费表'!B49</f>
        <v>3.0499999999999999E-2</v>
      </c>
      <c r="G7" s="361"/>
    </row>
    <row r="8" spans="1:7" s="334" customFormat="1">
      <c r="A8" s="356" t="s">
        <v>1048</v>
      </c>
      <c r="B8" s="357" t="s">
        <v>2180</v>
      </c>
      <c r="C8" s="362" t="str">
        <f>IF(G8="已包含在土地购买价格中","0",'数据-取费表'!B29)</f>
        <v>0</v>
      </c>
      <c r="D8" s="364"/>
      <c r="E8" s="362"/>
      <c r="F8" s="363"/>
      <c r="G8" s="365" t="s">
        <v>2181</v>
      </c>
    </row>
    <row r="9" spans="1:7" s="333" customFormat="1" ht="13.5" customHeight="1">
      <c r="A9" s="366" t="s">
        <v>1050</v>
      </c>
      <c r="B9" s="367" t="s">
        <v>2182</v>
      </c>
      <c r="C9" s="368">
        <f>ROUND(D9*E9/10000,0)</f>
        <v>0</v>
      </c>
      <c r="D9" s="369">
        <f>'数据-汇总表'!E5</f>
        <v>0</v>
      </c>
      <c r="E9" s="368">
        <f>'数据-取费表'!B27</f>
        <v>0</v>
      </c>
      <c r="F9" s="363"/>
      <c r="G9" s="370"/>
    </row>
    <row r="10" spans="1:7" s="333" customFormat="1" ht="13.5" customHeight="1">
      <c r="A10" s="366" t="s">
        <v>1053</v>
      </c>
      <c r="B10" s="367" t="s">
        <v>2183</v>
      </c>
      <c r="C10" s="368">
        <f>ROUND(D10*E10/10000,0)</f>
        <v>1</v>
      </c>
      <c r="D10" s="369">
        <f>'数据-汇总表'!E6</f>
        <v>62.23</v>
      </c>
      <c r="E10" s="368">
        <f>'数据-取费表'!B28</f>
        <v>200</v>
      </c>
      <c r="F10" s="363"/>
      <c r="G10" s="370"/>
    </row>
    <row r="11" spans="1:7" s="333" customFormat="1" ht="13.5" hidden="1" customHeight="1">
      <c r="A11" s="371" t="s">
        <v>1055</v>
      </c>
      <c r="B11" s="357" t="s">
        <v>2184</v>
      </c>
      <c r="C11" s="353"/>
      <c r="D11" s="360"/>
      <c r="E11" s="360"/>
      <c r="F11" s="360"/>
      <c r="G11" s="361"/>
    </row>
    <row r="12" spans="1:7" s="333" customFormat="1" ht="13.5" hidden="1" customHeight="1">
      <c r="A12" s="371" t="s">
        <v>1057</v>
      </c>
      <c r="B12" s="357" t="s">
        <v>2185</v>
      </c>
      <c r="C12" s="353">
        <v>0</v>
      </c>
      <c r="D12" s="360"/>
      <c r="E12" s="372"/>
      <c r="F12" s="363">
        <v>3.0499999999999999E-2</v>
      </c>
      <c r="G12" s="361"/>
    </row>
    <row r="13" spans="1:7" s="333" customFormat="1" ht="13.5" hidden="1" customHeight="1">
      <c r="A13" s="371" t="s">
        <v>1058</v>
      </c>
      <c r="B13" s="357" t="s">
        <v>2186</v>
      </c>
      <c r="C13" s="353"/>
      <c r="D13" s="360"/>
      <c r="E13" s="360"/>
      <c r="F13" s="360"/>
      <c r="G13" s="361"/>
    </row>
    <row r="14" spans="1:7" s="333" customFormat="1" ht="13.5" hidden="1" customHeight="1">
      <c r="A14" s="371" t="s">
        <v>1060</v>
      </c>
      <c r="B14" s="357" t="s">
        <v>2180</v>
      </c>
      <c r="C14" s="353"/>
      <c r="D14" s="360"/>
      <c r="E14" s="360"/>
      <c r="F14" s="360"/>
      <c r="G14" s="361" t="s">
        <v>2187</v>
      </c>
    </row>
    <row r="15" spans="1:7" s="333" customFormat="1" ht="13.5" hidden="1" customHeight="1">
      <c r="A15" s="371" t="s">
        <v>1062</v>
      </c>
      <c r="B15" s="357" t="s">
        <v>2188</v>
      </c>
      <c r="C15" s="362"/>
      <c r="D15" s="360"/>
      <c r="E15" s="360"/>
      <c r="F15" s="360"/>
      <c r="G15" s="361" t="s">
        <v>2189</v>
      </c>
    </row>
    <row r="16" spans="1:7" s="333" customFormat="1" ht="13.5" hidden="1" customHeight="1">
      <c r="A16" s="371" t="s">
        <v>1065</v>
      </c>
      <c r="B16" s="357" t="s">
        <v>2180</v>
      </c>
      <c r="C16" s="362"/>
      <c r="D16" s="360"/>
      <c r="E16" s="360"/>
      <c r="F16" s="360"/>
      <c r="G16" s="361"/>
    </row>
    <row r="17" spans="1:7" s="333" customFormat="1" ht="13.5" hidden="1" customHeight="1">
      <c r="A17" s="371" t="s">
        <v>1066</v>
      </c>
      <c r="B17" s="357" t="s">
        <v>2190</v>
      </c>
      <c r="C17" s="373"/>
      <c r="D17" s="373"/>
      <c r="E17" s="373"/>
      <c r="F17" s="373"/>
      <c r="G17" s="361" t="s">
        <v>2189</v>
      </c>
    </row>
    <row r="18" spans="1:7" s="333" customFormat="1" ht="13.5" hidden="1" customHeight="1">
      <c r="A18" s="371" t="s">
        <v>1068</v>
      </c>
      <c r="B18" s="357" t="s">
        <v>2191</v>
      </c>
      <c r="C18" s="362">
        <v>0</v>
      </c>
      <c r="D18" s="360"/>
      <c r="E18" s="360"/>
      <c r="F18" s="363">
        <v>3.0499999999999999E-2</v>
      </c>
      <c r="G18" s="361" t="s">
        <v>2192</v>
      </c>
    </row>
    <row r="19" spans="1:7" s="334" customFormat="1" ht="13.5" customHeight="1">
      <c r="A19" s="374" t="s">
        <v>1779</v>
      </c>
      <c r="B19" s="352" t="s">
        <v>2193</v>
      </c>
      <c r="C19" s="353">
        <f>IF(G19="已包含在土地取得成本中","0",ROUND(D19*E19/10000,0))</f>
        <v>1</v>
      </c>
      <c r="D19" s="354">
        <f>'数据-汇总表'!E3</f>
        <v>62.23</v>
      </c>
      <c r="E19" s="353">
        <f>'数据-取费表'!B31</f>
        <v>200</v>
      </c>
      <c r="F19" s="375"/>
      <c r="G19" s="365" t="s">
        <v>2194</v>
      </c>
    </row>
    <row r="20" spans="1:7" s="333" customFormat="1" ht="13.5" customHeight="1">
      <c r="A20" s="374" t="s">
        <v>1816</v>
      </c>
      <c r="B20" s="352" t="s">
        <v>2195</v>
      </c>
      <c r="C20" s="376">
        <f>ROUND((C5+C19)*F20,0)</f>
        <v>618</v>
      </c>
      <c r="D20" s="376"/>
      <c r="E20" s="376"/>
      <c r="F20" s="377">
        <f>'数据-取费表'!B37</f>
        <v>0.03</v>
      </c>
      <c r="G20" s="378" t="s">
        <v>2196</v>
      </c>
    </row>
    <row r="21" spans="1:7" s="333" customFormat="1" ht="13.5" customHeight="1">
      <c r="A21" s="374" t="s">
        <v>1821</v>
      </c>
      <c r="B21" s="352" t="s">
        <v>2197</v>
      </c>
      <c r="C21" s="379">
        <f>F21</f>
        <v>0.02</v>
      </c>
      <c r="D21" s="380" t="s">
        <v>2198</v>
      </c>
      <c r="E21" s="376"/>
      <c r="F21" s="377">
        <f>'数据-取费表'!B38</f>
        <v>0.02</v>
      </c>
      <c r="G21" s="381" t="s">
        <v>2199</v>
      </c>
    </row>
    <row r="22" spans="1:7" s="333" customFormat="1" ht="13.5" customHeight="1">
      <c r="A22" s="374" t="s">
        <v>1830</v>
      </c>
      <c r="B22" s="352" t="s">
        <v>2200</v>
      </c>
      <c r="C22" s="382">
        <f ca="1">ROUND(SUM(C23:C25),0)</f>
        <v>1329</v>
      </c>
      <c r="D22" s="379">
        <f ca="1">C26</f>
        <v>5.9999999999999995E-4</v>
      </c>
      <c r="E22" s="380" t="s">
        <v>2198</v>
      </c>
      <c r="F22" s="383">
        <f ca="1">'数据-取费表'!B40</f>
        <v>3.1300000000000001E-2</v>
      </c>
      <c r="G22" s="378" t="str">
        <f>IF('数据-取费表'!B22&lt;=1,"单利计息","复利计息")</f>
        <v>复利计息</v>
      </c>
    </row>
    <row r="23" spans="1:7" s="333" customFormat="1" ht="13.5" customHeight="1">
      <c r="A23" s="384" t="s">
        <v>1044</v>
      </c>
      <c r="B23" s="357" t="s">
        <v>2201</v>
      </c>
      <c r="C23" s="385">
        <f ca="1">ROUND(IF('数据-取费表'!B22&lt;=1,C5*F22*'数据-取费表'!B23,C5*(POWER((1+F22),'数据-取费表'!B23)-1)),0)</f>
        <v>1310</v>
      </c>
      <c r="D23" s="386"/>
      <c r="E23" s="386"/>
      <c r="F23" s="387"/>
      <c r="G23" s="388" t="s">
        <v>2202</v>
      </c>
    </row>
    <row r="24" spans="1:7" s="333" customFormat="1" ht="13.5" customHeight="1">
      <c r="A24" s="384" t="s">
        <v>1046</v>
      </c>
      <c r="B24" s="357" t="s">
        <v>2203</v>
      </c>
      <c r="C24" s="385">
        <f ca="1">ROUND(IF('数据-取费表'!B22&lt;=1,C19*F22*('数据-取费表'!B19/2+'数据-取费表'!B21),C19*(POWER((1+F22),('数据-取费表'!B19/2+'数据-取费表'!B21))-1)),0)</f>
        <v>0</v>
      </c>
      <c r="D24" s="386"/>
      <c r="E24" s="386"/>
      <c r="F24" s="387"/>
      <c r="G24" s="388" t="s">
        <v>2204</v>
      </c>
    </row>
    <row r="25" spans="1:7" s="333" customFormat="1" ht="24">
      <c r="A25" s="384" t="s">
        <v>1048</v>
      </c>
      <c r="B25" s="357" t="s">
        <v>2205</v>
      </c>
      <c r="C25" s="385">
        <f ca="1">ROUND(IF('数据-取费表'!B22&lt;=1,C20*F22*'数据-取费表'!B23/2,C20*(POWER((1+F22),'数据-取费表'!B23/2)-1)),0)</f>
        <v>19</v>
      </c>
      <c r="D25" s="386"/>
      <c r="E25" s="389"/>
      <c r="F25" s="387"/>
      <c r="G25" s="390" t="s">
        <v>2206</v>
      </c>
    </row>
    <row r="26" spans="1:7" s="333" customFormat="1">
      <c r="A26" s="384" t="s">
        <v>1088</v>
      </c>
      <c r="B26" s="357" t="s">
        <v>2207</v>
      </c>
      <c r="C26" s="386">
        <f ca="1">ROUND(IF('数据-取费表'!B22&lt;=1,F21*F22*'数据-取费表'!B23/2,F21*(POWER((1+F22),'数据-取费表'!B23/2)-1)),4)</f>
        <v>5.9999999999999995E-4</v>
      </c>
      <c r="D26" s="386"/>
      <c r="E26" s="389"/>
      <c r="F26" s="387"/>
      <c r="G26" s="391"/>
    </row>
    <row r="27" spans="1:7" s="333" customFormat="1" ht="24.75">
      <c r="A27" s="374" t="s">
        <v>1839</v>
      </c>
      <c r="B27" s="392" t="s">
        <v>2208</v>
      </c>
      <c r="C27" s="393">
        <f>C28</f>
        <v>3184</v>
      </c>
      <c r="D27" s="379">
        <f>C29</f>
        <v>3.0000000000000001E-3</v>
      </c>
      <c r="E27" s="380" t="s">
        <v>2198</v>
      </c>
      <c r="F27" s="394">
        <f>'数据-取费表'!Q16</f>
        <v>0.15</v>
      </c>
      <c r="G27" s="395" t="s">
        <v>2209</v>
      </c>
    </row>
    <row r="28" spans="1:7" s="333" customFormat="1" ht="13.5" customHeight="1">
      <c r="A28" s="384" t="s">
        <v>1044</v>
      </c>
      <c r="B28" s="396" t="s">
        <v>2210</v>
      </c>
      <c r="C28" s="397">
        <f>ROUND((C5+C19+C20)*F27*'数据-取费表'!B21/'数据-取费表'!B20,0)</f>
        <v>3184</v>
      </c>
      <c r="D28" s="379"/>
      <c r="E28" s="380"/>
      <c r="F28" s="394"/>
      <c r="G28" s="395"/>
    </row>
    <row r="29" spans="1:7" s="333" customFormat="1" ht="13.5" customHeight="1">
      <c r="A29" s="384" t="s">
        <v>1046</v>
      </c>
      <c r="B29" s="396" t="s">
        <v>2211</v>
      </c>
      <c r="C29" s="386">
        <f>ROUND(C21*F27*'数据-取费表'!B21/'数据-取费表'!B20,4)</f>
        <v>3.0000000000000001E-3</v>
      </c>
      <c r="D29" s="379"/>
      <c r="E29" s="380"/>
      <c r="F29" s="394"/>
      <c r="G29" s="395"/>
    </row>
    <row r="30" spans="1:7" s="333" customFormat="1" ht="13.5" customHeight="1">
      <c r="A30" s="374" t="s">
        <v>2212</v>
      </c>
      <c r="B30" s="352" t="s">
        <v>2213</v>
      </c>
      <c r="C30" s="379">
        <f>F30</f>
        <v>5.5E-2</v>
      </c>
      <c r="D30" s="380" t="s">
        <v>2214</v>
      </c>
      <c r="E30" s="389"/>
      <c r="F30" s="383">
        <f>'数据-取费表'!B41</f>
        <v>5.5E-2</v>
      </c>
      <c r="G30" s="381" t="s">
        <v>2215</v>
      </c>
    </row>
    <row r="31" spans="1:7" ht="16.5" customHeight="1">
      <c r="A31" s="398">
        <v>1</v>
      </c>
      <c r="B31" s="352" t="s">
        <v>2216</v>
      </c>
      <c r="C31" s="353">
        <f ca="1">ROUND((C5+C19+C20+C22+C27)/(1-C21-D22-D27-C30/(1+'数据-取费表'!B42)),0)</f>
        <v>27859</v>
      </c>
      <c r="D31" s="399"/>
      <c r="E31" s="353"/>
      <c r="F31" s="400"/>
      <c r="G31" s="381" t="s">
        <v>2217</v>
      </c>
    </row>
    <row r="32" spans="1:7" s="332" customFormat="1" ht="15.75">
      <c r="A32" s="401" t="s">
        <v>2218</v>
      </c>
      <c r="B32" s="402"/>
      <c r="C32" s="402"/>
      <c r="D32" s="402"/>
      <c r="E32" s="402"/>
      <c r="F32" s="402"/>
      <c r="G32" s="403"/>
    </row>
    <row r="33" spans="1:7" s="333" customFormat="1" ht="13.5" customHeight="1">
      <c r="A33" s="351" t="s">
        <v>1040</v>
      </c>
      <c r="B33" s="352" t="s">
        <v>2219</v>
      </c>
      <c r="C33" s="404">
        <f>SUM(C34:C38)</f>
        <v>31</v>
      </c>
      <c r="D33" s="376"/>
      <c r="E33" s="354"/>
      <c r="F33" s="389"/>
      <c r="G33" s="381"/>
    </row>
    <row r="34" spans="1:7" s="335" customFormat="1" ht="13.5" customHeight="1">
      <c r="A34" s="384" t="s">
        <v>1044</v>
      </c>
      <c r="B34" s="357" t="s">
        <v>2220</v>
      </c>
      <c r="C34" s="362">
        <f>IF(F34=100%,'数据-取费表'!M16-SUMIF('数据-取费表'!C:C,"公共配套",'数据-取费表'!M:M),'数据-取费表'!O16-SUMIF('数据-取费表'!C:C,"公共配套",'数据-取费表'!O:O))</f>
        <v>28</v>
      </c>
      <c r="D34" s="359"/>
      <c r="E34" s="362"/>
      <c r="F34" s="405">
        <f>IF('数据-取费表'!B24=0,1,'数据-取费表'!N16)</f>
        <v>1</v>
      </c>
      <c r="G34" s="361" t="s">
        <v>2221</v>
      </c>
    </row>
    <row r="35" spans="1:7" ht="13.5" customHeight="1">
      <c r="A35" s="384" t="s">
        <v>1046</v>
      </c>
      <c r="B35" s="357" t="s">
        <v>2222</v>
      </c>
      <c r="C35" s="362">
        <f>ROUND(C34*F35,0)</f>
        <v>1</v>
      </c>
      <c r="D35" s="362"/>
      <c r="E35" s="362"/>
      <c r="F35" s="406">
        <f>'数据-取费表'!B33</f>
        <v>0.05</v>
      </c>
      <c r="G35" s="361" t="s">
        <v>2223</v>
      </c>
    </row>
    <row r="36" spans="1:7" ht="24">
      <c r="A36" s="384" t="s">
        <v>1048</v>
      </c>
      <c r="B36" s="357" t="s">
        <v>2224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2225</v>
      </c>
    </row>
    <row r="37" spans="1:7" s="335" customFormat="1" ht="13.5" customHeight="1">
      <c r="A37" s="384" t="s">
        <v>1088</v>
      </c>
      <c r="B37" s="357" t="s">
        <v>2226</v>
      </c>
      <c r="C37" s="397">
        <f>ROUND(E37*D37*F34/10000,0)</f>
        <v>1</v>
      </c>
      <c r="D37" s="359">
        <f>'数据-汇总表'!E3</f>
        <v>62.23</v>
      </c>
      <c r="E37" s="397">
        <f>'数据-取费表'!B35</f>
        <v>200</v>
      </c>
      <c r="F37" s="406"/>
      <c r="G37" s="408" t="s">
        <v>2227</v>
      </c>
    </row>
    <row r="38" spans="1:7" ht="13.5" customHeight="1">
      <c r="A38" s="384" t="s">
        <v>1110</v>
      </c>
      <c r="B38" s="357" t="s">
        <v>2185</v>
      </c>
      <c r="C38" s="362">
        <f>ROUND(C34*F38,0)</f>
        <v>1</v>
      </c>
      <c r="D38" s="362"/>
      <c r="E38" s="362"/>
      <c r="F38" s="406">
        <f>'数据-取费表'!B36</f>
        <v>0.02</v>
      </c>
      <c r="G38" s="361" t="s">
        <v>2223</v>
      </c>
    </row>
    <row r="39" spans="1:7" s="333" customFormat="1" ht="13.5" customHeight="1">
      <c r="A39" s="374" t="s">
        <v>1779</v>
      </c>
      <c r="B39" s="352" t="s">
        <v>2195</v>
      </c>
      <c r="C39" s="376">
        <f>ROUND(C33*F20,0)</f>
        <v>1</v>
      </c>
      <c r="D39" s="376"/>
      <c r="E39" s="376"/>
      <c r="F39" s="377"/>
      <c r="G39" s="378" t="s">
        <v>2228</v>
      </c>
    </row>
    <row r="40" spans="1:7" s="333" customFormat="1" ht="13.5" customHeight="1">
      <c r="A40" s="374" t="s">
        <v>1816</v>
      </c>
      <c r="B40" s="352" t="s">
        <v>2197</v>
      </c>
      <c r="C40" s="409">
        <f>F21</f>
        <v>0.02</v>
      </c>
      <c r="D40" s="380" t="s">
        <v>2229</v>
      </c>
      <c r="E40" s="376"/>
      <c r="F40" s="377"/>
      <c r="G40" s="381" t="s">
        <v>2230</v>
      </c>
    </row>
    <row r="41" spans="1:7" s="333" customFormat="1" ht="13.5" customHeight="1">
      <c r="A41" s="374" t="s">
        <v>1821</v>
      </c>
      <c r="B41" s="352" t="s">
        <v>2200</v>
      </c>
      <c r="C41" s="376">
        <f ca="1">ROUND(SUM(C42:C43),0)</f>
        <v>1</v>
      </c>
      <c r="D41" s="379">
        <f ca="1">C44</f>
        <v>5.9999999999999995E-4</v>
      </c>
      <c r="E41" s="380" t="s">
        <v>2229</v>
      </c>
      <c r="F41" s="383"/>
      <c r="G41" s="378" t="str">
        <f>IF('数据-取费表'!B22&lt;=1,"单利计息","复利计息")</f>
        <v>复利计息</v>
      </c>
    </row>
    <row r="42" spans="1:7" ht="13.5" customHeight="1">
      <c r="A42" s="384" t="s">
        <v>1044</v>
      </c>
      <c r="B42" s="357" t="s">
        <v>2201</v>
      </c>
      <c r="C42" s="386">
        <f ca="1">ROUND(IF('数据-取费表'!B22&lt;=1,C33*F22*'数据-取费表'!B21/2,C33*(POWER((1+F22),'数据-取费表'!B21/2)-1)),0)</f>
        <v>1</v>
      </c>
      <c r="D42" s="386"/>
      <c r="E42" s="386"/>
      <c r="F42" s="387"/>
      <c r="G42" s="3357" t="s">
        <v>2231</v>
      </c>
    </row>
    <row r="43" spans="1:7" ht="13.5" customHeight="1">
      <c r="A43" s="384" t="s">
        <v>1046</v>
      </c>
      <c r="B43" s="357" t="s">
        <v>2203</v>
      </c>
      <c r="C43" s="386">
        <f ca="1">ROUND(IF('数据-取费表'!B22&lt;=1,C39*F22*'数据-取费表'!B21/2,C39*(POWER((1+F22),'数据-取费表'!B21/2)-1)),0)</f>
        <v>0</v>
      </c>
      <c r="D43" s="386"/>
      <c r="E43" s="386"/>
      <c r="F43" s="387"/>
      <c r="G43" s="3358"/>
    </row>
    <row r="44" spans="1:7" ht="13.5" customHeight="1">
      <c r="A44" s="384" t="s">
        <v>1048</v>
      </c>
      <c r="B44" s="357" t="s">
        <v>2205</v>
      </c>
      <c r="C44" s="386">
        <f ca="1">ROUND(IF('数据-取费表'!B22&lt;=1,C40*F22*'数据-取费表'!B21/2,C40*(POWER((1+F22),'数据-取费表'!B21/2)-1)),4)</f>
        <v>5.9999999999999995E-4</v>
      </c>
      <c r="D44" s="386"/>
      <c r="E44" s="386"/>
      <c r="F44" s="387"/>
      <c r="G44" s="3359"/>
    </row>
    <row r="45" spans="1:7" s="333" customFormat="1" ht="13.5" customHeight="1">
      <c r="A45" s="374" t="s">
        <v>1830</v>
      </c>
      <c r="B45" s="392" t="s">
        <v>2208</v>
      </c>
      <c r="C45" s="393">
        <f>C46</f>
        <v>5</v>
      </c>
      <c r="D45" s="379">
        <f>C47</f>
        <v>3.0000000000000001E-3</v>
      </c>
      <c r="E45" s="380" t="s">
        <v>2229</v>
      </c>
      <c r="F45" s="394"/>
      <c r="G45" s="395" t="s">
        <v>2232</v>
      </c>
    </row>
    <row r="46" spans="1:7" s="333" customFormat="1" ht="13.5" customHeight="1">
      <c r="A46" s="384" t="s">
        <v>1044</v>
      </c>
      <c r="B46" s="396" t="s">
        <v>2233</v>
      </c>
      <c r="C46" s="397">
        <f>ROUND((C33+C39)*F27,0)</f>
        <v>5</v>
      </c>
      <c r="D46" s="410"/>
      <c r="E46" s="380"/>
      <c r="F46" s="394"/>
      <c r="G46" s="395"/>
    </row>
    <row r="47" spans="1:7" s="333" customFormat="1" ht="13.5" customHeight="1">
      <c r="A47" s="384" t="s">
        <v>1046</v>
      </c>
      <c r="B47" s="396" t="s">
        <v>2234</v>
      </c>
      <c r="C47" s="386">
        <f>ROUND(C40*F27,4)</f>
        <v>3.0000000000000001E-3</v>
      </c>
      <c r="D47" s="410"/>
      <c r="E47" s="380"/>
      <c r="F47" s="394"/>
      <c r="G47" s="395"/>
    </row>
    <row r="48" spans="1:7" s="333" customFormat="1" ht="13.5" customHeight="1">
      <c r="A48" s="374" t="s">
        <v>1839</v>
      </c>
      <c r="B48" s="352" t="s">
        <v>2213</v>
      </c>
      <c r="C48" s="409">
        <f>F30</f>
        <v>5.5E-2</v>
      </c>
      <c r="D48" s="380" t="s">
        <v>2235</v>
      </c>
      <c r="E48" s="376"/>
      <c r="F48" s="383"/>
      <c r="G48" s="381" t="s">
        <v>2236</v>
      </c>
    </row>
    <row r="49" spans="1:7" ht="16.5" customHeight="1">
      <c r="A49" s="374" t="s">
        <v>2212</v>
      </c>
      <c r="B49" s="352" t="s">
        <v>2237</v>
      </c>
      <c r="C49" s="376">
        <f ca="1">ROUND((C33+C39+C41+C45)/(1-C40-D41-D45-C48/(1+'数据-取费表'!B42)),0)</f>
        <v>41</v>
      </c>
      <c r="D49" s="376"/>
      <c r="E49" s="376"/>
      <c r="F49" s="411"/>
      <c r="G49" s="381" t="s">
        <v>2238</v>
      </c>
    </row>
    <row r="50" spans="1:7" s="335" customFormat="1" ht="24">
      <c r="A50" s="374" t="s">
        <v>2239</v>
      </c>
      <c r="B50" s="352" t="s">
        <v>2240</v>
      </c>
      <c r="C50" s="376"/>
      <c r="D50" s="376"/>
      <c r="E50" s="376"/>
      <c r="F50" s="411">
        <f>IF('数据-取费表'!B24=0,'数据-取费表'!N16,1)</f>
        <v>0.85</v>
      </c>
      <c r="G50" s="395" t="s">
        <v>2241</v>
      </c>
    </row>
    <row r="51" spans="1:7" ht="16.5" customHeight="1">
      <c r="A51" s="374" t="s">
        <v>2242</v>
      </c>
      <c r="B51" s="352" t="s">
        <v>2243</v>
      </c>
      <c r="C51" s="376">
        <f ca="1">ROUND(C49*F50,0)</f>
        <v>35</v>
      </c>
      <c r="D51" s="376"/>
      <c r="E51" s="376"/>
      <c r="F51" s="411"/>
      <c r="G51" s="381" t="s">
        <v>2244</v>
      </c>
    </row>
    <row r="52" spans="1:7" s="332" customFormat="1" ht="15.75">
      <c r="A52" s="412" t="s">
        <v>2245</v>
      </c>
      <c r="B52" s="413"/>
      <c r="C52" s="414">
        <f ca="1">C31+C51</f>
        <v>27894</v>
      </c>
      <c r="D52" s="413"/>
      <c r="E52" s="413"/>
      <c r="F52" s="413"/>
      <c r="G52" s="415"/>
    </row>
    <row r="55" spans="1:7" ht="15">
      <c r="B55" s="416" t="s">
        <v>2246</v>
      </c>
      <c r="C55" s="417"/>
    </row>
    <row r="56" spans="1:7">
      <c r="B56" s="418" t="s">
        <v>2247</v>
      </c>
      <c r="C56" s="419">
        <f ca="1">ROUND(C51/C52,3)</f>
        <v>1E-3</v>
      </c>
    </row>
    <row r="57" spans="1:7">
      <c r="B57" s="418" t="s">
        <v>2248</v>
      </c>
      <c r="C57" s="420">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28"/>
      <c r="B4" s="3185" t="s">
        <v>95</v>
      </c>
      <c r="C4" s="3185"/>
      <c r="D4" s="3185"/>
      <c r="E4" s="3128"/>
    </row>
    <row r="5" spans="1:5" ht="15.75">
      <c r="B5" s="3177" t="s">
        <v>96</v>
      </c>
      <c r="C5" s="3129" t="s">
        <v>97</v>
      </c>
      <c r="D5" s="3130">
        <f ca="1">结果表!H101</f>
        <v>58</v>
      </c>
    </row>
    <row r="6" spans="1:5" ht="15.75">
      <c r="B6" s="3177"/>
      <c r="C6" s="3129" t="s">
        <v>98</v>
      </c>
      <c r="D6" s="3130" t="str">
        <f ca="1">NUMBERSTRING(INT(D5*10000),2)&amp;"元整"</f>
        <v>伍拾捌万元整</v>
      </c>
    </row>
    <row r="7" spans="1:5" ht="15.75">
      <c r="B7" s="3178"/>
      <c r="C7" s="3131" t="s">
        <v>99</v>
      </c>
      <c r="D7" s="3132">
        <f ca="1">结果表!H102</f>
        <v>9267</v>
      </c>
    </row>
    <row r="8" spans="1:5" ht="15.75">
      <c r="B8" s="3179" t="str">
        <f>结果表!E103</f>
        <v>2.估价师知悉的法定优先受偿款</v>
      </c>
      <c r="C8" s="3133" t="s">
        <v>100</v>
      </c>
      <c r="D8" s="3132">
        <f>结果表!H103</f>
        <v>0</v>
      </c>
    </row>
    <row r="9" spans="1:5" ht="15.75">
      <c r="B9" s="3181"/>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76" t="str">
        <f>结果表!E107</f>
        <v>3.房地产抵押价值</v>
      </c>
      <c r="C13" s="3137" t="s">
        <v>97</v>
      </c>
      <c r="D13" s="3138">
        <f ca="1">结果表!H107</f>
        <v>58</v>
      </c>
    </row>
    <row r="14" spans="1:5" ht="15.75">
      <c r="B14" s="3177"/>
      <c r="C14" s="3129" t="s">
        <v>98</v>
      </c>
      <c r="D14" s="3130" t="str">
        <f ca="1">NUMBERSTRING(INT(D13*10000),2)&amp;"元整"</f>
        <v>伍拾捌万元整</v>
      </c>
    </row>
    <row r="15" spans="1:5" ht="15">
      <c r="B15" s="3178"/>
      <c r="C15" s="3131" t="s">
        <v>99</v>
      </c>
      <c r="D15" s="3139">
        <f ca="1">结果表!H108</f>
        <v>9267</v>
      </c>
    </row>
    <row r="16" spans="1:5" ht="15">
      <c r="B16" s="3179" t="str">
        <f>结果表!E109</f>
        <v>——</v>
      </c>
      <c r="C16" s="3137" t="s">
        <v>97</v>
      </c>
      <c r="D16" s="3140" t="str">
        <f>结果表!H109</f>
        <v>——</v>
      </c>
    </row>
    <row r="17" spans="1:5" ht="15.75">
      <c r="B17" s="3180"/>
      <c r="C17" s="3129" t="s">
        <v>98</v>
      </c>
      <c r="D17" s="3130" t="e">
        <f>NUMBERSTRING(INT(D16*10000),2)&amp;"元整"</f>
        <v>#VALUE!</v>
      </c>
    </row>
    <row r="18" spans="1:5" ht="15">
      <c r="B18" s="3181"/>
      <c r="C18" s="3131" t="s">
        <v>99</v>
      </c>
      <c r="D18" s="3139" t="str">
        <f>结果表!H110</f>
        <v>——</v>
      </c>
    </row>
    <row r="19" spans="1:5" ht="15.75">
      <c r="B19" s="3176" t="str">
        <f>结果表!E111</f>
        <v>——</v>
      </c>
      <c r="C19" s="3137" t="s">
        <v>97</v>
      </c>
      <c r="D19" s="3132" t="str">
        <f>结果表!H111</f>
        <v>——</v>
      </c>
    </row>
    <row r="20" spans="1:5" ht="15.75">
      <c r="B20" s="3177"/>
      <c r="C20" s="3129" t="s">
        <v>98</v>
      </c>
      <c r="D20" s="3130" t="e">
        <f>NUMBERSTRING(INT(D19*10000),2)&amp;"元整"</f>
        <v>#VALUE!</v>
      </c>
    </row>
    <row r="21" spans="1:5" ht="15">
      <c r="B21" s="3182"/>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2249</v>
      </c>
      <c r="B1" s="3495"/>
    </row>
    <row r="2" spans="1:7">
      <c r="A2" s="297"/>
      <c r="B2" s="297"/>
    </row>
    <row r="3" spans="1:7">
      <c r="A3" s="297"/>
      <c r="B3" s="297"/>
      <c r="C3" s="298" t="s">
        <v>229</v>
      </c>
      <c r="D3" s="298" t="s">
        <v>230</v>
      </c>
      <c r="E3" s="298" t="s">
        <v>232</v>
      </c>
      <c r="F3" s="298" t="s">
        <v>233</v>
      </c>
      <c r="G3" s="298" t="s">
        <v>231</v>
      </c>
    </row>
    <row r="4" spans="1:7">
      <c r="A4" s="299" t="s">
        <v>2250</v>
      </c>
      <c r="B4" s="300" t="s">
        <v>2251</v>
      </c>
      <c r="C4" s="298"/>
      <c r="D4" s="298"/>
      <c r="E4" s="298"/>
      <c r="F4" s="298"/>
      <c r="G4" s="298"/>
    </row>
    <row r="5" spans="1:7">
      <c r="A5" s="301" t="s">
        <v>235</v>
      </c>
      <c r="B5" s="302" t="s">
        <v>2252</v>
      </c>
      <c r="C5" s="303">
        <v>9.8000000000000004E-2</v>
      </c>
      <c r="D5" s="303">
        <v>8.6999999999999994E-2</v>
      </c>
      <c r="E5" s="303">
        <v>8.6999999999999994E-2</v>
      </c>
      <c r="F5" s="303">
        <v>9.8000000000000004E-2</v>
      </c>
      <c r="G5" s="304">
        <v>9.5000000000000001E-2</v>
      </c>
    </row>
    <row r="6" spans="1:7">
      <c r="A6" s="305" t="s">
        <v>235</v>
      </c>
      <c r="B6" s="306" t="s">
        <v>2253</v>
      </c>
      <c r="C6" s="307">
        <v>9.8000000000000004E-2</v>
      </c>
      <c r="D6" s="307">
        <v>9.8000000000000004E-2</v>
      </c>
      <c r="E6" s="307">
        <v>9.8000000000000004E-2</v>
      </c>
      <c r="F6" s="307">
        <v>0.1</v>
      </c>
      <c r="G6" s="308">
        <v>9.9000000000000005E-2</v>
      </c>
    </row>
    <row r="7" spans="1:7">
      <c r="A7" s="305" t="s">
        <v>235</v>
      </c>
      <c r="B7" s="306" t="s">
        <v>2254</v>
      </c>
      <c r="C7" s="307">
        <v>9.7000000000000003E-2</v>
      </c>
      <c r="D7" s="307">
        <v>9.7000000000000003E-2</v>
      </c>
      <c r="E7" s="307">
        <v>9.6000000000000002E-2</v>
      </c>
      <c r="F7" s="307">
        <v>0.1</v>
      </c>
      <c r="G7" s="308">
        <v>9.8000000000000004E-2</v>
      </c>
    </row>
    <row r="8" spans="1:7">
      <c r="A8" s="305" t="s">
        <v>235</v>
      </c>
      <c r="B8" s="306" t="s">
        <v>2255</v>
      </c>
      <c r="C8" s="307">
        <v>8.1000000000000003E-2</v>
      </c>
      <c r="D8" s="307">
        <v>8.2000000000000003E-2</v>
      </c>
      <c r="E8" s="307">
        <v>7.0000000000000007E-2</v>
      </c>
      <c r="F8" s="307">
        <v>9.6000000000000002E-2</v>
      </c>
      <c r="G8" s="308">
        <v>8.8999999999999996E-2</v>
      </c>
    </row>
    <row r="9" spans="1:7">
      <c r="A9" s="309" t="s">
        <v>235</v>
      </c>
      <c r="B9" s="310" t="s">
        <v>2256</v>
      </c>
      <c r="C9" s="311">
        <v>0.1</v>
      </c>
      <c r="D9" s="311">
        <v>0.1</v>
      </c>
      <c r="E9" s="311">
        <v>0.1</v>
      </c>
      <c r="F9" s="312"/>
      <c r="G9" s="313">
        <v>0.1</v>
      </c>
    </row>
    <row r="10" spans="1:7">
      <c r="A10" s="301" t="s">
        <v>251</v>
      </c>
      <c r="B10" s="302" t="s">
        <v>2257</v>
      </c>
      <c r="C10" s="303">
        <v>6.7000000000000004E-2</v>
      </c>
      <c r="D10" s="303">
        <v>7.9000000000000001E-2</v>
      </c>
      <c r="E10" s="303">
        <v>7.9000000000000001E-2</v>
      </c>
      <c r="F10" s="303">
        <v>0.1</v>
      </c>
      <c r="G10" s="304">
        <v>9.0999999999999998E-2</v>
      </c>
    </row>
    <row r="11" spans="1:7">
      <c r="A11" s="305" t="s">
        <v>251</v>
      </c>
      <c r="B11" s="306" t="s">
        <v>2258</v>
      </c>
      <c r="C11" s="307">
        <v>0.05</v>
      </c>
      <c r="D11" s="307">
        <v>5.2999999999999999E-2</v>
      </c>
      <c r="E11" s="307">
        <v>6.3E-2</v>
      </c>
      <c r="F11" s="307">
        <v>0.1</v>
      </c>
      <c r="G11" s="308">
        <v>7.1999999999999995E-2</v>
      </c>
    </row>
    <row r="12" spans="1:7">
      <c r="A12" s="305" t="s">
        <v>251</v>
      </c>
      <c r="B12" s="306" t="s">
        <v>2259</v>
      </c>
      <c r="C12" s="307">
        <v>5.2999999999999999E-2</v>
      </c>
      <c r="D12" s="307">
        <v>0.09</v>
      </c>
      <c r="E12" s="307">
        <v>7.1999999999999995E-2</v>
      </c>
      <c r="F12" s="307">
        <v>0.1</v>
      </c>
      <c r="G12" s="308">
        <v>9.7000000000000003E-2</v>
      </c>
    </row>
    <row r="13" spans="1:7">
      <c r="A13" s="305" t="s">
        <v>251</v>
      </c>
      <c r="B13" s="306" t="s">
        <v>2260</v>
      </c>
      <c r="C13" s="307">
        <v>9.7000000000000003E-2</v>
      </c>
      <c r="D13" s="307">
        <v>9.1999999999999998E-2</v>
      </c>
      <c r="E13" s="307">
        <v>9.5000000000000001E-2</v>
      </c>
      <c r="F13" s="307">
        <v>0.1</v>
      </c>
      <c r="G13" s="308">
        <v>9.7000000000000003E-2</v>
      </c>
    </row>
    <row r="14" spans="1:7">
      <c r="A14" s="305" t="s">
        <v>251</v>
      </c>
      <c r="B14" s="306" t="s">
        <v>2261</v>
      </c>
      <c r="C14" s="307">
        <v>9.7000000000000003E-2</v>
      </c>
      <c r="D14" s="307">
        <v>9.7000000000000003E-2</v>
      </c>
      <c r="E14" s="307">
        <v>9.7000000000000003E-2</v>
      </c>
      <c r="F14" s="307">
        <v>0.1</v>
      </c>
      <c r="G14" s="308">
        <v>9.8000000000000004E-2</v>
      </c>
    </row>
    <row r="15" spans="1:7">
      <c r="A15" s="305" t="s">
        <v>251</v>
      </c>
      <c r="B15" s="306" t="s">
        <v>2262</v>
      </c>
      <c r="C15" s="307">
        <v>9.8000000000000004E-2</v>
      </c>
      <c r="D15" s="307">
        <v>9.0999999999999998E-2</v>
      </c>
      <c r="E15" s="307">
        <v>0.06</v>
      </c>
      <c r="F15" s="307">
        <v>0.1</v>
      </c>
      <c r="G15" s="308">
        <v>9.7000000000000003E-2</v>
      </c>
    </row>
    <row r="16" spans="1:7">
      <c r="A16" s="305" t="s">
        <v>251</v>
      </c>
      <c r="B16" s="306" t="s">
        <v>2263</v>
      </c>
      <c r="C16" s="307">
        <v>9.8000000000000004E-2</v>
      </c>
      <c r="D16" s="307">
        <v>9.7000000000000003E-2</v>
      </c>
      <c r="E16" s="307">
        <v>9.5000000000000001E-2</v>
      </c>
      <c r="F16" s="307">
        <v>0.1</v>
      </c>
      <c r="G16" s="308">
        <v>9.9000000000000005E-2</v>
      </c>
    </row>
    <row r="17" spans="1:7">
      <c r="A17" s="305" t="s">
        <v>251</v>
      </c>
      <c r="B17" s="306" t="s">
        <v>2264</v>
      </c>
      <c r="C17" s="307">
        <v>8.8999999999999996E-2</v>
      </c>
      <c r="D17" s="307">
        <v>9.1999999999999998E-2</v>
      </c>
      <c r="E17" s="307">
        <v>6.0999999999999999E-2</v>
      </c>
      <c r="F17" s="307">
        <v>0.1</v>
      </c>
      <c r="G17" s="308">
        <v>9.7000000000000003E-2</v>
      </c>
    </row>
    <row r="18" spans="1:7">
      <c r="A18" s="305" t="s">
        <v>251</v>
      </c>
      <c r="B18" s="306" t="s">
        <v>2265</v>
      </c>
      <c r="C18" s="307">
        <v>9.8000000000000004E-2</v>
      </c>
      <c r="D18" s="307">
        <v>9.8000000000000004E-2</v>
      </c>
      <c r="E18" s="307">
        <v>9.8000000000000004E-2</v>
      </c>
      <c r="F18" s="314"/>
      <c r="G18" s="308">
        <v>9.9000000000000005E-2</v>
      </c>
    </row>
    <row r="19" spans="1:7">
      <c r="A19" s="305" t="s">
        <v>251</v>
      </c>
      <c r="B19" s="306" t="s">
        <v>2266</v>
      </c>
      <c r="C19" s="307">
        <v>9.9000000000000005E-2</v>
      </c>
      <c r="D19" s="307">
        <v>7.3999999999999996E-2</v>
      </c>
      <c r="E19" s="307">
        <v>8.1000000000000003E-2</v>
      </c>
      <c r="F19" s="314"/>
      <c r="G19" s="308">
        <v>9.2999999999999999E-2</v>
      </c>
    </row>
    <row r="20" spans="1:7">
      <c r="A20" s="305" t="s">
        <v>251</v>
      </c>
      <c r="B20" s="306" t="s">
        <v>2267</v>
      </c>
      <c r="C20" s="307">
        <v>0.1</v>
      </c>
      <c r="D20" s="307">
        <v>8.8999999999999996E-2</v>
      </c>
      <c r="E20" s="307">
        <v>8.8999999999999996E-2</v>
      </c>
      <c r="F20" s="314"/>
      <c r="G20" s="308">
        <v>9.5000000000000001E-2</v>
      </c>
    </row>
    <row r="21" spans="1:7">
      <c r="A21" s="305" t="s">
        <v>251</v>
      </c>
      <c r="B21" s="306" t="s">
        <v>2268</v>
      </c>
      <c r="C21" s="307">
        <v>0.1</v>
      </c>
      <c r="D21" s="307">
        <v>9.0999999999999998E-2</v>
      </c>
      <c r="E21" s="307">
        <v>8.2000000000000003E-2</v>
      </c>
      <c r="F21" s="314"/>
      <c r="G21" s="308">
        <v>9.7000000000000003E-2</v>
      </c>
    </row>
    <row r="22" spans="1:7">
      <c r="A22" s="305" t="s">
        <v>251</v>
      </c>
      <c r="B22" s="306" t="s">
        <v>2269</v>
      </c>
      <c r="C22" s="307">
        <v>9.5000000000000001E-2</v>
      </c>
      <c r="D22" s="307">
        <v>9.9000000000000005E-2</v>
      </c>
      <c r="E22" s="307">
        <v>9.8000000000000004E-2</v>
      </c>
      <c r="F22" s="314"/>
      <c r="G22" s="308">
        <v>0.1</v>
      </c>
    </row>
    <row r="23" spans="1:7">
      <c r="A23" s="305" t="s">
        <v>251</v>
      </c>
      <c r="B23" s="306" t="s">
        <v>2270</v>
      </c>
      <c r="C23" s="307">
        <v>9.9000000000000005E-2</v>
      </c>
      <c r="D23" s="307">
        <v>0.1</v>
      </c>
      <c r="E23" s="307">
        <v>0.1</v>
      </c>
      <c r="F23" s="314"/>
      <c r="G23" s="308">
        <v>0.1</v>
      </c>
    </row>
    <row r="24" spans="1:7">
      <c r="A24" s="305" t="s">
        <v>251</v>
      </c>
      <c r="B24" s="306" t="s">
        <v>2271</v>
      </c>
      <c r="C24" s="307">
        <v>9.5000000000000001E-2</v>
      </c>
      <c r="D24" s="307">
        <v>0.1</v>
      </c>
      <c r="E24" s="307">
        <v>9.8000000000000004E-2</v>
      </c>
      <c r="F24" s="314"/>
      <c r="G24" s="308">
        <v>0.1</v>
      </c>
    </row>
    <row r="25" spans="1:7">
      <c r="A25" s="305" t="s">
        <v>251</v>
      </c>
      <c r="B25" s="306" t="s">
        <v>2272</v>
      </c>
      <c r="C25" s="307">
        <v>0.05</v>
      </c>
      <c r="D25" s="307">
        <v>9.6000000000000002E-2</v>
      </c>
      <c r="E25" s="307">
        <v>9.6000000000000002E-2</v>
      </c>
      <c r="F25" s="314"/>
      <c r="G25" s="308">
        <v>9.6000000000000002E-2</v>
      </c>
    </row>
    <row r="26" spans="1:7">
      <c r="A26" s="305" t="s">
        <v>251</v>
      </c>
      <c r="B26" s="306" t="s">
        <v>2273</v>
      </c>
      <c r="C26" s="307">
        <v>6.3E-2</v>
      </c>
      <c r="D26" s="307">
        <v>9.9000000000000005E-2</v>
      </c>
      <c r="E26" s="307">
        <v>9.8000000000000004E-2</v>
      </c>
      <c r="F26" s="314"/>
      <c r="G26" s="308">
        <v>0.1</v>
      </c>
    </row>
    <row r="27" spans="1:7">
      <c r="A27" s="305" t="s">
        <v>251</v>
      </c>
      <c r="B27" s="306" t="s">
        <v>2274</v>
      </c>
      <c r="C27" s="307">
        <v>5.1999999999999998E-2</v>
      </c>
      <c r="D27" s="307">
        <v>9.5000000000000001E-2</v>
      </c>
      <c r="E27" s="307">
        <v>6.4000000000000001E-2</v>
      </c>
      <c r="F27" s="314"/>
      <c r="G27" s="308">
        <v>9.7000000000000003E-2</v>
      </c>
    </row>
    <row r="28" spans="1:7">
      <c r="A28" s="305" t="s">
        <v>251</v>
      </c>
      <c r="B28" s="306" t="s">
        <v>2275</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2276</v>
      </c>
      <c r="C30" s="303">
        <v>6.6000000000000003E-2</v>
      </c>
      <c r="D30" s="303">
        <v>6.6000000000000003E-2</v>
      </c>
      <c r="E30" s="303">
        <v>5.7000000000000002E-2</v>
      </c>
      <c r="F30" s="303">
        <v>0.1</v>
      </c>
      <c r="G30" s="304">
        <v>6.8000000000000005E-2</v>
      </c>
    </row>
    <row r="31" spans="1:7">
      <c r="A31" s="317" t="s">
        <v>264</v>
      </c>
      <c r="B31" s="306" t="s">
        <v>2277</v>
      </c>
      <c r="C31" s="307">
        <v>5.5E-2</v>
      </c>
      <c r="D31" s="307">
        <v>8.2000000000000003E-2</v>
      </c>
      <c r="E31" s="307">
        <v>6.4000000000000001E-2</v>
      </c>
      <c r="F31" s="307">
        <v>0.1</v>
      </c>
      <c r="G31" s="308">
        <v>9.5000000000000001E-2</v>
      </c>
    </row>
    <row r="32" spans="1:7">
      <c r="A32" s="317" t="s">
        <v>264</v>
      </c>
      <c r="B32" s="306" t="s">
        <v>2278</v>
      </c>
      <c r="C32" s="307">
        <v>8.2000000000000003E-2</v>
      </c>
      <c r="D32" s="307">
        <v>8.6999999999999994E-2</v>
      </c>
      <c r="E32" s="307">
        <v>9.5000000000000001E-2</v>
      </c>
      <c r="F32" s="307">
        <v>0.1</v>
      </c>
      <c r="G32" s="308">
        <v>9.6000000000000002E-2</v>
      </c>
    </row>
    <row r="33" spans="1:7">
      <c r="A33" s="317" t="s">
        <v>264</v>
      </c>
      <c r="B33" s="306" t="s">
        <v>2279</v>
      </c>
      <c r="C33" s="307">
        <v>9.9000000000000005E-2</v>
      </c>
      <c r="D33" s="307">
        <v>9.1999999999999998E-2</v>
      </c>
      <c r="E33" s="307">
        <v>8.6999999999999994E-2</v>
      </c>
      <c r="F33" s="307">
        <v>0.1</v>
      </c>
      <c r="G33" s="308">
        <v>9.7000000000000003E-2</v>
      </c>
    </row>
    <row r="34" spans="1:7">
      <c r="A34" s="317" t="s">
        <v>264</v>
      </c>
      <c r="B34" s="306" t="s">
        <v>2280</v>
      </c>
      <c r="C34" s="307">
        <v>8.4000000000000005E-2</v>
      </c>
      <c r="D34" s="307">
        <v>9.7000000000000003E-2</v>
      </c>
      <c r="E34" s="307">
        <v>7.0999999999999994E-2</v>
      </c>
      <c r="F34" s="307">
        <v>0.1</v>
      </c>
      <c r="G34" s="308">
        <v>9.8000000000000004E-2</v>
      </c>
    </row>
    <row r="35" spans="1:7">
      <c r="A35" s="317" t="s">
        <v>264</v>
      </c>
      <c r="B35" s="306" t="s">
        <v>2281</v>
      </c>
      <c r="C35" s="307">
        <v>8.3000000000000004E-2</v>
      </c>
      <c r="D35" s="307">
        <v>9.7000000000000003E-2</v>
      </c>
      <c r="E35" s="307">
        <v>6.0999999999999999E-2</v>
      </c>
      <c r="F35" s="307">
        <v>0.1</v>
      </c>
      <c r="G35" s="308">
        <v>9.9000000000000005E-2</v>
      </c>
    </row>
    <row r="36" spans="1:7">
      <c r="A36" s="317" t="s">
        <v>264</v>
      </c>
      <c r="B36" s="306" t="s">
        <v>2282</v>
      </c>
      <c r="C36" s="307">
        <v>9.7000000000000003E-2</v>
      </c>
      <c r="D36" s="307">
        <v>9.7000000000000003E-2</v>
      </c>
      <c r="E36" s="307">
        <v>7.8E-2</v>
      </c>
      <c r="F36" s="307">
        <v>0.1</v>
      </c>
      <c r="G36" s="308">
        <v>9.9000000000000005E-2</v>
      </c>
    </row>
    <row r="37" spans="1:7">
      <c r="A37" s="317" t="s">
        <v>264</v>
      </c>
      <c r="B37" s="306" t="s">
        <v>2283</v>
      </c>
      <c r="C37" s="307">
        <v>9.7000000000000003E-2</v>
      </c>
      <c r="D37" s="307">
        <v>9.5000000000000001E-2</v>
      </c>
      <c r="E37" s="307">
        <v>7.8E-2</v>
      </c>
      <c r="F37" s="307">
        <v>0.1</v>
      </c>
      <c r="G37" s="308">
        <v>9.7000000000000003E-2</v>
      </c>
    </row>
    <row r="38" spans="1:7">
      <c r="A38" s="317" t="s">
        <v>264</v>
      </c>
      <c r="B38" s="306" t="s">
        <v>2284</v>
      </c>
      <c r="C38" s="307">
        <v>9.7000000000000003E-2</v>
      </c>
      <c r="D38" s="307">
        <v>7.6999999999999999E-2</v>
      </c>
      <c r="E38" s="307">
        <v>7.0000000000000007E-2</v>
      </c>
      <c r="F38" s="307">
        <v>0.1</v>
      </c>
      <c r="G38" s="308">
        <v>7.6999999999999999E-2</v>
      </c>
    </row>
    <row r="39" spans="1:7">
      <c r="A39" s="317" t="s">
        <v>264</v>
      </c>
      <c r="B39" s="306" t="s">
        <v>2285</v>
      </c>
      <c r="C39" s="307">
        <v>9.5000000000000001E-2</v>
      </c>
      <c r="D39" s="307">
        <v>7.6999999999999999E-2</v>
      </c>
      <c r="E39" s="307">
        <v>6.6000000000000003E-2</v>
      </c>
      <c r="F39" s="307">
        <v>0.1</v>
      </c>
      <c r="G39" s="308">
        <v>8.5999999999999993E-2</v>
      </c>
    </row>
    <row r="40" spans="1:7">
      <c r="A40" s="317" t="s">
        <v>264</v>
      </c>
      <c r="B40" s="306" t="s">
        <v>2286</v>
      </c>
      <c r="C40" s="307">
        <v>7.6999999999999999E-2</v>
      </c>
      <c r="D40" s="307">
        <v>7.8E-2</v>
      </c>
      <c r="E40" s="307">
        <v>8.2000000000000003E-2</v>
      </c>
      <c r="F40" s="318"/>
      <c r="G40" s="308">
        <v>7.8E-2</v>
      </c>
    </row>
    <row r="41" spans="1:7">
      <c r="A41" s="317" t="s">
        <v>264</v>
      </c>
      <c r="B41" s="306" t="s">
        <v>2287</v>
      </c>
      <c r="C41" s="307">
        <v>7.8E-2</v>
      </c>
      <c r="D41" s="307">
        <v>7.8E-2</v>
      </c>
      <c r="E41" s="307">
        <v>8.2000000000000003E-2</v>
      </c>
      <c r="F41" s="318"/>
      <c r="G41" s="308">
        <v>8.5999999999999993E-2</v>
      </c>
    </row>
    <row r="42" spans="1:7">
      <c r="A42" s="317" t="s">
        <v>264</v>
      </c>
      <c r="B42" s="306" t="s">
        <v>2288</v>
      </c>
      <c r="C42" s="307">
        <v>7.8E-2</v>
      </c>
      <c r="D42" s="307">
        <v>9.6000000000000002E-2</v>
      </c>
      <c r="E42" s="307">
        <v>7.1999999999999995E-2</v>
      </c>
      <c r="F42" s="318"/>
      <c r="G42" s="308">
        <v>9.8000000000000004E-2</v>
      </c>
    </row>
    <row r="43" spans="1:7">
      <c r="A43" s="317" t="s">
        <v>264</v>
      </c>
      <c r="B43" s="306" t="s">
        <v>2289</v>
      </c>
      <c r="C43" s="307">
        <v>7.8E-2</v>
      </c>
      <c r="D43" s="307">
        <v>9.9000000000000005E-2</v>
      </c>
      <c r="E43" s="307">
        <v>9.6000000000000002E-2</v>
      </c>
      <c r="F43" s="318"/>
      <c r="G43" s="308">
        <v>0.1</v>
      </c>
    </row>
    <row r="44" spans="1:7">
      <c r="A44" s="317" t="s">
        <v>264</v>
      </c>
      <c r="B44" s="306" t="s">
        <v>2290</v>
      </c>
      <c r="C44" s="307">
        <v>9.6000000000000002E-2</v>
      </c>
      <c r="D44" s="307">
        <v>0.1</v>
      </c>
      <c r="E44" s="307">
        <v>9.8000000000000004E-2</v>
      </c>
      <c r="F44" s="318"/>
      <c r="G44" s="308">
        <v>0.1</v>
      </c>
    </row>
    <row r="45" spans="1:7">
      <c r="A45" s="317" t="s">
        <v>264</v>
      </c>
      <c r="B45" s="306" t="s">
        <v>2291</v>
      </c>
      <c r="C45" s="307">
        <v>9.9000000000000005E-2</v>
      </c>
      <c r="D45" s="307">
        <v>9.8000000000000004E-2</v>
      </c>
      <c r="E45" s="307">
        <v>9.5000000000000001E-2</v>
      </c>
      <c r="F45" s="318"/>
      <c r="G45" s="308">
        <v>9.8000000000000004E-2</v>
      </c>
    </row>
    <row r="46" spans="1:7">
      <c r="A46" s="317" t="s">
        <v>264</v>
      </c>
      <c r="B46" s="306" t="s">
        <v>2292</v>
      </c>
      <c r="C46" s="307">
        <v>0.1</v>
      </c>
      <c r="D46" s="307">
        <v>9.9000000000000005E-2</v>
      </c>
      <c r="E46" s="307">
        <v>9.6000000000000002E-2</v>
      </c>
      <c r="F46" s="318"/>
      <c r="G46" s="308">
        <v>0.1</v>
      </c>
    </row>
    <row r="47" spans="1:7">
      <c r="A47" s="317" t="s">
        <v>264</v>
      </c>
      <c r="B47" s="306" t="s">
        <v>2293</v>
      </c>
      <c r="C47" s="307">
        <v>9.8000000000000004E-2</v>
      </c>
      <c r="D47" s="307">
        <v>8.6999999999999994E-2</v>
      </c>
      <c r="E47" s="307">
        <v>5.8999999999999997E-2</v>
      </c>
      <c r="F47" s="318"/>
      <c r="G47" s="308">
        <v>9.6000000000000002E-2</v>
      </c>
    </row>
    <row r="48" spans="1:7">
      <c r="A48" s="317" t="s">
        <v>264</v>
      </c>
      <c r="B48" s="306" t="s">
        <v>2294</v>
      </c>
      <c r="C48" s="307">
        <v>9.9000000000000005E-2</v>
      </c>
      <c r="D48" s="307">
        <v>9.8000000000000004E-2</v>
      </c>
      <c r="E48" s="307">
        <v>9.5000000000000001E-2</v>
      </c>
      <c r="F48" s="318"/>
      <c r="G48" s="308">
        <v>9.8000000000000004E-2</v>
      </c>
    </row>
    <row r="49" spans="1:7">
      <c r="A49" s="317" t="s">
        <v>264</v>
      </c>
      <c r="B49" s="306" t="s">
        <v>2295</v>
      </c>
      <c r="C49" s="307">
        <v>8.7999999999999995E-2</v>
      </c>
      <c r="D49" s="307">
        <v>9.9000000000000005E-2</v>
      </c>
      <c r="E49" s="307">
        <v>7.0000000000000007E-2</v>
      </c>
      <c r="F49" s="318"/>
      <c r="G49" s="308">
        <v>0.1</v>
      </c>
    </row>
    <row r="50" spans="1:7">
      <c r="A50" s="317" t="s">
        <v>264</v>
      </c>
      <c r="B50" s="306" t="s">
        <v>2296</v>
      </c>
      <c r="C50" s="307">
        <v>9.8000000000000004E-2</v>
      </c>
      <c r="D50" s="307">
        <v>7.2999999999999995E-2</v>
      </c>
      <c r="E50" s="307">
        <v>7.0999999999999994E-2</v>
      </c>
      <c r="F50" s="318"/>
      <c r="G50" s="308">
        <v>7.2999999999999995E-2</v>
      </c>
    </row>
    <row r="51" spans="1:7">
      <c r="A51" s="317" t="s">
        <v>264</v>
      </c>
      <c r="B51" s="306" t="s">
        <v>2297</v>
      </c>
      <c r="C51" s="307">
        <v>9.9000000000000005E-2</v>
      </c>
      <c r="D51" s="307">
        <v>8.5000000000000006E-2</v>
      </c>
      <c r="E51" s="307">
        <v>6.3E-2</v>
      </c>
      <c r="F51" s="318"/>
      <c r="G51" s="308">
        <v>9.6000000000000002E-2</v>
      </c>
    </row>
    <row r="52" spans="1:7">
      <c r="A52" s="317" t="s">
        <v>264</v>
      </c>
      <c r="B52" s="306" t="s">
        <v>2298</v>
      </c>
      <c r="C52" s="307">
        <v>7.3999999999999996E-2</v>
      </c>
      <c r="D52" s="307">
        <v>9.6000000000000002E-2</v>
      </c>
      <c r="E52" s="307">
        <v>0.05</v>
      </c>
      <c r="F52" s="318"/>
      <c r="G52" s="308">
        <v>9.8000000000000004E-2</v>
      </c>
    </row>
    <row r="53" spans="1:7">
      <c r="A53" s="317" t="s">
        <v>264</v>
      </c>
      <c r="B53" s="306" t="s">
        <v>2299</v>
      </c>
      <c r="C53" s="307">
        <v>8.5999999999999993E-2</v>
      </c>
      <c r="D53" s="318"/>
      <c r="E53" s="307">
        <v>9.1999999999999998E-2</v>
      </c>
      <c r="F53" s="318"/>
      <c r="G53" s="319"/>
    </row>
    <row r="54" spans="1:7">
      <c r="A54" s="320" t="s">
        <v>264</v>
      </c>
      <c r="B54" s="310" t="s">
        <v>2300</v>
      </c>
      <c r="C54" s="311">
        <v>9.6000000000000002E-2</v>
      </c>
      <c r="D54" s="312"/>
      <c r="E54" s="321"/>
      <c r="F54" s="312"/>
      <c r="G54" s="322"/>
    </row>
    <row r="55" spans="1:7">
      <c r="A55" s="316" t="s">
        <v>275</v>
      </c>
      <c r="B55" s="302" t="s">
        <v>2301</v>
      </c>
      <c r="C55" s="303">
        <v>9.6000000000000002E-2</v>
      </c>
      <c r="D55" s="303">
        <v>8.4000000000000005E-2</v>
      </c>
      <c r="E55" s="303">
        <v>9.1999999999999998E-2</v>
      </c>
      <c r="F55" s="303">
        <v>0.1</v>
      </c>
      <c r="G55" s="304">
        <v>9.5000000000000001E-2</v>
      </c>
    </row>
    <row r="56" spans="1:7">
      <c r="A56" s="317" t="s">
        <v>275</v>
      </c>
      <c r="B56" s="306" t="s">
        <v>2302</v>
      </c>
      <c r="C56" s="307">
        <v>8.4000000000000005E-2</v>
      </c>
      <c r="D56" s="307">
        <v>9.1999999999999998E-2</v>
      </c>
      <c r="E56" s="307">
        <v>9.5000000000000001E-2</v>
      </c>
      <c r="F56" s="307">
        <v>9.1999999999999998E-2</v>
      </c>
      <c r="G56" s="308">
        <v>9.6000000000000002E-2</v>
      </c>
    </row>
    <row r="57" spans="1:7">
      <c r="A57" s="317" t="s">
        <v>275</v>
      </c>
      <c r="B57" s="306" t="s">
        <v>2303</v>
      </c>
      <c r="C57" s="307">
        <v>9.9000000000000005E-2</v>
      </c>
      <c r="D57" s="307">
        <v>9.6000000000000002E-2</v>
      </c>
      <c r="E57" s="307">
        <v>9.1999999999999998E-2</v>
      </c>
      <c r="F57" s="307">
        <v>0.1</v>
      </c>
      <c r="G57" s="308">
        <v>9.8000000000000004E-2</v>
      </c>
    </row>
    <row r="58" spans="1:7">
      <c r="A58" s="317" t="s">
        <v>275</v>
      </c>
      <c r="B58" s="306" t="s">
        <v>2304</v>
      </c>
      <c r="C58" s="307">
        <v>9.8000000000000004E-2</v>
      </c>
      <c r="D58" s="307">
        <v>9.5000000000000001E-2</v>
      </c>
      <c r="E58" s="307">
        <v>5.7000000000000002E-2</v>
      </c>
      <c r="F58" s="307">
        <v>0.1</v>
      </c>
      <c r="G58" s="308">
        <v>9.6000000000000002E-2</v>
      </c>
    </row>
    <row r="59" spans="1:7">
      <c r="A59" s="317" t="s">
        <v>275</v>
      </c>
      <c r="B59" s="306" t="s">
        <v>2305</v>
      </c>
      <c r="C59" s="307">
        <v>9.5000000000000001E-2</v>
      </c>
      <c r="D59" s="307">
        <v>0.1</v>
      </c>
      <c r="E59" s="307">
        <v>7.4999999999999997E-2</v>
      </c>
      <c r="F59" s="307">
        <v>0.1</v>
      </c>
      <c r="G59" s="308">
        <v>0.1</v>
      </c>
    </row>
    <row r="60" spans="1:7">
      <c r="A60" s="317" t="s">
        <v>275</v>
      </c>
      <c r="B60" s="306" t="s">
        <v>2306</v>
      </c>
      <c r="C60" s="307">
        <v>0.1</v>
      </c>
      <c r="D60" s="307">
        <v>9.7000000000000003E-2</v>
      </c>
      <c r="E60" s="307">
        <v>0.1</v>
      </c>
      <c r="F60" s="307">
        <v>0.1</v>
      </c>
      <c r="G60" s="308">
        <v>9.7000000000000003E-2</v>
      </c>
    </row>
    <row r="61" spans="1:7">
      <c r="A61" s="317" t="s">
        <v>275</v>
      </c>
      <c r="B61" s="306" t="s">
        <v>2307</v>
      </c>
      <c r="C61" s="307">
        <v>9.7000000000000003E-2</v>
      </c>
      <c r="D61" s="307">
        <v>0.1</v>
      </c>
      <c r="E61" s="307">
        <v>9.2999999999999999E-2</v>
      </c>
      <c r="F61" s="307">
        <v>0.1</v>
      </c>
      <c r="G61" s="308">
        <v>0.1</v>
      </c>
    </row>
    <row r="62" spans="1:7">
      <c r="A62" s="317" t="s">
        <v>275</v>
      </c>
      <c r="B62" s="306" t="s">
        <v>2308</v>
      </c>
      <c r="C62" s="307">
        <v>0.1</v>
      </c>
      <c r="D62" s="307">
        <v>9.7000000000000003E-2</v>
      </c>
      <c r="E62" s="307">
        <v>8.8999999999999996E-2</v>
      </c>
      <c r="F62" s="307">
        <v>0.1</v>
      </c>
      <c r="G62" s="308">
        <v>9.8000000000000004E-2</v>
      </c>
    </row>
    <row r="63" spans="1:7">
      <c r="A63" s="317" t="s">
        <v>275</v>
      </c>
      <c r="B63" s="306" t="s">
        <v>2309</v>
      </c>
      <c r="C63" s="307">
        <v>9.7000000000000003E-2</v>
      </c>
      <c r="D63" s="307">
        <v>9.7000000000000003E-2</v>
      </c>
      <c r="E63" s="307">
        <v>9.9000000000000005E-2</v>
      </c>
      <c r="F63" s="307">
        <v>0.1</v>
      </c>
      <c r="G63" s="308">
        <v>9.7000000000000003E-2</v>
      </c>
    </row>
    <row r="64" spans="1:7">
      <c r="A64" s="317" t="s">
        <v>275</v>
      </c>
      <c r="B64" s="306" t="s">
        <v>2310</v>
      </c>
      <c r="C64" s="307">
        <v>9.7000000000000003E-2</v>
      </c>
      <c r="D64" s="307">
        <v>7.3999999999999996E-2</v>
      </c>
      <c r="E64" s="307">
        <v>7.8E-2</v>
      </c>
      <c r="F64" s="307">
        <v>0.1</v>
      </c>
      <c r="G64" s="308">
        <v>8.8999999999999996E-2</v>
      </c>
    </row>
    <row r="65" spans="1:7">
      <c r="A65" s="317" t="s">
        <v>275</v>
      </c>
      <c r="B65" s="306" t="s">
        <v>2311</v>
      </c>
      <c r="C65" s="307">
        <v>7.2999999999999995E-2</v>
      </c>
      <c r="D65" s="307">
        <v>9.8000000000000004E-2</v>
      </c>
      <c r="E65" s="307">
        <v>9.5000000000000001E-2</v>
      </c>
      <c r="F65" s="307">
        <v>0.1</v>
      </c>
      <c r="G65" s="308">
        <v>9.9000000000000005E-2</v>
      </c>
    </row>
    <row r="66" spans="1:7">
      <c r="A66" s="317" t="s">
        <v>275</v>
      </c>
      <c r="B66" s="306" t="s">
        <v>2312</v>
      </c>
      <c r="C66" s="307">
        <v>9.8000000000000004E-2</v>
      </c>
      <c r="D66" s="307">
        <v>9.5000000000000001E-2</v>
      </c>
      <c r="E66" s="307">
        <v>0.05</v>
      </c>
      <c r="F66" s="307">
        <v>0.1</v>
      </c>
      <c r="G66" s="308">
        <v>9.7000000000000003E-2</v>
      </c>
    </row>
    <row r="67" spans="1:7">
      <c r="A67" s="317" t="s">
        <v>275</v>
      </c>
      <c r="B67" s="306" t="s">
        <v>2313</v>
      </c>
      <c r="C67" s="307">
        <v>9.5000000000000001E-2</v>
      </c>
      <c r="D67" s="307">
        <v>9.7000000000000003E-2</v>
      </c>
      <c r="E67" s="307">
        <v>9.7000000000000003E-2</v>
      </c>
      <c r="F67" s="307">
        <v>0.1</v>
      </c>
      <c r="G67" s="308">
        <v>9.9000000000000005E-2</v>
      </c>
    </row>
    <row r="68" spans="1:7">
      <c r="A68" s="317" t="s">
        <v>275</v>
      </c>
      <c r="B68" s="306" t="s">
        <v>2314</v>
      </c>
      <c r="C68" s="307">
        <v>9.7000000000000003E-2</v>
      </c>
      <c r="D68" s="307">
        <v>6.8000000000000005E-2</v>
      </c>
      <c r="E68" s="307">
        <v>6.6000000000000003E-2</v>
      </c>
      <c r="F68" s="307">
        <v>0.1</v>
      </c>
      <c r="G68" s="308">
        <v>8.4000000000000005E-2</v>
      </c>
    </row>
    <row r="69" spans="1:7">
      <c r="A69" s="317" t="s">
        <v>275</v>
      </c>
      <c r="B69" s="306" t="s">
        <v>2315</v>
      </c>
      <c r="C69" s="307">
        <v>6.8000000000000005E-2</v>
      </c>
      <c r="D69" s="307">
        <v>9.8000000000000004E-2</v>
      </c>
      <c r="E69" s="307">
        <v>9.5000000000000001E-2</v>
      </c>
      <c r="F69" s="307">
        <v>0.1</v>
      </c>
      <c r="G69" s="308">
        <v>0.1</v>
      </c>
    </row>
    <row r="70" spans="1:7">
      <c r="A70" s="317" t="s">
        <v>275</v>
      </c>
      <c r="B70" s="306" t="s">
        <v>2316</v>
      </c>
      <c r="C70" s="307">
        <v>9.8000000000000004E-2</v>
      </c>
      <c r="D70" s="307">
        <v>8.8999999999999996E-2</v>
      </c>
      <c r="E70" s="307">
        <v>5.8999999999999997E-2</v>
      </c>
      <c r="F70" s="307">
        <v>0.1</v>
      </c>
      <c r="G70" s="308">
        <v>9.6000000000000002E-2</v>
      </c>
    </row>
    <row r="71" spans="1:7">
      <c r="A71" s="317" t="s">
        <v>275</v>
      </c>
      <c r="B71" s="306" t="s">
        <v>2317</v>
      </c>
      <c r="C71" s="307">
        <v>8.8999999999999996E-2</v>
      </c>
      <c r="D71" s="307">
        <v>9.9000000000000005E-2</v>
      </c>
      <c r="E71" s="307">
        <v>9.6000000000000002E-2</v>
      </c>
      <c r="F71" s="307">
        <v>0.1</v>
      </c>
      <c r="G71" s="308">
        <v>0.1</v>
      </c>
    </row>
    <row r="72" spans="1:7">
      <c r="A72" s="317" t="s">
        <v>275</v>
      </c>
      <c r="B72" s="306" t="s">
        <v>2318</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2462</v>
      </c>
      <c r="C217" s="307">
        <v>0.129</v>
      </c>
      <c r="D217" s="307">
        <v>0.129</v>
      </c>
      <c r="E217" s="307">
        <v>0.13</v>
      </c>
      <c r="F217" s="307">
        <v>0.13</v>
      </c>
      <c r="G217" s="308">
        <v>0.13</v>
      </c>
    </row>
    <row r="218" spans="1:7">
      <c r="A218" s="317" t="s">
        <v>303</v>
      </c>
      <c r="B218" s="306" t="s">
        <v>2463</v>
      </c>
      <c r="C218" s="318"/>
      <c r="D218" s="318"/>
      <c r="E218" s="318"/>
      <c r="F218" s="307">
        <v>0.05</v>
      </c>
      <c r="G218" s="324"/>
    </row>
    <row r="219" spans="1:7">
      <c r="A219" s="317" t="s">
        <v>303</v>
      </c>
      <c r="B219" s="306" t="s">
        <v>2464</v>
      </c>
      <c r="C219" s="318"/>
      <c r="D219" s="318"/>
      <c r="E219" s="318"/>
      <c r="F219" s="307">
        <v>0.05</v>
      </c>
      <c r="G219" s="324"/>
    </row>
    <row r="220" spans="1:7">
      <c r="A220" s="317" t="s">
        <v>303</v>
      </c>
      <c r="B220" s="306" t="s">
        <v>2465</v>
      </c>
      <c r="C220" s="318"/>
      <c r="D220" s="318"/>
      <c r="E220" s="318"/>
      <c r="F220" s="307">
        <v>0.05</v>
      </c>
      <c r="G220" s="324"/>
    </row>
    <row r="221" spans="1:7">
      <c r="A221" s="317" t="s">
        <v>303</v>
      </c>
      <c r="B221" s="306" t="s">
        <v>2466</v>
      </c>
      <c r="C221" s="318"/>
      <c r="D221" s="318"/>
      <c r="E221" s="318"/>
      <c r="F221" s="307">
        <v>0.05</v>
      </c>
      <c r="G221" s="324"/>
    </row>
    <row r="222" spans="1:7">
      <c r="A222" s="317" t="s">
        <v>303</v>
      </c>
      <c r="B222" s="306" t="s">
        <v>2467</v>
      </c>
      <c r="C222" s="318"/>
      <c r="D222" s="318"/>
      <c r="E222" s="318"/>
      <c r="F222" s="307">
        <v>0.05</v>
      </c>
      <c r="G222" s="324"/>
    </row>
    <row r="223" spans="1:7">
      <c r="A223" s="317" t="s">
        <v>303</v>
      </c>
      <c r="B223" s="306" t="s">
        <v>2468</v>
      </c>
      <c r="C223" s="318"/>
      <c r="D223" s="318"/>
      <c r="E223" s="318"/>
      <c r="F223" s="307">
        <v>0.05</v>
      </c>
      <c r="G223" s="324"/>
    </row>
    <row r="224" spans="1:7">
      <c r="A224" s="317" t="s">
        <v>303</v>
      </c>
      <c r="B224" s="306" t="s">
        <v>2469</v>
      </c>
      <c r="C224" s="318"/>
      <c r="D224" s="318"/>
      <c r="E224" s="318"/>
      <c r="F224" s="307">
        <v>0.05</v>
      </c>
      <c r="G224" s="324"/>
    </row>
    <row r="225" spans="1:7">
      <c r="A225" s="317" t="s">
        <v>303</v>
      </c>
      <c r="B225" s="306" t="s">
        <v>2470</v>
      </c>
      <c r="C225" s="318"/>
      <c r="D225" s="318"/>
      <c r="E225" s="318"/>
      <c r="F225" s="307">
        <v>0.05</v>
      </c>
      <c r="G225" s="324"/>
    </row>
    <row r="226" spans="1:7">
      <c r="A226" s="317" t="s">
        <v>303</v>
      </c>
      <c r="B226" s="306" t="s">
        <v>2471</v>
      </c>
      <c r="C226" s="318"/>
      <c r="D226" s="318"/>
      <c r="E226" s="318"/>
      <c r="F226" s="307">
        <v>0.05</v>
      </c>
      <c r="G226" s="324"/>
    </row>
    <row r="227" spans="1:7">
      <c r="A227" s="317" t="s">
        <v>303</v>
      </c>
      <c r="B227" s="306" t="s">
        <v>2472</v>
      </c>
      <c r="C227" s="318"/>
      <c r="D227" s="318"/>
      <c r="E227" s="318"/>
      <c r="F227" s="307">
        <v>0.05</v>
      </c>
      <c r="G227" s="324"/>
    </row>
    <row r="228" spans="1:7">
      <c r="A228" s="317" t="s">
        <v>303</v>
      </c>
      <c r="B228" s="306" t="s">
        <v>2473</v>
      </c>
      <c r="C228" s="318"/>
      <c r="D228" s="318"/>
      <c r="E228" s="318"/>
      <c r="F228" s="307">
        <v>0.05</v>
      </c>
      <c r="G228" s="324"/>
    </row>
    <row r="229" spans="1:7">
      <c r="A229" s="317" t="s">
        <v>303</v>
      </c>
      <c r="B229" s="306" t="s">
        <v>2474</v>
      </c>
      <c r="C229" s="318"/>
      <c r="D229" s="318"/>
      <c r="E229" s="318"/>
      <c r="F229" s="307">
        <v>0.05</v>
      </c>
      <c r="G229" s="324"/>
    </row>
    <row r="230" spans="1:7">
      <c r="A230" s="317" t="s">
        <v>303</v>
      </c>
      <c r="B230" s="306" t="s">
        <v>2475</v>
      </c>
      <c r="C230" s="318"/>
      <c r="D230" s="318"/>
      <c r="E230" s="318"/>
      <c r="F230" s="307">
        <v>0.05</v>
      </c>
      <c r="G230" s="324"/>
    </row>
    <row r="231" spans="1:7">
      <c r="A231" s="317" t="s">
        <v>303</v>
      </c>
      <c r="B231" s="306" t="s">
        <v>2476</v>
      </c>
      <c r="C231" s="318"/>
      <c r="D231" s="318"/>
      <c r="E231" s="318"/>
      <c r="F231" s="307">
        <v>0.05</v>
      </c>
      <c r="G231" s="324"/>
    </row>
    <row r="232" spans="1:7">
      <c r="A232" s="317" t="s">
        <v>303</v>
      </c>
      <c r="B232" s="306" t="s">
        <v>2477</v>
      </c>
      <c r="C232" s="318"/>
      <c r="D232" s="318"/>
      <c r="E232" s="318"/>
      <c r="F232" s="307">
        <v>0.05</v>
      </c>
      <c r="G232" s="324"/>
    </row>
    <row r="233" spans="1:7">
      <c r="A233" s="320" t="s">
        <v>303</v>
      </c>
      <c r="B233" s="310" t="s">
        <v>2478</v>
      </c>
      <c r="C233" s="312"/>
      <c r="D233" s="312"/>
      <c r="E233" s="312"/>
      <c r="F233" s="311">
        <v>0.05</v>
      </c>
      <c r="G233" s="325"/>
    </row>
    <row r="234" spans="1:7">
      <c r="A234" s="316" t="s">
        <v>311</v>
      </c>
      <c r="B234" s="302" t="s">
        <v>2479</v>
      </c>
      <c r="C234" s="303">
        <v>0.13</v>
      </c>
      <c r="D234" s="303">
        <v>0.128</v>
      </c>
      <c r="E234" s="303">
        <v>0.14199999999999999</v>
      </c>
      <c r="F234" s="303">
        <v>0.14699999999999999</v>
      </c>
      <c r="G234" s="304">
        <v>0.14000000000000001</v>
      </c>
    </row>
    <row r="235" spans="1:7">
      <c r="A235" s="317" t="s">
        <v>311</v>
      </c>
      <c r="B235" s="306" t="s">
        <v>2480</v>
      </c>
      <c r="C235" s="307">
        <v>0.13600000000000001</v>
      </c>
      <c r="D235" s="307">
        <v>0.13800000000000001</v>
      </c>
      <c r="E235" s="307">
        <v>0.14499999999999999</v>
      </c>
      <c r="F235" s="307">
        <v>0.14299999999999999</v>
      </c>
      <c r="G235" s="308">
        <v>0.14099999999999999</v>
      </c>
    </row>
    <row r="236" spans="1:7">
      <c r="A236" s="317" t="s">
        <v>311</v>
      </c>
      <c r="B236" s="306" t="s">
        <v>2481</v>
      </c>
      <c r="C236" s="307">
        <v>0.15</v>
      </c>
      <c r="D236" s="307">
        <v>0.15</v>
      </c>
      <c r="E236" s="307">
        <v>0.15</v>
      </c>
      <c r="F236" s="307">
        <v>0.15</v>
      </c>
      <c r="G236" s="308">
        <v>0.15</v>
      </c>
    </row>
    <row r="237" spans="1:7">
      <c r="A237" s="317" t="s">
        <v>311</v>
      </c>
      <c r="B237" s="306" t="s">
        <v>2482</v>
      </c>
      <c r="C237" s="307">
        <v>0.15</v>
      </c>
      <c r="D237" s="307">
        <v>0.15</v>
      </c>
      <c r="E237" s="307">
        <v>0.15</v>
      </c>
      <c r="F237" s="307">
        <v>0.15</v>
      </c>
      <c r="G237" s="308">
        <v>0.15</v>
      </c>
    </row>
    <row r="238" spans="1:7">
      <c r="A238" s="317" t="s">
        <v>311</v>
      </c>
      <c r="B238" s="306" t="s">
        <v>2483</v>
      </c>
      <c r="C238" s="307">
        <v>0.14899999999999999</v>
      </c>
      <c r="D238" s="307">
        <v>0.14899999999999999</v>
      </c>
      <c r="E238" s="307">
        <v>0.15</v>
      </c>
      <c r="F238" s="307">
        <v>0.15</v>
      </c>
      <c r="G238" s="308">
        <v>0.15</v>
      </c>
    </row>
    <row r="239" spans="1:7">
      <c r="A239" s="317" t="s">
        <v>311</v>
      </c>
      <c r="B239" s="306" t="s">
        <v>2484</v>
      </c>
      <c r="C239" s="307">
        <v>0.15</v>
      </c>
      <c r="D239" s="307">
        <v>0.15</v>
      </c>
      <c r="E239" s="307">
        <v>0.15</v>
      </c>
      <c r="F239" s="307">
        <v>0.15</v>
      </c>
      <c r="G239" s="308">
        <v>0.15</v>
      </c>
    </row>
    <row r="240" spans="1:7">
      <c r="A240" s="317" t="s">
        <v>311</v>
      </c>
      <c r="B240" s="306" t="s">
        <v>2485</v>
      </c>
      <c r="C240" s="307">
        <v>0.15</v>
      </c>
      <c r="D240" s="307">
        <v>0.15</v>
      </c>
      <c r="E240" s="307">
        <v>0.15</v>
      </c>
      <c r="F240" s="307">
        <v>0.15</v>
      </c>
      <c r="G240" s="308">
        <v>0.15</v>
      </c>
    </row>
    <row r="241" spans="1:7">
      <c r="A241" s="317" t="s">
        <v>311</v>
      </c>
      <c r="B241" s="306" t="s">
        <v>2486</v>
      </c>
      <c r="C241" s="307">
        <v>0.14099999999999999</v>
      </c>
      <c r="D241" s="307">
        <v>0.14199999999999999</v>
      </c>
      <c r="E241" s="307">
        <v>0.14899999999999999</v>
      </c>
      <c r="F241" s="307">
        <v>0.15</v>
      </c>
      <c r="G241" s="308">
        <v>0.14399999999999999</v>
      </c>
    </row>
    <row r="242" spans="1:7">
      <c r="A242" s="317" t="s">
        <v>311</v>
      </c>
      <c r="B242" s="306" t="s">
        <v>2487</v>
      </c>
      <c r="C242" s="307">
        <v>0.14099999999999999</v>
      </c>
      <c r="D242" s="307">
        <v>0.14199999999999999</v>
      </c>
      <c r="E242" s="307">
        <v>0.14799999999999999</v>
      </c>
      <c r="F242" s="307">
        <v>0.127</v>
      </c>
      <c r="G242" s="308">
        <v>0.14399999999999999</v>
      </c>
    </row>
    <row r="243" spans="1:7">
      <c r="A243" s="317" t="s">
        <v>311</v>
      </c>
      <c r="B243" s="306" t="s">
        <v>2488</v>
      </c>
      <c r="C243" s="307">
        <v>0.14699999999999999</v>
      </c>
      <c r="D243" s="307">
        <v>0.14699999999999999</v>
      </c>
      <c r="E243" s="307">
        <v>0.15</v>
      </c>
      <c r="F243" s="307">
        <v>0.15</v>
      </c>
      <c r="G243" s="308">
        <v>0.14899999999999999</v>
      </c>
    </row>
    <row r="244" spans="1:7">
      <c r="A244" s="317" t="s">
        <v>311</v>
      </c>
      <c r="B244" s="306" t="s">
        <v>2489</v>
      </c>
      <c r="C244" s="307">
        <v>0.15</v>
      </c>
      <c r="D244" s="307">
        <v>0.15</v>
      </c>
      <c r="E244" s="307">
        <v>0.15</v>
      </c>
      <c r="F244" s="307">
        <v>0.15</v>
      </c>
      <c r="G244" s="308">
        <v>0.15</v>
      </c>
    </row>
    <row r="245" spans="1:7">
      <c r="A245" s="317" t="s">
        <v>311</v>
      </c>
      <c r="B245" s="306" t="s">
        <v>2490</v>
      </c>
      <c r="C245" s="307">
        <v>0.14199999999999999</v>
      </c>
      <c r="D245" s="307">
        <v>0.14199999999999999</v>
      </c>
      <c r="E245" s="307">
        <v>0.15</v>
      </c>
      <c r="F245" s="307">
        <v>0.15</v>
      </c>
      <c r="G245" s="308">
        <v>0.14499999999999999</v>
      </c>
    </row>
    <row r="246" spans="1:7">
      <c r="A246" s="317" t="s">
        <v>311</v>
      </c>
      <c r="B246" s="306" t="s">
        <v>2491</v>
      </c>
      <c r="C246" s="307">
        <v>0.14199999999999999</v>
      </c>
      <c r="D246" s="307">
        <v>0.14299999999999999</v>
      </c>
      <c r="E246" s="307">
        <v>0.15</v>
      </c>
      <c r="F246" s="307">
        <v>0.14199999999999999</v>
      </c>
      <c r="G246" s="308">
        <v>0.14399999999999999</v>
      </c>
    </row>
    <row r="247" spans="1:7">
      <c r="A247" s="317" t="s">
        <v>311</v>
      </c>
      <c r="B247" s="306" t="s">
        <v>2492</v>
      </c>
      <c r="C247" s="307">
        <v>0.14899999999999999</v>
      </c>
      <c r="D247" s="307">
        <v>0.14899999999999999</v>
      </c>
      <c r="E247" s="307">
        <v>0.15</v>
      </c>
      <c r="F247" s="307">
        <v>0.15</v>
      </c>
      <c r="G247" s="308">
        <v>0.15</v>
      </c>
    </row>
    <row r="248" spans="1:7">
      <c r="A248" s="317" t="s">
        <v>311</v>
      </c>
      <c r="B248" s="306" t="s">
        <v>2493</v>
      </c>
      <c r="C248" s="307">
        <v>0.14399999999999999</v>
      </c>
      <c r="D248" s="307">
        <v>0.14399999999999999</v>
      </c>
      <c r="E248" s="307">
        <v>0.14899999999999999</v>
      </c>
      <c r="F248" s="307">
        <v>0.14799999999999999</v>
      </c>
      <c r="G248" s="308">
        <v>0.14599999999999999</v>
      </c>
    </row>
    <row r="249" spans="1:7">
      <c r="A249" s="317" t="s">
        <v>311</v>
      </c>
      <c r="B249" s="306" t="s">
        <v>2494</v>
      </c>
      <c r="C249" s="307">
        <v>0.14000000000000001</v>
      </c>
      <c r="D249" s="307">
        <v>0.14000000000000001</v>
      </c>
      <c r="E249" s="307">
        <v>0.14699999999999999</v>
      </c>
      <c r="F249" s="307">
        <v>0.14899999999999999</v>
      </c>
      <c r="G249" s="308">
        <v>0.14199999999999999</v>
      </c>
    </row>
    <row r="250" spans="1:7">
      <c r="A250" s="317" t="s">
        <v>311</v>
      </c>
      <c r="B250" s="306" t="s">
        <v>2495</v>
      </c>
      <c r="C250" s="307">
        <v>0.14399999999999999</v>
      </c>
      <c r="D250" s="307">
        <v>0.14299999999999999</v>
      </c>
      <c r="E250" s="307">
        <v>0.14899999999999999</v>
      </c>
      <c r="F250" s="307">
        <v>0.15</v>
      </c>
      <c r="G250" s="308">
        <v>0.14599999999999999</v>
      </c>
    </row>
    <row r="251" spans="1:7">
      <c r="A251" s="317" t="s">
        <v>311</v>
      </c>
      <c r="B251" s="306" t="s">
        <v>2496</v>
      </c>
      <c r="C251" s="323"/>
      <c r="D251" s="318"/>
      <c r="E251" s="318"/>
      <c r="F251" s="307">
        <v>0.1</v>
      </c>
      <c r="G251" s="324"/>
    </row>
    <row r="252" spans="1:7">
      <c r="A252" s="317" t="s">
        <v>311</v>
      </c>
      <c r="B252" s="306" t="s">
        <v>2497</v>
      </c>
      <c r="C252" s="307">
        <v>0.14399999999999999</v>
      </c>
      <c r="D252" s="307">
        <v>0.14399999999999999</v>
      </c>
      <c r="E252" s="307">
        <v>0.15</v>
      </c>
      <c r="F252" s="307">
        <v>0.14899999999999999</v>
      </c>
      <c r="G252" s="308">
        <v>0.14599999999999999</v>
      </c>
    </row>
    <row r="253" spans="1:7">
      <c r="A253" s="317" t="s">
        <v>311</v>
      </c>
      <c r="B253" s="306" t="s">
        <v>2498</v>
      </c>
      <c r="C253" s="307">
        <v>0.14199999999999999</v>
      </c>
      <c r="D253" s="307">
        <v>0.14199999999999999</v>
      </c>
      <c r="E253" s="307">
        <v>0.14599999999999999</v>
      </c>
      <c r="F253" s="307">
        <v>0.14799999999999999</v>
      </c>
      <c r="G253" s="308">
        <v>0.14499999999999999</v>
      </c>
    </row>
    <row r="254" spans="1:7">
      <c r="A254" s="317" t="s">
        <v>311</v>
      </c>
      <c r="B254" s="306" t="s">
        <v>2499</v>
      </c>
      <c r="C254" s="307">
        <v>0.15</v>
      </c>
      <c r="D254" s="307">
        <v>0.15</v>
      </c>
      <c r="E254" s="307">
        <v>0.15</v>
      </c>
      <c r="F254" s="307">
        <v>0.15</v>
      </c>
      <c r="G254" s="308">
        <v>0.15</v>
      </c>
    </row>
    <row r="255" spans="1:7">
      <c r="A255" s="317" t="s">
        <v>311</v>
      </c>
      <c r="B255" s="306" t="s">
        <v>2500</v>
      </c>
      <c r="C255" s="307">
        <v>0.14299999999999999</v>
      </c>
      <c r="D255" s="307">
        <v>0.14299999999999999</v>
      </c>
      <c r="E255" s="307">
        <v>0.15</v>
      </c>
      <c r="F255" s="307">
        <v>0.15</v>
      </c>
      <c r="G255" s="308">
        <v>0.14499999999999999</v>
      </c>
    </row>
    <row r="256" spans="1:7">
      <c r="A256" s="317" t="s">
        <v>311</v>
      </c>
      <c r="B256" s="306" t="s">
        <v>2501</v>
      </c>
      <c r="C256" s="307">
        <v>0.15</v>
      </c>
      <c r="D256" s="307">
        <v>0.15</v>
      </c>
      <c r="E256" s="307">
        <v>0.15</v>
      </c>
      <c r="F256" s="307">
        <v>0.14599999999999999</v>
      </c>
      <c r="G256" s="308">
        <v>0.15</v>
      </c>
    </row>
    <row r="257" spans="1:7">
      <c r="A257" s="317" t="s">
        <v>311</v>
      </c>
      <c r="B257" s="306" t="s">
        <v>2502</v>
      </c>
      <c r="C257" s="307">
        <v>0.14199999999999999</v>
      </c>
      <c r="D257" s="307">
        <v>0.14299999999999999</v>
      </c>
      <c r="E257" s="307">
        <v>0.14799999999999999</v>
      </c>
      <c r="F257" s="307">
        <v>0.15</v>
      </c>
      <c r="G257" s="308">
        <v>0.14499999999999999</v>
      </c>
    </row>
    <row r="258" spans="1:7">
      <c r="A258" s="317" t="s">
        <v>311</v>
      </c>
      <c r="B258" s="306" t="s">
        <v>2503</v>
      </c>
      <c r="C258" s="307">
        <v>0.14299999999999999</v>
      </c>
      <c r="D258" s="307">
        <v>0.14299999999999999</v>
      </c>
      <c r="E258" s="307">
        <v>0.15</v>
      </c>
      <c r="F258" s="307">
        <v>0.14799999999999999</v>
      </c>
      <c r="G258" s="308">
        <v>0.14599999999999999</v>
      </c>
    </row>
    <row r="259" spans="1:7">
      <c r="A259" s="317" t="s">
        <v>311</v>
      </c>
      <c r="B259" s="306" t="s">
        <v>2504</v>
      </c>
      <c r="C259" s="307">
        <v>0.14399999999999999</v>
      </c>
      <c r="D259" s="307">
        <v>0.14399999999999999</v>
      </c>
      <c r="E259" s="307">
        <v>0.14899999999999999</v>
      </c>
      <c r="F259" s="307">
        <v>0.14699999999999999</v>
      </c>
      <c r="G259" s="308">
        <v>0.14599999999999999</v>
      </c>
    </row>
    <row r="260" spans="1:7">
      <c r="A260" s="317" t="s">
        <v>311</v>
      </c>
      <c r="B260" s="306" t="s">
        <v>2505</v>
      </c>
      <c r="C260" s="307">
        <v>0.109</v>
      </c>
      <c r="D260" s="307">
        <v>0.111</v>
      </c>
      <c r="E260" s="307">
        <v>0.13100000000000001</v>
      </c>
      <c r="F260" s="307">
        <v>0.126</v>
      </c>
      <c r="G260" s="308">
        <v>0.11899999999999999</v>
      </c>
    </row>
    <row r="261" spans="1:7">
      <c r="A261" s="317" t="s">
        <v>311</v>
      </c>
      <c r="B261" s="306" t="s">
        <v>2506</v>
      </c>
      <c r="C261" s="307">
        <v>0.1</v>
      </c>
      <c r="D261" s="307">
        <v>0.1</v>
      </c>
      <c r="E261" s="307">
        <v>0.11799999999999999</v>
      </c>
      <c r="F261" s="307">
        <v>0.108</v>
      </c>
      <c r="G261" s="308">
        <v>0.107</v>
      </c>
    </row>
    <row r="262" spans="1:7">
      <c r="A262" s="317" t="s">
        <v>311</v>
      </c>
      <c r="B262" s="306" t="s">
        <v>2507</v>
      </c>
      <c r="C262" s="307">
        <v>0.1</v>
      </c>
      <c r="D262" s="307">
        <v>0.1</v>
      </c>
      <c r="E262" s="307">
        <v>0.1</v>
      </c>
      <c r="F262" s="307">
        <v>0.14099999999999999</v>
      </c>
      <c r="G262" s="308">
        <v>0.1</v>
      </c>
    </row>
    <row r="263" spans="1:7">
      <c r="A263" s="317" t="s">
        <v>311</v>
      </c>
      <c r="B263" s="306" t="s">
        <v>2508</v>
      </c>
      <c r="C263" s="307">
        <v>0.14799999999999999</v>
      </c>
      <c r="D263" s="307">
        <v>0.14799999999999999</v>
      </c>
      <c r="E263" s="307">
        <v>0.15</v>
      </c>
      <c r="F263" s="307">
        <v>0.14699999999999999</v>
      </c>
      <c r="G263" s="308">
        <v>0.15</v>
      </c>
    </row>
    <row r="264" spans="1:7">
      <c r="A264" s="317" t="s">
        <v>311</v>
      </c>
      <c r="B264" s="306" t="s">
        <v>2509</v>
      </c>
      <c r="C264" s="307">
        <v>0.14299999999999999</v>
      </c>
      <c r="D264" s="307">
        <v>0.14299999999999999</v>
      </c>
      <c r="E264" s="307">
        <v>0.15</v>
      </c>
      <c r="F264" s="307">
        <v>0.14899999999999999</v>
      </c>
      <c r="G264" s="308">
        <v>0.14599999999999999</v>
      </c>
    </row>
    <row r="265" spans="1:7">
      <c r="A265" s="317" t="s">
        <v>311</v>
      </c>
      <c r="B265" s="306" t="s">
        <v>2510</v>
      </c>
      <c r="C265" s="318"/>
      <c r="D265" s="318"/>
      <c r="E265" s="318"/>
      <c r="F265" s="307">
        <v>0.05</v>
      </c>
      <c r="G265" s="324"/>
    </row>
    <row r="266" spans="1:7">
      <c r="A266" s="317" t="s">
        <v>311</v>
      </c>
      <c r="B266" s="306" t="s">
        <v>2511</v>
      </c>
      <c r="C266" s="318"/>
      <c r="D266" s="318"/>
      <c r="E266" s="318"/>
      <c r="F266" s="307">
        <v>0.05</v>
      </c>
      <c r="G266" s="324"/>
    </row>
    <row r="267" spans="1:7">
      <c r="A267" s="317" t="s">
        <v>311</v>
      </c>
      <c r="B267" s="306" t="s">
        <v>2512</v>
      </c>
      <c r="C267" s="318"/>
      <c r="D267" s="318"/>
      <c r="E267" s="318"/>
      <c r="F267" s="307">
        <v>0.05</v>
      </c>
      <c r="G267" s="324"/>
    </row>
    <row r="268" spans="1:7">
      <c r="A268" s="317" t="s">
        <v>311</v>
      </c>
      <c r="B268" s="306" t="s">
        <v>2513</v>
      </c>
      <c r="C268" s="318"/>
      <c r="D268" s="318"/>
      <c r="E268" s="318"/>
      <c r="F268" s="307">
        <v>0.05</v>
      </c>
      <c r="G268" s="324"/>
    </row>
    <row r="269" spans="1:7">
      <c r="A269" s="317" t="s">
        <v>311</v>
      </c>
      <c r="B269" s="306" t="s">
        <v>2514</v>
      </c>
      <c r="C269" s="318"/>
      <c r="D269" s="318"/>
      <c r="E269" s="318"/>
      <c r="F269" s="307">
        <v>0.05</v>
      </c>
      <c r="G269" s="324"/>
    </row>
    <row r="270" spans="1:7">
      <c r="A270" s="317" t="s">
        <v>311</v>
      </c>
      <c r="B270" s="306" t="s">
        <v>2515</v>
      </c>
      <c r="C270" s="318"/>
      <c r="D270" s="318"/>
      <c r="E270" s="318"/>
      <c r="F270" s="307">
        <v>0.05</v>
      </c>
      <c r="G270" s="324"/>
    </row>
    <row r="271" spans="1:7">
      <c r="A271" s="317" t="s">
        <v>311</v>
      </c>
      <c r="B271" s="306" t="s">
        <v>2516</v>
      </c>
      <c r="C271" s="318"/>
      <c r="D271" s="318"/>
      <c r="E271" s="318"/>
      <c r="F271" s="307">
        <v>0.05</v>
      </c>
      <c r="G271" s="324"/>
    </row>
    <row r="272" spans="1:7">
      <c r="A272" s="317" t="s">
        <v>311</v>
      </c>
      <c r="B272" s="306" t="s">
        <v>2517</v>
      </c>
      <c r="C272" s="318"/>
      <c r="D272" s="318"/>
      <c r="E272" s="318"/>
      <c r="F272" s="307">
        <v>0.05</v>
      </c>
      <c r="G272" s="324"/>
    </row>
    <row r="273" spans="1:7">
      <c r="A273" s="317" t="s">
        <v>311</v>
      </c>
      <c r="B273" s="306" t="s">
        <v>2518</v>
      </c>
      <c r="C273" s="318"/>
      <c r="D273" s="318"/>
      <c r="E273" s="318"/>
      <c r="F273" s="307">
        <v>0.05</v>
      </c>
      <c r="G273" s="324"/>
    </row>
    <row r="274" spans="1:7">
      <c r="A274" s="317" t="s">
        <v>311</v>
      </c>
      <c r="B274" s="306" t="s">
        <v>2519</v>
      </c>
      <c r="C274" s="318"/>
      <c r="D274" s="318"/>
      <c r="E274" s="318"/>
      <c r="F274" s="307">
        <v>0.05</v>
      </c>
      <c r="G274" s="324"/>
    </row>
    <row r="275" spans="1:7">
      <c r="A275" s="317" t="s">
        <v>311</v>
      </c>
      <c r="B275" s="306" t="s">
        <v>2520</v>
      </c>
      <c r="C275" s="318"/>
      <c r="D275" s="318"/>
      <c r="E275" s="318"/>
      <c r="F275" s="307">
        <v>0.05</v>
      </c>
      <c r="G275" s="324"/>
    </row>
    <row r="276" spans="1:7">
      <c r="A276" s="320" t="s">
        <v>311</v>
      </c>
      <c r="B276" s="310" t="s">
        <v>2521</v>
      </c>
      <c r="C276" s="312"/>
      <c r="D276" s="312"/>
      <c r="E276" s="312"/>
      <c r="F276" s="311">
        <v>0.05</v>
      </c>
      <c r="G276" s="325"/>
    </row>
    <row r="277" spans="1:7">
      <c r="A277" s="316" t="s">
        <v>318</v>
      </c>
      <c r="B277" s="302" t="s">
        <v>2522</v>
      </c>
      <c r="C277" s="303">
        <v>0.15</v>
      </c>
      <c r="D277" s="303">
        <v>0.15</v>
      </c>
      <c r="E277" s="303">
        <v>0.15</v>
      </c>
      <c r="F277" s="303">
        <v>0.15</v>
      </c>
      <c r="G277" s="304">
        <v>0.15</v>
      </c>
    </row>
    <row r="278" spans="1:7">
      <c r="A278" s="317" t="s">
        <v>318</v>
      </c>
      <c r="B278" s="306" t="s">
        <v>2523</v>
      </c>
      <c r="C278" s="307">
        <v>0.15</v>
      </c>
      <c r="D278" s="307">
        <v>0.15</v>
      </c>
      <c r="E278" s="307">
        <v>0.15</v>
      </c>
      <c r="F278" s="307">
        <v>0.15</v>
      </c>
      <c r="G278" s="308">
        <v>0.15</v>
      </c>
    </row>
    <row r="279" spans="1:7">
      <c r="A279" s="317" t="s">
        <v>318</v>
      </c>
      <c r="B279" s="306" t="s">
        <v>2524</v>
      </c>
      <c r="C279" s="307">
        <v>0.15</v>
      </c>
      <c r="D279" s="307">
        <v>0.15</v>
      </c>
      <c r="E279" s="307">
        <v>0.15</v>
      </c>
      <c r="F279" s="307">
        <v>0.15</v>
      </c>
      <c r="G279" s="308">
        <v>0.15</v>
      </c>
    </row>
    <row r="280" spans="1:7">
      <c r="A280" s="317" t="s">
        <v>318</v>
      </c>
      <c r="B280" s="306" t="s">
        <v>2525</v>
      </c>
      <c r="C280" s="307">
        <v>0.15</v>
      </c>
      <c r="D280" s="307">
        <v>0.15</v>
      </c>
      <c r="E280" s="307">
        <v>0.15</v>
      </c>
      <c r="F280" s="307">
        <v>0.15</v>
      </c>
      <c r="G280" s="308">
        <v>0.15</v>
      </c>
    </row>
    <row r="281" spans="1:7">
      <c r="A281" s="317" t="s">
        <v>318</v>
      </c>
      <c r="B281" s="306" t="s">
        <v>2526</v>
      </c>
      <c r="C281" s="307">
        <v>0.15</v>
      </c>
      <c r="D281" s="307">
        <v>0.15</v>
      </c>
      <c r="E281" s="307">
        <v>0.15</v>
      </c>
      <c r="F281" s="307">
        <v>0.15</v>
      </c>
      <c r="G281" s="308">
        <v>0.15</v>
      </c>
    </row>
    <row r="282" spans="1:7">
      <c r="A282" s="317" t="s">
        <v>318</v>
      </c>
      <c r="B282" s="306" t="s">
        <v>2527</v>
      </c>
      <c r="C282" s="307">
        <v>0.15</v>
      </c>
      <c r="D282" s="307">
        <v>0.15</v>
      </c>
      <c r="E282" s="307">
        <v>0.15</v>
      </c>
      <c r="F282" s="307">
        <v>0.14499999999999999</v>
      </c>
      <c r="G282" s="308">
        <v>0.15</v>
      </c>
    </row>
    <row r="283" spans="1:7">
      <c r="A283" s="317" t="s">
        <v>318</v>
      </c>
      <c r="B283" s="306" t="s">
        <v>2528</v>
      </c>
      <c r="C283" s="307">
        <v>0.15</v>
      </c>
      <c r="D283" s="307">
        <v>0.15</v>
      </c>
      <c r="E283" s="307">
        <v>0.15</v>
      </c>
      <c r="F283" s="307">
        <v>0.14199999999999999</v>
      </c>
      <c r="G283" s="308">
        <v>0.15</v>
      </c>
    </row>
    <row r="284" spans="1:7">
      <c r="A284" s="317" t="s">
        <v>318</v>
      </c>
      <c r="B284" s="306" t="s">
        <v>2529</v>
      </c>
      <c r="C284" s="307">
        <v>0.15</v>
      </c>
      <c r="D284" s="307">
        <v>0.15</v>
      </c>
      <c r="E284" s="307">
        <v>0.15</v>
      </c>
      <c r="F284" s="307">
        <v>0.15</v>
      </c>
      <c r="G284" s="308">
        <v>0.15</v>
      </c>
    </row>
    <row r="285" spans="1:7">
      <c r="A285" s="317" t="s">
        <v>318</v>
      </c>
      <c r="B285" s="306" t="s">
        <v>2530</v>
      </c>
      <c r="C285" s="307">
        <v>0.15</v>
      </c>
      <c r="D285" s="307">
        <v>0.15</v>
      </c>
      <c r="E285" s="307">
        <v>0.15</v>
      </c>
      <c r="F285" s="307">
        <v>0.15</v>
      </c>
      <c r="G285" s="308">
        <v>0.15</v>
      </c>
    </row>
    <row r="286" spans="1:7">
      <c r="A286" s="317" t="s">
        <v>318</v>
      </c>
      <c r="B286" s="306" t="s">
        <v>2531</v>
      </c>
      <c r="C286" s="307">
        <v>0.14499999999999999</v>
      </c>
      <c r="D286" s="307">
        <v>0.14499999999999999</v>
      </c>
      <c r="E286" s="307">
        <v>0.15</v>
      </c>
      <c r="F286" s="307">
        <v>0.14099999999999999</v>
      </c>
      <c r="G286" s="308">
        <v>0.14499999999999999</v>
      </c>
    </row>
    <row r="287" spans="1:7">
      <c r="A287" s="317" t="s">
        <v>318</v>
      </c>
      <c r="B287" s="306" t="s">
        <v>2532</v>
      </c>
      <c r="C287" s="307">
        <v>0.11</v>
      </c>
      <c r="D287" s="307">
        <v>0.111</v>
      </c>
      <c r="E287" s="307">
        <v>0.14099999999999999</v>
      </c>
      <c r="F287" s="307">
        <v>0.11</v>
      </c>
      <c r="G287" s="308">
        <v>0.12</v>
      </c>
    </row>
    <row r="288" spans="1:7">
      <c r="A288" s="317" t="s">
        <v>318</v>
      </c>
      <c r="B288" s="306" t="s">
        <v>2533</v>
      </c>
      <c r="C288" s="307">
        <v>0.14199999999999999</v>
      </c>
      <c r="D288" s="307">
        <v>0.14299999999999999</v>
      </c>
      <c r="E288" s="307">
        <v>0.15</v>
      </c>
      <c r="F288" s="307">
        <v>0.14199999999999999</v>
      </c>
      <c r="G288" s="308">
        <v>0.14399999999999999</v>
      </c>
    </row>
    <row r="289" spans="1:7">
      <c r="A289" s="317" t="s">
        <v>318</v>
      </c>
      <c r="B289" s="306" t="s">
        <v>2534</v>
      </c>
      <c r="C289" s="307">
        <v>0.14299999999999999</v>
      </c>
      <c r="D289" s="307">
        <v>0.14299999999999999</v>
      </c>
      <c r="E289" s="307">
        <v>0.14799999999999999</v>
      </c>
      <c r="F289" s="307">
        <v>0.14399999999999999</v>
      </c>
      <c r="G289" s="308">
        <v>0.14399999999999999</v>
      </c>
    </row>
    <row r="290" spans="1:7">
      <c r="A290" s="317" t="s">
        <v>318</v>
      </c>
      <c r="B290" s="306" t="s">
        <v>2535</v>
      </c>
      <c r="C290" s="307">
        <v>0.14799999999999999</v>
      </c>
      <c r="D290" s="307">
        <v>0.14899999999999999</v>
      </c>
      <c r="E290" s="307">
        <v>0.15</v>
      </c>
      <c r="F290" s="307">
        <v>0.127</v>
      </c>
      <c r="G290" s="308">
        <v>0.15</v>
      </c>
    </row>
    <row r="291" spans="1:7">
      <c r="A291" s="317" t="s">
        <v>318</v>
      </c>
      <c r="B291" s="306" t="s">
        <v>2536</v>
      </c>
      <c r="C291" s="307">
        <v>0.15</v>
      </c>
      <c r="D291" s="307">
        <v>0.15</v>
      </c>
      <c r="E291" s="307">
        <v>0.15</v>
      </c>
      <c r="F291" s="307">
        <v>0.14899999999999999</v>
      </c>
      <c r="G291" s="308">
        <v>0.15</v>
      </c>
    </row>
    <row r="292" spans="1:7">
      <c r="A292" s="317" t="s">
        <v>318</v>
      </c>
      <c r="B292" s="306" t="s">
        <v>2537</v>
      </c>
      <c r="C292" s="307">
        <v>0.15</v>
      </c>
      <c r="D292" s="307">
        <v>0.15</v>
      </c>
      <c r="E292" s="307">
        <v>0.15</v>
      </c>
      <c r="F292" s="307">
        <v>0.14399999999999999</v>
      </c>
      <c r="G292" s="308">
        <v>0.15</v>
      </c>
    </row>
    <row r="293" spans="1:7">
      <c r="A293" s="317" t="s">
        <v>318</v>
      </c>
      <c r="B293" s="306" t="s">
        <v>2538</v>
      </c>
      <c r="C293" s="307">
        <v>0.15</v>
      </c>
      <c r="D293" s="307">
        <v>0.15</v>
      </c>
      <c r="E293" s="307">
        <v>0.15</v>
      </c>
      <c r="F293" s="307">
        <v>0.14499999999999999</v>
      </c>
      <c r="G293" s="308">
        <v>0.15</v>
      </c>
    </row>
    <row r="294" spans="1:7">
      <c r="A294" s="317" t="s">
        <v>318</v>
      </c>
      <c r="B294" s="306" t="s">
        <v>2539</v>
      </c>
      <c r="C294" s="307">
        <v>0.15</v>
      </c>
      <c r="D294" s="307">
        <v>0.15</v>
      </c>
      <c r="E294" s="307">
        <v>0.15</v>
      </c>
      <c r="F294" s="307">
        <v>0.14899999999999999</v>
      </c>
      <c r="G294" s="308">
        <v>0.15</v>
      </c>
    </row>
    <row r="295" spans="1:7">
      <c r="A295" s="317" t="s">
        <v>318</v>
      </c>
      <c r="B295" s="306" t="s">
        <v>2540</v>
      </c>
      <c r="C295" s="307">
        <v>0.15</v>
      </c>
      <c r="D295" s="307">
        <v>0.15</v>
      </c>
      <c r="E295" s="307">
        <v>0.15</v>
      </c>
      <c r="F295" s="307">
        <v>0.14799999999999999</v>
      </c>
      <c r="G295" s="308">
        <v>0.15</v>
      </c>
    </row>
    <row r="296" spans="1:7">
      <c r="A296" s="317" t="s">
        <v>318</v>
      </c>
      <c r="B296" s="306" t="s">
        <v>2541</v>
      </c>
      <c r="C296" s="307">
        <v>0.15</v>
      </c>
      <c r="D296" s="307">
        <v>0.15</v>
      </c>
      <c r="E296" s="307">
        <v>0.15</v>
      </c>
      <c r="F296" s="307">
        <v>0.14399999999999999</v>
      </c>
      <c r="G296" s="308">
        <v>0.15</v>
      </c>
    </row>
    <row r="297" spans="1:7">
      <c r="A297" s="317" t="s">
        <v>318</v>
      </c>
      <c r="B297" s="306" t="s">
        <v>2542</v>
      </c>
      <c r="C297" s="307">
        <v>0.15</v>
      </c>
      <c r="D297" s="307">
        <v>0.15</v>
      </c>
      <c r="E297" s="307">
        <v>0.15</v>
      </c>
      <c r="F297" s="307">
        <v>0.14499999999999999</v>
      </c>
      <c r="G297" s="308">
        <v>0.15</v>
      </c>
    </row>
    <row r="298" spans="1:7">
      <c r="A298" s="317" t="s">
        <v>318</v>
      </c>
      <c r="B298" s="306" t="s">
        <v>2543</v>
      </c>
      <c r="C298" s="307">
        <v>0.15</v>
      </c>
      <c r="D298" s="307">
        <v>0.15</v>
      </c>
      <c r="E298" s="307">
        <v>0.15</v>
      </c>
      <c r="F298" s="307">
        <v>0.15</v>
      </c>
      <c r="G298" s="308">
        <v>0.15</v>
      </c>
    </row>
    <row r="299" spans="1:7">
      <c r="A299" s="317" t="s">
        <v>318</v>
      </c>
      <c r="B299" s="326" t="s">
        <v>2544</v>
      </c>
      <c r="C299" s="307">
        <v>0.15</v>
      </c>
      <c r="D299" s="307">
        <v>0.15</v>
      </c>
      <c r="E299" s="307">
        <v>0.15</v>
      </c>
      <c r="F299" s="307">
        <v>0.14499999999999999</v>
      </c>
      <c r="G299" s="308">
        <v>0.15</v>
      </c>
    </row>
    <row r="300" spans="1:7">
      <c r="A300" s="317" t="s">
        <v>318</v>
      </c>
      <c r="B300" s="326" t="s">
        <v>2545</v>
      </c>
      <c r="C300" s="307">
        <v>0.15</v>
      </c>
      <c r="D300" s="307">
        <v>0.15</v>
      </c>
      <c r="E300" s="307">
        <v>0.15</v>
      </c>
      <c r="F300" s="307">
        <v>0.14599999999999999</v>
      </c>
      <c r="G300" s="308">
        <v>0.15</v>
      </c>
    </row>
    <row r="301" spans="1:7">
      <c r="A301" s="317" t="s">
        <v>318</v>
      </c>
      <c r="B301" s="326" t="s">
        <v>2546</v>
      </c>
      <c r="C301" s="307">
        <v>0.126</v>
      </c>
      <c r="D301" s="307">
        <v>0.124</v>
      </c>
      <c r="E301" s="307">
        <v>0.14099999999999999</v>
      </c>
      <c r="F301" s="307">
        <v>0.14399999999999999</v>
      </c>
      <c r="G301" s="308">
        <v>0.13</v>
      </c>
    </row>
    <row r="302" spans="1:7">
      <c r="A302" s="317" t="s">
        <v>318</v>
      </c>
      <c r="B302" s="306" t="s">
        <v>2547</v>
      </c>
      <c r="C302" s="307">
        <v>0.15</v>
      </c>
      <c r="D302" s="307">
        <v>0.15</v>
      </c>
      <c r="E302" s="307">
        <v>0.15</v>
      </c>
      <c r="F302" s="307">
        <v>0.14699999999999999</v>
      </c>
      <c r="G302" s="308">
        <v>0.15</v>
      </c>
    </row>
    <row r="303" spans="1:7">
      <c r="A303" s="317" t="s">
        <v>318</v>
      </c>
      <c r="B303" s="306" t="s">
        <v>2548</v>
      </c>
      <c r="C303" s="307">
        <v>0.15</v>
      </c>
      <c r="D303" s="307">
        <v>0.15</v>
      </c>
      <c r="E303" s="307">
        <v>0.15</v>
      </c>
      <c r="F303" s="307">
        <v>0.14199999999999999</v>
      </c>
      <c r="G303" s="308">
        <v>0.15</v>
      </c>
    </row>
    <row r="304" spans="1:7">
      <c r="A304" s="317" t="s">
        <v>318</v>
      </c>
      <c r="B304" s="306" t="s">
        <v>2549</v>
      </c>
      <c r="C304" s="307">
        <v>0.15</v>
      </c>
      <c r="D304" s="307">
        <v>0.15</v>
      </c>
      <c r="E304" s="307">
        <v>0.15</v>
      </c>
      <c r="F304" s="307">
        <v>0.14499999999999999</v>
      </c>
      <c r="G304" s="308">
        <v>0.15</v>
      </c>
    </row>
    <row r="305" spans="1:7">
      <c r="A305" s="317" t="s">
        <v>318</v>
      </c>
      <c r="B305" s="306" t="s">
        <v>2550</v>
      </c>
      <c r="C305" s="307">
        <v>0.15</v>
      </c>
      <c r="D305" s="307">
        <v>0.15</v>
      </c>
      <c r="E305" s="307">
        <v>0.15</v>
      </c>
      <c r="F305" s="307">
        <v>0.111</v>
      </c>
      <c r="G305" s="308">
        <v>0.15</v>
      </c>
    </row>
    <row r="306" spans="1:7">
      <c r="A306" s="317" t="s">
        <v>318</v>
      </c>
      <c r="B306" s="306" t="s">
        <v>2551</v>
      </c>
      <c r="C306" s="307">
        <v>0.15</v>
      </c>
      <c r="D306" s="307">
        <v>0.15</v>
      </c>
      <c r="E306" s="307">
        <v>0.15</v>
      </c>
      <c r="F306" s="307">
        <v>0.126</v>
      </c>
      <c r="G306" s="308">
        <v>0.15</v>
      </c>
    </row>
    <row r="307" spans="1:7">
      <c r="A307" s="317" t="s">
        <v>318</v>
      </c>
      <c r="B307" s="306" t="s">
        <v>2552</v>
      </c>
      <c r="C307" s="307">
        <v>0.15</v>
      </c>
      <c r="D307" s="307">
        <v>0.15</v>
      </c>
      <c r="E307" s="307">
        <v>0.15</v>
      </c>
      <c r="F307" s="307">
        <v>0.12</v>
      </c>
      <c r="G307" s="308">
        <v>0.15</v>
      </c>
    </row>
    <row r="308" spans="1:7">
      <c r="A308" s="317" t="s">
        <v>318</v>
      </c>
      <c r="B308" s="306" t="s">
        <v>2553</v>
      </c>
      <c r="C308" s="307">
        <v>0.15</v>
      </c>
      <c r="D308" s="307">
        <v>0.15</v>
      </c>
      <c r="E308" s="307">
        <v>0.15</v>
      </c>
      <c r="F308" s="307">
        <v>0.13</v>
      </c>
      <c r="G308" s="308">
        <v>0.15</v>
      </c>
    </row>
    <row r="309" spans="1:7">
      <c r="A309" s="317" t="s">
        <v>318</v>
      </c>
      <c r="B309" s="306" t="s">
        <v>2554</v>
      </c>
      <c r="C309" s="307">
        <v>0.15</v>
      </c>
      <c r="D309" s="307">
        <v>0.15</v>
      </c>
      <c r="E309" s="307">
        <v>0.15</v>
      </c>
      <c r="F309" s="307">
        <v>0.14099999999999999</v>
      </c>
      <c r="G309" s="308">
        <v>0.15</v>
      </c>
    </row>
    <row r="310" spans="1:7">
      <c r="A310" s="317" t="s">
        <v>318</v>
      </c>
      <c r="B310" s="306" t="s">
        <v>2555</v>
      </c>
      <c r="C310" s="307">
        <v>0.15</v>
      </c>
      <c r="D310" s="307">
        <v>0.15</v>
      </c>
      <c r="E310" s="307">
        <v>0.15</v>
      </c>
      <c r="F310" s="307">
        <v>0.15</v>
      </c>
      <c r="G310" s="308">
        <v>0.15</v>
      </c>
    </row>
    <row r="311" spans="1:7">
      <c r="A311" s="317" t="s">
        <v>318</v>
      </c>
      <c r="B311" s="306" t="s">
        <v>2556</v>
      </c>
      <c r="C311" s="307">
        <v>0.13200000000000001</v>
      </c>
      <c r="D311" s="307">
        <v>0.13300000000000001</v>
      </c>
      <c r="E311" s="307">
        <v>0.14499999999999999</v>
      </c>
      <c r="F311" s="307">
        <v>0.14199999999999999</v>
      </c>
      <c r="G311" s="308">
        <v>0.14000000000000001</v>
      </c>
    </row>
    <row r="312" spans="1:7">
      <c r="A312" s="317" t="s">
        <v>318</v>
      </c>
      <c r="B312" s="306" t="s">
        <v>2557</v>
      </c>
      <c r="C312" s="307">
        <v>0.13800000000000001</v>
      </c>
      <c r="D312" s="307">
        <v>0.14000000000000001</v>
      </c>
      <c r="E312" s="307">
        <v>0.14599999999999999</v>
      </c>
      <c r="F312" s="307">
        <v>0.14899999999999999</v>
      </c>
      <c r="G312" s="308">
        <v>0.14199999999999999</v>
      </c>
    </row>
    <row r="313" spans="1:7">
      <c r="A313" s="317" t="s">
        <v>318</v>
      </c>
      <c r="B313" s="306" t="s">
        <v>2558</v>
      </c>
      <c r="C313" s="307">
        <v>0.125</v>
      </c>
      <c r="D313" s="307">
        <v>0.127</v>
      </c>
      <c r="E313" s="307">
        <v>0.14399999999999999</v>
      </c>
      <c r="F313" s="307">
        <v>0.115</v>
      </c>
      <c r="G313" s="308">
        <v>0.13600000000000001</v>
      </c>
    </row>
    <row r="314" spans="1:7">
      <c r="A314" s="317" t="s">
        <v>318</v>
      </c>
      <c r="B314" s="306" t="s">
        <v>2559</v>
      </c>
      <c r="C314" s="323"/>
      <c r="D314" s="323"/>
      <c r="E314" s="323"/>
      <c r="F314" s="307">
        <v>0.05</v>
      </c>
      <c r="G314" s="324"/>
    </row>
    <row r="315" spans="1:7">
      <c r="A315" s="317" t="s">
        <v>318</v>
      </c>
      <c r="B315" s="306" t="s">
        <v>2560</v>
      </c>
      <c r="C315" s="323"/>
      <c r="D315" s="323"/>
      <c r="E315" s="323"/>
      <c r="F315" s="307">
        <v>0.05</v>
      </c>
      <c r="G315" s="324"/>
    </row>
    <row r="316" spans="1:7">
      <c r="A316" s="317" t="s">
        <v>318</v>
      </c>
      <c r="B316" s="306" t="s">
        <v>2561</v>
      </c>
      <c r="C316" s="318"/>
      <c r="D316" s="318"/>
      <c r="E316" s="318"/>
      <c r="F316" s="307">
        <v>0.05</v>
      </c>
      <c r="G316" s="324"/>
    </row>
    <row r="317" spans="1:7">
      <c r="A317" s="317" t="s">
        <v>318</v>
      </c>
      <c r="B317" s="306" t="s">
        <v>2562</v>
      </c>
      <c r="C317" s="318"/>
      <c r="D317" s="318"/>
      <c r="E317" s="318"/>
      <c r="F317" s="307">
        <v>0.05</v>
      </c>
      <c r="G317" s="324"/>
    </row>
    <row r="318" spans="1:7">
      <c r="A318" s="317" t="s">
        <v>318</v>
      </c>
      <c r="B318" s="306" t="s">
        <v>2563</v>
      </c>
      <c r="C318" s="318"/>
      <c r="D318" s="318"/>
      <c r="E318" s="318"/>
      <c r="F318" s="307">
        <v>0.05</v>
      </c>
      <c r="G318" s="324"/>
    </row>
    <row r="319" spans="1:7">
      <c r="A319" s="317" t="s">
        <v>318</v>
      </c>
      <c r="B319" s="306" t="s">
        <v>2564</v>
      </c>
      <c r="C319" s="318"/>
      <c r="D319" s="318"/>
      <c r="E319" s="318"/>
      <c r="F319" s="307">
        <v>0.05</v>
      </c>
      <c r="G319" s="324"/>
    </row>
    <row r="320" spans="1:7">
      <c r="A320" s="317" t="s">
        <v>318</v>
      </c>
      <c r="B320" s="306" t="s">
        <v>2565</v>
      </c>
      <c r="C320" s="318"/>
      <c r="D320" s="318"/>
      <c r="E320" s="318"/>
      <c r="F320" s="307">
        <v>0.05</v>
      </c>
      <c r="G320" s="324"/>
    </row>
    <row r="321" spans="1:7">
      <c r="A321" s="317" t="s">
        <v>318</v>
      </c>
      <c r="B321" s="306" t="s">
        <v>2566</v>
      </c>
      <c r="C321" s="318"/>
      <c r="D321" s="318"/>
      <c r="E321" s="318"/>
      <c r="F321" s="307">
        <v>0.05</v>
      </c>
      <c r="G321" s="324"/>
    </row>
    <row r="322" spans="1:7">
      <c r="A322" s="317" t="s">
        <v>318</v>
      </c>
      <c r="B322" s="306" t="s">
        <v>2567</v>
      </c>
      <c r="C322" s="318"/>
      <c r="D322" s="318"/>
      <c r="E322" s="318"/>
      <c r="F322" s="307">
        <v>0.05</v>
      </c>
      <c r="G322" s="324"/>
    </row>
    <row r="323" spans="1:7">
      <c r="A323" s="317" t="s">
        <v>318</v>
      </c>
      <c r="B323" s="306" t="s">
        <v>2568</v>
      </c>
      <c r="C323" s="318"/>
      <c r="D323" s="318"/>
      <c r="E323" s="318"/>
      <c r="F323" s="307">
        <v>0.05</v>
      </c>
      <c r="G323" s="324"/>
    </row>
    <row r="324" spans="1:7">
      <c r="A324" s="317" t="s">
        <v>318</v>
      </c>
      <c r="B324" s="306" t="s">
        <v>2569</v>
      </c>
      <c r="C324" s="318"/>
      <c r="D324" s="318"/>
      <c r="E324" s="318"/>
      <c r="F324" s="307">
        <v>0.05</v>
      </c>
      <c r="G324" s="324"/>
    </row>
    <row r="325" spans="1:7">
      <c r="A325" s="317" t="s">
        <v>318</v>
      </c>
      <c r="B325" s="306" t="s">
        <v>2570</v>
      </c>
      <c r="C325" s="318"/>
      <c r="D325" s="318"/>
      <c r="E325" s="318"/>
      <c r="F325" s="307">
        <v>0.05</v>
      </c>
      <c r="G325" s="324"/>
    </row>
    <row r="326" spans="1:7">
      <c r="A326" s="320" t="s">
        <v>318</v>
      </c>
      <c r="B326" s="310" t="s">
        <v>2571</v>
      </c>
      <c r="C326" s="312"/>
      <c r="D326" s="312"/>
      <c r="E326" s="312"/>
      <c r="F326" s="311">
        <v>0.05</v>
      </c>
      <c r="G326" s="325"/>
    </row>
    <row r="327" spans="1:7">
      <c r="A327" s="316" t="s">
        <v>324</v>
      </c>
      <c r="B327" s="302" t="s">
        <v>2572</v>
      </c>
      <c r="C327" s="303">
        <v>0.15</v>
      </c>
      <c r="D327" s="303">
        <v>0.15</v>
      </c>
      <c r="E327" s="303">
        <v>0.15</v>
      </c>
      <c r="F327" s="303">
        <v>0.15</v>
      </c>
      <c r="G327" s="304">
        <v>0.15</v>
      </c>
    </row>
    <row r="328" spans="1:7">
      <c r="A328" s="317" t="s">
        <v>324</v>
      </c>
      <c r="B328" s="306" t="s">
        <v>2573</v>
      </c>
      <c r="C328" s="307">
        <v>0.15</v>
      </c>
      <c r="D328" s="307">
        <v>0.15</v>
      </c>
      <c r="E328" s="307">
        <v>0.15</v>
      </c>
      <c r="F328" s="307">
        <v>0.126</v>
      </c>
      <c r="G328" s="308">
        <v>0.15</v>
      </c>
    </row>
    <row r="329" spans="1:7">
      <c r="A329" s="317" t="s">
        <v>324</v>
      </c>
      <c r="B329" s="306" t="s">
        <v>2574</v>
      </c>
      <c r="C329" s="307">
        <v>0.15</v>
      </c>
      <c r="D329" s="307">
        <v>0.15</v>
      </c>
      <c r="E329" s="307">
        <v>0.15</v>
      </c>
      <c r="F329" s="307">
        <v>0.15</v>
      </c>
      <c r="G329" s="308">
        <v>0.15</v>
      </c>
    </row>
    <row r="330" spans="1:7">
      <c r="A330" s="317" t="s">
        <v>324</v>
      </c>
      <c r="B330" s="306" t="s">
        <v>2575</v>
      </c>
      <c r="C330" s="307">
        <v>0.15</v>
      </c>
      <c r="D330" s="307">
        <v>0.15</v>
      </c>
      <c r="E330" s="307">
        <v>0.15</v>
      </c>
      <c r="F330" s="307">
        <v>0.15</v>
      </c>
      <c r="G330" s="308">
        <v>0.15</v>
      </c>
    </row>
    <row r="331" spans="1:7">
      <c r="A331" s="317" t="s">
        <v>324</v>
      </c>
      <c r="B331" s="306" t="s">
        <v>2576</v>
      </c>
      <c r="C331" s="307">
        <v>0.15</v>
      </c>
      <c r="D331" s="307">
        <v>0.15</v>
      </c>
      <c r="E331" s="307">
        <v>0.15</v>
      </c>
      <c r="F331" s="307">
        <v>0.15</v>
      </c>
      <c r="G331" s="308">
        <v>0.15</v>
      </c>
    </row>
    <row r="332" spans="1:7">
      <c r="A332" s="317" t="s">
        <v>324</v>
      </c>
      <c r="B332" s="306" t="s">
        <v>2577</v>
      </c>
      <c r="C332" s="307">
        <v>0.15</v>
      </c>
      <c r="D332" s="307">
        <v>0.15</v>
      </c>
      <c r="E332" s="307">
        <v>0.15</v>
      </c>
      <c r="F332" s="307">
        <v>0.15</v>
      </c>
      <c r="G332" s="308">
        <v>0.15</v>
      </c>
    </row>
    <row r="333" spans="1:7">
      <c r="A333" s="317" t="s">
        <v>324</v>
      </c>
      <c r="B333" s="306" t="s">
        <v>2578</v>
      </c>
      <c r="C333" s="307">
        <v>0.14899999999999999</v>
      </c>
      <c r="D333" s="307">
        <v>0.14899999999999999</v>
      </c>
      <c r="E333" s="307">
        <v>0.15</v>
      </c>
      <c r="F333" s="307">
        <v>0.11600000000000001</v>
      </c>
      <c r="G333" s="308">
        <v>0.15</v>
      </c>
    </row>
    <row r="334" spans="1:7">
      <c r="A334" s="317" t="s">
        <v>324</v>
      </c>
      <c r="B334" s="306" t="s">
        <v>2579</v>
      </c>
      <c r="C334" s="307">
        <v>0.15</v>
      </c>
      <c r="D334" s="307">
        <v>0.15</v>
      </c>
      <c r="E334" s="307">
        <v>0.15</v>
      </c>
      <c r="F334" s="307">
        <v>0.13</v>
      </c>
      <c r="G334" s="308">
        <v>0.15</v>
      </c>
    </row>
    <row r="335" spans="1:7">
      <c r="A335" s="317" t="s">
        <v>324</v>
      </c>
      <c r="B335" s="306" t="s">
        <v>2580</v>
      </c>
      <c r="C335" s="307">
        <v>0.15</v>
      </c>
      <c r="D335" s="307">
        <v>0.15</v>
      </c>
      <c r="E335" s="307">
        <v>0.15</v>
      </c>
      <c r="F335" s="307">
        <v>0.14399999999999999</v>
      </c>
      <c r="G335" s="308">
        <v>0.15</v>
      </c>
    </row>
    <row r="336" spans="1:7">
      <c r="A336" s="317" t="s">
        <v>324</v>
      </c>
      <c r="B336" s="306" t="s">
        <v>2581</v>
      </c>
      <c r="C336" s="307">
        <v>0.15</v>
      </c>
      <c r="D336" s="307">
        <v>0.15</v>
      </c>
      <c r="E336" s="307">
        <v>0.15</v>
      </c>
      <c r="F336" s="307">
        <v>0.14199999999999999</v>
      </c>
      <c r="G336" s="308">
        <v>0.15</v>
      </c>
    </row>
    <row r="337" spans="1:7">
      <c r="A337" s="317" t="s">
        <v>324</v>
      </c>
      <c r="B337" s="306" t="s">
        <v>2582</v>
      </c>
      <c r="C337" s="307">
        <v>0.15</v>
      </c>
      <c r="D337" s="307">
        <v>0.15</v>
      </c>
      <c r="E337" s="307">
        <v>0.15</v>
      </c>
      <c r="F337" s="307">
        <v>0.14499999999999999</v>
      </c>
      <c r="G337" s="308">
        <v>0.15</v>
      </c>
    </row>
    <row r="338" spans="1:7">
      <c r="A338" s="317" t="s">
        <v>324</v>
      </c>
      <c r="B338" s="306" t="s">
        <v>2583</v>
      </c>
      <c r="C338" s="307">
        <v>0.15</v>
      </c>
      <c r="D338" s="307">
        <v>0.15</v>
      </c>
      <c r="E338" s="307">
        <v>0.15</v>
      </c>
      <c r="F338" s="307">
        <v>0.15</v>
      </c>
      <c r="G338" s="308">
        <v>0.15</v>
      </c>
    </row>
    <row r="339" spans="1:7">
      <c r="A339" s="317" t="s">
        <v>324</v>
      </c>
      <c r="B339" s="306" t="s">
        <v>2584</v>
      </c>
      <c r="C339" s="307">
        <v>0.15</v>
      </c>
      <c r="D339" s="307">
        <v>0.15</v>
      </c>
      <c r="E339" s="307">
        <v>0.15</v>
      </c>
      <c r="F339" s="307">
        <v>0.14699999999999999</v>
      </c>
      <c r="G339" s="308">
        <v>0.15</v>
      </c>
    </row>
    <row r="340" spans="1:7">
      <c r="A340" s="317" t="s">
        <v>324</v>
      </c>
      <c r="B340" s="306" t="s">
        <v>2585</v>
      </c>
      <c r="C340" s="307">
        <v>0.14599999999999999</v>
      </c>
      <c r="D340" s="307">
        <v>0.14599999999999999</v>
      </c>
      <c r="E340" s="307">
        <v>0.15</v>
      </c>
      <c r="F340" s="307">
        <v>0.14099999999999999</v>
      </c>
      <c r="G340" s="308">
        <v>0.14699999999999999</v>
      </c>
    </row>
    <row r="341" spans="1:7">
      <c r="A341" s="317" t="s">
        <v>324</v>
      </c>
      <c r="B341" s="306" t="s">
        <v>2586</v>
      </c>
      <c r="C341" s="307">
        <v>0.126</v>
      </c>
      <c r="D341" s="307">
        <v>0.124</v>
      </c>
      <c r="E341" s="307">
        <v>0.14099999999999999</v>
      </c>
      <c r="F341" s="307">
        <v>0.14399999999999999</v>
      </c>
      <c r="G341" s="308">
        <v>0.13</v>
      </c>
    </row>
    <row r="342" spans="1:7">
      <c r="A342" s="317" t="s">
        <v>324</v>
      </c>
      <c r="B342" s="306" t="s">
        <v>2587</v>
      </c>
      <c r="C342" s="307">
        <v>0.15</v>
      </c>
      <c r="D342" s="307">
        <v>0.15</v>
      </c>
      <c r="E342" s="307">
        <v>0.15</v>
      </c>
      <c r="F342" s="307">
        <v>0.14399999999999999</v>
      </c>
      <c r="G342" s="308">
        <v>0.15</v>
      </c>
    </row>
    <row r="343" spans="1:7">
      <c r="A343" s="317" t="s">
        <v>324</v>
      </c>
      <c r="B343" s="306" t="s">
        <v>2588</v>
      </c>
      <c r="C343" s="307">
        <v>0.15</v>
      </c>
      <c r="D343" s="307">
        <v>0.15</v>
      </c>
      <c r="E343" s="307">
        <v>0.15</v>
      </c>
      <c r="F343" s="307">
        <v>0.128</v>
      </c>
      <c r="G343" s="308">
        <v>0.15</v>
      </c>
    </row>
    <row r="344" spans="1:7">
      <c r="A344" s="317" t="s">
        <v>324</v>
      </c>
      <c r="B344" s="306" t="s">
        <v>2589</v>
      </c>
      <c r="C344" s="307">
        <v>0.15</v>
      </c>
      <c r="D344" s="307">
        <v>0.15</v>
      </c>
      <c r="E344" s="307">
        <v>0.15</v>
      </c>
      <c r="F344" s="307">
        <v>0.14799999999999999</v>
      </c>
      <c r="G344" s="308">
        <v>0.15</v>
      </c>
    </row>
    <row r="345" spans="1:7">
      <c r="A345" s="317" t="s">
        <v>324</v>
      </c>
      <c r="B345" s="306" t="s">
        <v>2590</v>
      </c>
      <c r="C345" s="307">
        <v>0.15</v>
      </c>
      <c r="D345" s="307">
        <v>0.15</v>
      </c>
      <c r="E345" s="307">
        <v>0.15</v>
      </c>
      <c r="F345" s="307">
        <v>0.13800000000000001</v>
      </c>
      <c r="G345" s="308">
        <v>0.15</v>
      </c>
    </row>
    <row r="346" spans="1:7">
      <c r="A346" s="317" t="s">
        <v>324</v>
      </c>
      <c r="B346" s="306" t="s">
        <v>2591</v>
      </c>
      <c r="C346" s="307">
        <v>0.15</v>
      </c>
      <c r="D346" s="307">
        <v>0.15</v>
      </c>
      <c r="E346" s="307">
        <v>0.15</v>
      </c>
      <c r="F346" s="307">
        <v>0.14399999999999999</v>
      </c>
      <c r="G346" s="308">
        <v>0.15</v>
      </c>
    </row>
    <row r="347" spans="1:7">
      <c r="A347" s="317" t="s">
        <v>324</v>
      </c>
      <c r="B347" s="306" t="s">
        <v>2592</v>
      </c>
      <c r="C347" s="307">
        <v>0.15</v>
      </c>
      <c r="D347" s="307">
        <v>0.15</v>
      </c>
      <c r="E347" s="307">
        <v>0.15</v>
      </c>
      <c r="F347" s="307">
        <v>0.14599999999999999</v>
      </c>
      <c r="G347" s="308">
        <v>0.15</v>
      </c>
    </row>
    <row r="348" spans="1:7">
      <c r="A348" s="317" t="s">
        <v>324</v>
      </c>
      <c r="B348" s="306" t="s">
        <v>2593</v>
      </c>
      <c r="C348" s="307">
        <v>0.15</v>
      </c>
      <c r="D348" s="307">
        <v>0.15</v>
      </c>
      <c r="E348" s="307">
        <v>0.15</v>
      </c>
      <c r="F348" s="307">
        <v>0.14399999999999999</v>
      </c>
      <c r="G348" s="308">
        <v>0.15</v>
      </c>
    </row>
    <row r="349" spans="1:7">
      <c r="A349" s="317" t="s">
        <v>324</v>
      </c>
      <c r="B349" s="306" t="s">
        <v>2594</v>
      </c>
      <c r="C349" s="307">
        <v>0.15</v>
      </c>
      <c r="D349" s="307">
        <v>0.15</v>
      </c>
      <c r="E349" s="307">
        <v>0.15</v>
      </c>
      <c r="F349" s="307">
        <v>0.15</v>
      </c>
      <c r="G349" s="308">
        <v>0.15</v>
      </c>
    </row>
    <row r="350" spans="1:7">
      <c r="A350" s="317" t="s">
        <v>324</v>
      </c>
      <c r="B350" s="306" t="s">
        <v>2595</v>
      </c>
      <c r="C350" s="307">
        <v>0.15</v>
      </c>
      <c r="D350" s="307">
        <v>0.15</v>
      </c>
      <c r="E350" s="307">
        <v>0.15</v>
      </c>
      <c r="F350" s="307">
        <v>0.14699999999999999</v>
      </c>
      <c r="G350" s="308">
        <v>0.15</v>
      </c>
    </row>
    <row r="351" spans="1:7">
      <c r="A351" s="317" t="s">
        <v>324</v>
      </c>
      <c r="B351" s="306" t="s">
        <v>2596</v>
      </c>
      <c r="C351" s="307">
        <v>0.15</v>
      </c>
      <c r="D351" s="307">
        <v>0.15</v>
      </c>
      <c r="E351" s="307">
        <v>0.15</v>
      </c>
      <c r="F351" s="307">
        <v>0.13</v>
      </c>
      <c r="G351" s="308">
        <v>0.15</v>
      </c>
    </row>
    <row r="352" spans="1:7">
      <c r="A352" s="317" t="s">
        <v>324</v>
      </c>
      <c r="B352" s="306" t="s">
        <v>2597</v>
      </c>
      <c r="C352" s="307">
        <v>0.15</v>
      </c>
      <c r="D352" s="307">
        <v>0.15</v>
      </c>
      <c r="E352" s="307">
        <v>0.15</v>
      </c>
      <c r="F352" s="307">
        <v>0.14599999999999999</v>
      </c>
      <c r="G352" s="308">
        <v>0.15</v>
      </c>
    </row>
    <row r="353" spans="1:7">
      <c r="A353" s="317" t="s">
        <v>324</v>
      </c>
      <c r="B353" s="306" t="s">
        <v>2598</v>
      </c>
      <c r="C353" s="307">
        <v>0.15</v>
      </c>
      <c r="D353" s="307">
        <v>0.15</v>
      </c>
      <c r="E353" s="307">
        <v>0.15</v>
      </c>
      <c r="F353" s="307">
        <v>0.14499999999999999</v>
      </c>
      <c r="G353" s="308">
        <v>0.15</v>
      </c>
    </row>
    <row r="354" spans="1:7">
      <c r="A354" s="317" t="s">
        <v>324</v>
      </c>
      <c r="B354" s="306" t="s">
        <v>2599</v>
      </c>
      <c r="C354" s="307">
        <v>0.15</v>
      </c>
      <c r="D354" s="307">
        <v>0.15</v>
      </c>
      <c r="E354" s="307">
        <v>0.15</v>
      </c>
      <c r="F354" s="307">
        <v>0.14099999999999999</v>
      </c>
      <c r="G354" s="308">
        <v>0.15</v>
      </c>
    </row>
    <row r="355" spans="1:7">
      <c r="A355" s="317" t="s">
        <v>324</v>
      </c>
      <c r="B355" s="306" t="s">
        <v>2600</v>
      </c>
      <c r="C355" s="307">
        <v>0.15</v>
      </c>
      <c r="D355" s="307">
        <v>0.15</v>
      </c>
      <c r="E355" s="307">
        <v>0.15</v>
      </c>
      <c r="F355" s="307">
        <v>0.15</v>
      </c>
      <c r="G355" s="308">
        <v>0.15</v>
      </c>
    </row>
    <row r="356" spans="1:7">
      <c r="A356" s="317" t="s">
        <v>324</v>
      </c>
      <c r="B356" s="306" t="s">
        <v>2601</v>
      </c>
      <c r="C356" s="307">
        <v>0.15</v>
      </c>
      <c r="D356" s="307">
        <v>0.15</v>
      </c>
      <c r="E356" s="307">
        <v>0.15</v>
      </c>
      <c r="F356" s="307">
        <v>0.15</v>
      </c>
      <c r="G356" s="308">
        <v>0.15</v>
      </c>
    </row>
    <row r="357" spans="1:7">
      <c r="A357" s="320" t="s">
        <v>324</v>
      </c>
      <c r="B357" s="310" t="s">
        <v>2602</v>
      </c>
      <c r="C357" s="311">
        <v>0.126</v>
      </c>
      <c r="D357" s="311">
        <v>0.127</v>
      </c>
      <c r="E357" s="311">
        <v>0.14299999999999999</v>
      </c>
      <c r="F357" s="311">
        <v>0.125</v>
      </c>
      <c r="G357" s="313">
        <v>0.129</v>
      </c>
    </row>
    <row r="358" spans="1:7">
      <c r="A358" s="316" t="s">
        <v>330</v>
      </c>
      <c r="B358" s="302" t="s">
        <v>2603</v>
      </c>
      <c r="C358" s="303">
        <v>0.15</v>
      </c>
      <c r="D358" s="303">
        <v>0.15</v>
      </c>
      <c r="E358" s="303">
        <v>0.15</v>
      </c>
      <c r="F358" s="303">
        <v>0.15</v>
      </c>
      <c r="G358" s="304">
        <v>0.15</v>
      </c>
    </row>
    <row r="359" spans="1:7">
      <c r="A359" s="317" t="s">
        <v>330</v>
      </c>
      <c r="B359" s="306" t="s">
        <v>2604</v>
      </c>
      <c r="C359" s="307">
        <v>0.1</v>
      </c>
      <c r="D359" s="307">
        <v>0.1</v>
      </c>
      <c r="E359" s="307">
        <v>0.1</v>
      </c>
      <c r="F359" s="307">
        <v>0.1</v>
      </c>
      <c r="G359" s="308">
        <v>0.1</v>
      </c>
    </row>
    <row r="360" spans="1:7">
      <c r="A360" s="317" t="s">
        <v>330</v>
      </c>
      <c r="B360" s="306" t="s">
        <v>2605</v>
      </c>
      <c r="C360" s="307">
        <v>0.15</v>
      </c>
      <c r="D360" s="307">
        <v>0.15</v>
      </c>
      <c r="E360" s="307">
        <v>0.15</v>
      </c>
      <c r="F360" s="307">
        <v>0.14899999999999999</v>
      </c>
      <c r="G360" s="308">
        <v>0.15</v>
      </c>
    </row>
    <row r="361" spans="1:7">
      <c r="A361" s="317" t="s">
        <v>330</v>
      </c>
      <c r="B361" s="306" t="s">
        <v>2606</v>
      </c>
      <c r="C361" s="307">
        <v>0.15</v>
      </c>
      <c r="D361" s="307">
        <v>0.15</v>
      </c>
      <c r="E361" s="307">
        <v>0.15</v>
      </c>
      <c r="F361" s="307">
        <v>0.115</v>
      </c>
      <c r="G361" s="308">
        <v>0.15</v>
      </c>
    </row>
    <row r="362" spans="1:7">
      <c r="A362" s="317" t="s">
        <v>330</v>
      </c>
      <c r="B362" s="306" t="s">
        <v>2607</v>
      </c>
      <c r="C362" s="307">
        <v>0.15</v>
      </c>
      <c r="D362" s="307">
        <v>0.15</v>
      </c>
      <c r="E362" s="307">
        <v>0.15</v>
      </c>
      <c r="F362" s="307">
        <v>0.106</v>
      </c>
      <c r="G362" s="308">
        <v>0.15</v>
      </c>
    </row>
    <row r="363" spans="1:7">
      <c r="A363" s="317" t="s">
        <v>330</v>
      </c>
      <c r="B363" s="306" t="s">
        <v>2608</v>
      </c>
      <c r="C363" s="307">
        <v>0.15</v>
      </c>
      <c r="D363" s="307">
        <v>0.15</v>
      </c>
      <c r="E363" s="307">
        <v>0.15</v>
      </c>
      <c r="F363" s="307">
        <v>0.14699999999999999</v>
      </c>
      <c r="G363" s="308">
        <v>0.15</v>
      </c>
    </row>
    <row r="364" spans="1:7">
      <c r="A364" s="317" t="s">
        <v>330</v>
      </c>
      <c r="B364" s="306" t="s">
        <v>2609</v>
      </c>
      <c r="C364" s="307">
        <v>0.15</v>
      </c>
      <c r="D364" s="307">
        <v>0.15</v>
      </c>
      <c r="E364" s="307">
        <v>0.15</v>
      </c>
      <c r="F364" s="307">
        <v>0.14799999999999999</v>
      </c>
      <c r="G364" s="308">
        <v>0.15</v>
      </c>
    </row>
    <row r="365" spans="1:7">
      <c r="A365" s="317" t="s">
        <v>330</v>
      </c>
      <c r="B365" s="306" t="s">
        <v>2610</v>
      </c>
      <c r="C365" s="307">
        <v>0.15</v>
      </c>
      <c r="D365" s="307">
        <v>0.15</v>
      </c>
      <c r="E365" s="307">
        <v>0.15</v>
      </c>
      <c r="F365" s="307">
        <v>0.15</v>
      </c>
      <c r="G365" s="308">
        <v>0.15</v>
      </c>
    </row>
    <row r="366" spans="1:7">
      <c r="A366" s="317" t="s">
        <v>330</v>
      </c>
      <c r="B366" s="306" t="s">
        <v>2611</v>
      </c>
      <c r="C366" s="307">
        <v>0.15</v>
      </c>
      <c r="D366" s="307">
        <v>0.15</v>
      </c>
      <c r="E366" s="307">
        <v>0.15</v>
      </c>
      <c r="F366" s="307">
        <v>0.15</v>
      </c>
      <c r="G366" s="308">
        <v>0.15</v>
      </c>
    </row>
    <row r="367" spans="1:7">
      <c r="A367" s="317" t="s">
        <v>330</v>
      </c>
      <c r="B367" s="306" t="s">
        <v>2612</v>
      </c>
      <c r="C367" s="307">
        <v>0.15</v>
      </c>
      <c r="D367" s="307">
        <v>0.15</v>
      </c>
      <c r="E367" s="307">
        <v>0.15</v>
      </c>
      <c r="F367" s="307">
        <v>0.14699999999999999</v>
      </c>
      <c r="G367" s="308">
        <v>0.15</v>
      </c>
    </row>
    <row r="368" spans="1:7">
      <c r="A368" s="317" t="s">
        <v>330</v>
      </c>
      <c r="B368" s="306" t="s">
        <v>2613</v>
      </c>
      <c r="C368" s="307">
        <v>0.15</v>
      </c>
      <c r="D368" s="307">
        <v>0.15</v>
      </c>
      <c r="E368" s="307">
        <v>0.15</v>
      </c>
      <c r="F368" s="307">
        <v>0.13600000000000001</v>
      </c>
      <c r="G368" s="308">
        <v>0.15</v>
      </c>
    </row>
    <row r="369" spans="1:7">
      <c r="A369" s="317" t="s">
        <v>330</v>
      </c>
      <c r="B369" s="306" t="s">
        <v>2614</v>
      </c>
      <c r="C369" s="307">
        <v>0.15</v>
      </c>
      <c r="D369" s="307">
        <v>0.15</v>
      </c>
      <c r="E369" s="307">
        <v>0.15</v>
      </c>
      <c r="F369" s="307">
        <v>0.14399999999999999</v>
      </c>
      <c r="G369" s="308">
        <v>0.15</v>
      </c>
    </row>
    <row r="370" spans="1:7">
      <c r="A370" s="317" t="s">
        <v>330</v>
      </c>
      <c r="B370" s="306" t="s">
        <v>2615</v>
      </c>
      <c r="C370" s="307">
        <v>0.15</v>
      </c>
      <c r="D370" s="307">
        <v>0.15</v>
      </c>
      <c r="E370" s="307">
        <v>0.15</v>
      </c>
      <c r="F370" s="307">
        <v>0.14599999999999999</v>
      </c>
      <c r="G370" s="308">
        <v>0.15</v>
      </c>
    </row>
    <row r="371" spans="1:7">
      <c r="A371" s="317" t="s">
        <v>330</v>
      </c>
      <c r="B371" s="306" t="s">
        <v>2616</v>
      </c>
      <c r="C371" s="307">
        <v>0.15</v>
      </c>
      <c r="D371" s="307">
        <v>0.15</v>
      </c>
      <c r="E371" s="307">
        <v>0.15</v>
      </c>
      <c r="F371" s="307">
        <v>0.12</v>
      </c>
      <c r="G371" s="308">
        <v>0.15</v>
      </c>
    </row>
    <row r="372" spans="1:7">
      <c r="A372" s="317" t="s">
        <v>330</v>
      </c>
      <c r="B372" s="306" t="s">
        <v>2617</v>
      </c>
      <c r="C372" s="307">
        <v>0.15</v>
      </c>
      <c r="D372" s="307">
        <v>0.15</v>
      </c>
      <c r="E372" s="307">
        <v>0.15</v>
      </c>
      <c r="F372" s="307">
        <v>0.14299999999999999</v>
      </c>
      <c r="G372" s="308">
        <v>0.15</v>
      </c>
    </row>
    <row r="373" spans="1:7">
      <c r="A373" s="317" t="s">
        <v>330</v>
      </c>
      <c r="B373" s="306" t="s">
        <v>2618</v>
      </c>
      <c r="C373" s="307">
        <v>0.15</v>
      </c>
      <c r="D373" s="307">
        <v>0.15</v>
      </c>
      <c r="E373" s="307">
        <v>0.15</v>
      </c>
      <c r="F373" s="307">
        <v>0.14599999999999999</v>
      </c>
      <c r="G373" s="308">
        <v>0.15</v>
      </c>
    </row>
    <row r="374" spans="1:7">
      <c r="A374" s="317" t="s">
        <v>330</v>
      </c>
      <c r="B374" s="306" t="s">
        <v>2619</v>
      </c>
      <c r="C374" s="307">
        <v>0.15</v>
      </c>
      <c r="D374" s="307">
        <v>0.15</v>
      </c>
      <c r="E374" s="307">
        <v>0.15</v>
      </c>
      <c r="F374" s="307">
        <v>0.14399999999999999</v>
      </c>
      <c r="G374" s="308">
        <v>0.15</v>
      </c>
    </row>
    <row r="375" spans="1:7">
      <c r="A375" s="317" t="s">
        <v>330</v>
      </c>
      <c r="B375" s="306" t="s">
        <v>2620</v>
      </c>
      <c r="C375" s="307">
        <v>0.15</v>
      </c>
      <c r="D375" s="307">
        <v>0.15</v>
      </c>
      <c r="E375" s="307">
        <v>0.15</v>
      </c>
      <c r="F375" s="307">
        <v>0.13</v>
      </c>
      <c r="G375" s="308">
        <v>0.15</v>
      </c>
    </row>
    <row r="376" spans="1:7">
      <c r="A376" s="317" t="s">
        <v>330</v>
      </c>
      <c r="B376" s="306" t="s">
        <v>2621</v>
      </c>
      <c r="C376" s="307">
        <v>0.15</v>
      </c>
      <c r="D376" s="307">
        <v>0.15</v>
      </c>
      <c r="E376" s="307">
        <v>0.15</v>
      </c>
      <c r="F376" s="307">
        <v>0.14199999999999999</v>
      </c>
      <c r="G376" s="308">
        <v>0.15</v>
      </c>
    </row>
    <row r="377" spans="1:7">
      <c r="A377" s="320" t="s">
        <v>330</v>
      </c>
      <c r="B377" s="310" t="s">
        <v>2622</v>
      </c>
      <c r="C377" s="311">
        <v>0.15</v>
      </c>
      <c r="D377" s="311">
        <v>0.15</v>
      </c>
      <c r="E377" s="311">
        <v>0.15</v>
      </c>
      <c r="F377" s="311">
        <v>0.14000000000000001</v>
      </c>
      <c r="G377" s="313">
        <v>0.15</v>
      </c>
    </row>
    <row r="378" spans="1:7">
      <c r="A378" s="316" t="s">
        <v>336</v>
      </c>
      <c r="B378" s="302" t="s">
        <v>2623</v>
      </c>
      <c r="C378" s="303">
        <v>0.15</v>
      </c>
      <c r="D378" s="303">
        <v>0.15</v>
      </c>
      <c r="E378" s="303">
        <v>0.15</v>
      </c>
      <c r="F378" s="303">
        <v>0.107</v>
      </c>
      <c r="G378" s="304">
        <v>0.15</v>
      </c>
    </row>
    <row r="379" spans="1:7">
      <c r="A379" s="317" t="s">
        <v>336</v>
      </c>
      <c r="B379" s="306" t="s">
        <v>2624</v>
      </c>
      <c r="C379" s="307">
        <v>0.15</v>
      </c>
      <c r="D379" s="307">
        <v>0.15</v>
      </c>
      <c r="E379" s="307">
        <v>0.15</v>
      </c>
      <c r="F379" s="307">
        <v>0.115</v>
      </c>
      <c r="G379" s="308">
        <v>0.14899999999999999</v>
      </c>
    </row>
    <row r="380" spans="1:7">
      <c r="A380" s="317" t="s">
        <v>336</v>
      </c>
      <c r="B380" s="306" t="s">
        <v>2625</v>
      </c>
      <c r="C380" s="307">
        <v>0.15</v>
      </c>
      <c r="D380" s="307">
        <v>0.15</v>
      </c>
      <c r="E380" s="307">
        <v>0.15</v>
      </c>
      <c r="F380" s="307">
        <v>0.1</v>
      </c>
      <c r="G380" s="308">
        <v>0.14799999999999999</v>
      </c>
    </row>
    <row r="381" spans="1:7">
      <c r="A381" s="317" t="s">
        <v>336</v>
      </c>
      <c r="B381" s="306" t="s">
        <v>2626</v>
      </c>
      <c r="C381" s="307">
        <v>0.15</v>
      </c>
      <c r="D381" s="307">
        <v>0.15</v>
      </c>
      <c r="E381" s="307">
        <v>0.15</v>
      </c>
      <c r="F381" s="307">
        <v>0.126</v>
      </c>
      <c r="G381" s="308">
        <v>0.15</v>
      </c>
    </row>
    <row r="382" spans="1:7">
      <c r="A382" s="317" t="s">
        <v>336</v>
      </c>
      <c r="B382" s="306" t="s">
        <v>2627</v>
      </c>
      <c r="C382" s="307">
        <v>0.15</v>
      </c>
      <c r="D382" s="307">
        <v>0.15</v>
      </c>
      <c r="E382" s="307">
        <v>0.15</v>
      </c>
      <c r="F382" s="307">
        <v>0.15</v>
      </c>
      <c r="G382" s="308">
        <v>0.15</v>
      </c>
    </row>
    <row r="383" spans="1:7">
      <c r="A383" s="317" t="s">
        <v>336</v>
      </c>
      <c r="B383" s="306" t="s">
        <v>2628</v>
      </c>
      <c r="C383" s="307">
        <v>0.15</v>
      </c>
      <c r="D383" s="307">
        <v>0.15</v>
      </c>
      <c r="E383" s="307">
        <v>0.15</v>
      </c>
      <c r="F383" s="307">
        <v>0.14699999999999999</v>
      </c>
      <c r="G383" s="308">
        <v>0.15</v>
      </c>
    </row>
    <row r="384" spans="1:7">
      <c r="A384" s="327" t="s">
        <v>336</v>
      </c>
      <c r="B384" s="328" t="s">
        <v>2629</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2630</v>
      </c>
      <c r="B1" s="3496"/>
      <c r="C1" s="3496"/>
      <c r="D1" s="3496"/>
      <c r="E1" s="3496"/>
      <c r="F1" s="3497"/>
    </row>
    <row r="2" spans="1:6">
      <c r="A2" s="290" t="s">
        <v>2631</v>
      </c>
    </row>
    <row r="3" spans="1:6">
      <c r="A3" s="290" t="s">
        <v>2632</v>
      </c>
      <c r="F3" s="291" t="s">
        <v>2633</v>
      </c>
    </row>
    <row r="4" spans="1:6">
      <c r="A4" s="292" t="s">
        <v>442</v>
      </c>
      <c r="B4" s="292" t="s">
        <v>229</v>
      </c>
      <c r="C4" s="292" t="s">
        <v>230</v>
      </c>
      <c r="D4" s="292" t="s">
        <v>2634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2635</v>
      </c>
      <c r="C1" s="227"/>
      <c r="D1" s="227"/>
      <c r="E1" s="227"/>
      <c r="F1" s="227"/>
      <c r="G1" s="227"/>
      <c r="H1" s="227"/>
      <c r="I1" s="227"/>
      <c r="J1" s="228"/>
      <c r="K1" s="227" t="s">
        <v>2636</v>
      </c>
      <c r="L1" s="227"/>
      <c r="M1" s="227"/>
      <c r="N1" s="227"/>
      <c r="O1" s="227"/>
      <c r="P1" s="227"/>
      <c r="Q1" s="228"/>
      <c r="R1" s="3498" t="s">
        <v>2637</v>
      </c>
      <c r="S1" s="3499"/>
      <c r="T1" s="3499"/>
      <c r="U1" s="3499"/>
      <c r="V1" s="3499"/>
      <c r="W1" s="3499"/>
      <c r="X1" s="228"/>
      <c r="Y1" s="3498" t="s">
        <v>2638</v>
      </c>
      <c r="Z1" s="3499"/>
      <c r="AA1" s="3499"/>
      <c r="AB1" s="3499"/>
      <c r="AC1" s="3499"/>
      <c r="AD1" s="3499"/>
    </row>
    <row r="2" spans="1:44" s="103" customFormat="1">
      <c r="B2" s="229"/>
      <c r="C2" s="230"/>
      <c r="D2" s="112" t="s">
        <v>2639</v>
      </c>
      <c r="E2" s="113" t="s">
        <v>229</v>
      </c>
      <c r="F2" s="113" t="s">
        <v>230</v>
      </c>
      <c r="G2" s="113" t="s">
        <v>232</v>
      </c>
      <c r="H2" s="113" t="s">
        <v>233</v>
      </c>
      <c r="I2" s="113" t="s">
        <v>231</v>
      </c>
      <c r="J2" s="231"/>
      <c r="K2" s="112" t="s">
        <v>2639</v>
      </c>
      <c r="L2" s="113" t="s">
        <v>229</v>
      </c>
      <c r="M2" s="113" t="s">
        <v>230</v>
      </c>
      <c r="N2" s="113" t="s">
        <v>232</v>
      </c>
      <c r="O2" s="113" t="s">
        <v>233</v>
      </c>
      <c r="P2" s="113" t="s">
        <v>231</v>
      </c>
      <c r="Q2" s="231"/>
      <c r="R2" s="112" t="s">
        <v>2639</v>
      </c>
      <c r="S2" s="113" t="s">
        <v>229</v>
      </c>
      <c r="T2" s="113" t="s">
        <v>230</v>
      </c>
      <c r="U2" s="113" t="s">
        <v>232</v>
      </c>
      <c r="V2" s="113" t="s">
        <v>233</v>
      </c>
      <c r="W2" s="113" t="s">
        <v>231</v>
      </c>
      <c r="X2" s="231"/>
      <c r="Y2" s="112" t="s">
        <v>2639</v>
      </c>
      <c r="Z2" s="113" t="s">
        <v>229</v>
      </c>
      <c r="AA2" s="113" t="s">
        <v>230</v>
      </c>
      <c r="AB2" s="113" t="s">
        <v>232</v>
      </c>
      <c r="AC2" s="113" t="s">
        <v>233</v>
      </c>
      <c r="AD2" s="113" t="s">
        <v>231</v>
      </c>
      <c r="AF2" t="s">
        <v>2639</v>
      </c>
      <c r="AG2" t="s">
        <v>229</v>
      </c>
      <c r="AH2" t="s">
        <v>230</v>
      </c>
      <c r="AI2" t="s">
        <v>232</v>
      </c>
      <c r="AJ2" t="s">
        <v>233</v>
      </c>
      <c r="AK2" t="s">
        <v>231</v>
      </c>
      <c r="AM2" t="s">
        <v>2639</v>
      </c>
      <c r="AN2" t="s">
        <v>229</v>
      </c>
      <c r="AO2" t="s">
        <v>230</v>
      </c>
      <c r="AP2" t="s">
        <v>232</v>
      </c>
      <c r="AQ2" t="s">
        <v>233</v>
      </c>
      <c r="AR2" t="s">
        <v>231</v>
      </c>
    </row>
    <row r="3" spans="1:44" s="222" customFormat="1" ht="12.75">
      <c r="A3" s="232" t="s">
        <v>2640</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2641</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2642</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2643</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2644</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2645</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2646</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2647</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2648</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2649</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2650</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2651</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2652</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2653</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2654</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2655</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2656</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2657</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2658</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2659</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2660</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2661</v>
      </c>
    </row>
    <row r="27" spans="1:44">
      <c r="I27" t="s">
        <v>1609</v>
      </c>
    </row>
    <row r="29" spans="1:44" s="102" customFormat="1" ht="12.75">
      <c r="B29" s="226" t="s">
        <v>2662</v>
      </c>
      <c r="C29" s="227"/>
      <c r="D29" s="227"/>
      <c r="E29" s="227"/>
      <c r="F29" s="227"/>
      <c r="G29" s="227"/>
      <c r="H29" s="227"/>
      <c r="I29" s="227"/>
      <c r="J29" s="228"/>
      <c r="K29" s="227" t="s">
        <v>2636</v>
      </c>
      <c r="L29" s="227"/>
      <c r="M29" s="227"/>
      <c r="N29" s="227"/>
      <c r="O29" s="227"/>
      <c r="P29" s="227"/>
      <c r="Q29" s="228"/>
      <c r="R29" s="3498" t="s">
        <v>2637</v>
      </c>
      <c r="S29" s="3499"/>
      <c r="T29" s="3499"/>
      <c r="U29" s="3499"/>
      <c r="V29" s="3499"/>
      <c r="W29" s="3499"/>
      <c r="X29" s="228"/>
      <c r="Y29" s="3498" t="s">
        <v>2638</v>
      </c>
      <c r="Z29" s="3499"/>
      <c r="AA29" s="3499"/>
      <c r="AB29" s="3499"/>
      <c r="AC29" s="3499"/>
      <c r="AD29" s="3499"/>
    </row>
    <row r="30" spans="1:44" s="103" customFormat="1">
      <c r="B30" s="229"/>
      <c r="C30" s="230"/>
      <c r="D30" s="112" t="s">
        <v>2639</v>
      </c>
      <c r="E30" s="113" t="s">
        <v>229</v>
      </c>
      <c r="F30" s="113" t="s">
        <v>230</v>
      </c>
      <c r="G30" s="113" t="s">
        <v>232</v>
      </c>
      <c r="H30" s="113"/>
      <c r="I30" s="113" t="s">
        <v>231</v>
      </c>
      <c r="J30" s="231"/>
      <c r="K30" s="112" t="s">
        <v>2639</v>
      </c>
      <c r="L30" s="113" t="s">
        <v>229</v>
      </c>
      <c r="M30" s="113" t="s">
        <v>230</v>
      </c>
      <c r="N30" s="113" t="s">
        <v>232</v>
      </c>
      <c r="O30" s="113"/>
      <c r="P30" s="113" t="s">
        <v>231</v>
      </c>
      <c r="Q30" s="231"/>
      <c r="R30" s="112" t="s">
        <v>2639</v>
      </c>
      <c r="S30" s="113" t="s">
        <v>229</v>
      </c>
      <c r="T30" s="113" t="s">
        <v>230</v>
      </c>
      <c r="U30" s="113" t="s">
        <v>232</v>
      </c>
      <c r="V30" s="113"/>
      <c r="W30" s="113" t="s">
        <v>231</v>
      </c>
      <c r="X30" s="231"/>
      <c r="Y30" s="112" t="s">
        <v>2639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2640</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2641</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2642</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2643</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2644</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2645</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2646</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2647</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2648</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2649</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2650</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2651</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2652</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2653</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2654</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2655</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2656</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2657</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2658</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2659</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2660</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2663</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0" t="s">
        <v>2664</v>
      </c>
      <c r="C1" s="3500"/>
      <c r="D1" s="3500"/>
      <c r="E1" s="3500"/>
      <c r="F1" s="3500"/>
      <c r="G1" s="3499" t="s">
        <v>2665</v>
      </c>
      <c r="H1" s="3499"/>
      <c r="I1" s="3499"/>
      <c r="J1" s="3499"/>
      <c r="K1" s="3499"/>
      <c r="L1" s="3499"/>
      <c r="N1" s="3499" t="s">
        <v>2636</v>
      </c>
      <c r="O1" s="3499"/>
      <c r="P1" s="3499"/>
      <c r="Q1" s="3499"/>
      <c r="S1" s="3499" t="s">
        <v>2666</v>
      </c>
      <c r="T1" s="3499"/>
      <c r="U1" s="3499"/>
      <c r="V1" s="3499"/>
      <c r="X1" s="3498" t="s">
        <v>2637</v>
      </c>
      <c r="Y1" s="3499"/>
      <c r="Z1" s="3499"/>
      <c r="AA1" s="3499"/>
      <c r="AB1" s="3499"/>
      <c r="AD1" s="3498" t="s">
        <v>2638</v>
      </c>
      <c r="AE1" s="3499"/>
      <c r="AF1" s="3499"/>
      <c r="AG1" s="3499"/>
      <c r="AH1" s="3499"/>
    </row>
    <row r="2" spans="1:34" s="103" customFormat="1" ht="13.5">
      <c r="B2" s="112" t="s">
        <v>471</v>
      </c>
      <c r="C2" s="112" t="s">
        <v>2667</v>
      </c>
      <c r="D2" s="113" t="s">
        <v>230</v>
      </c>
      <c r="E2" s="113" t="s">
        <v>232</v>
      </c>
      <c r="F2" s="112" t="s">
        <v>2668</v>
      </c>
      <c r="G2" s="114"/>
      <c r="I2" s="112" t="s">
        <v>471</v>
      </c>
      <c r="J2" s="113" t="s">
        <v>1967</v>
      </c>
      <c r="K2" s="113" t="s">
        <v>232</v>
      </c>
      <c r="L2" s="112" t="s">
        <v>2668</v>
      </c>
      <c r="N2" s="112" t="s">
        <v>471</v>
      </c>
      <c r="O2" s="113" t="s">
        <v>1967</v>
      </c>
      <c r="P2" s="113" t="s">
        <v>232</v>
      </c>
      <c r="Q2" s="112" t="s">
        <v>2668</v>
      </c>
      <c r="S2" s="112" t="s">
        <v>471</v>
      </c>
      <c r="T2" s="113" t="s">
        <v>1967</v>
      </c>
      <c r="U2" s="113" t="s">
        <v>232</v>
      </c>
      <c r="V2" s="112" t="s">
        <v>2668</v>
      </c>
      <c r="X2" s="112" t="s">
        <v>471</v>
      </c>
      <c r="Y2" s="112" t="s">
        <v>2667</v>
      </c>
      <c r="Z2" s="113" t="s">
        <v>230</v>
      </c>
      <c r="AA2" s="113" t="s">
        <v>232</v>
      </c>
      <c r="AB2" s="112" t="s">
        <v>2668</v>
      </c>
      <c r="AD2" s="112" t="s">
        <v>471</v>
      </c>
      <c r="AE2" s="112" t="s">
        <v>2667</v>
      </c>
      <c r="AF2" s="113" t="s">
        <v>230</v>
      </c>
      <c r="AG2" s="113" t="s">
        <v>232</v>
      </c>
      <c r="AH2" s="112" t="s">
        <v>2668</v>
      </c>
    </row>
    <row r="3" spans="1:34" s="104" customFormat="1" ht="14.25">
      <c r="A3" s="115" t="s">
        <v>2640</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2654</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2669</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2678</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1">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1"/>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1"/>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2"/>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2682</v>
      </c>
      <c r="B25" s="148">
        <v>439</v>
      </c>
      <c r="C25" s="148">
        <v>327</v>
      </c>
      <c r="D25" s="148">
        <f t="shared" si="217"/>
        <v>327</v>
      </c>
      <c r="E25" s="148">
        <v>627</v>
      </c>
      <c r="F25" s="149">
        <v>283</v>
      </c>
      <c r="G25" s="3503">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1"/>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2684</v>
      </c>
      <c r="B27" s="129">
        <f t="shared" si="232"/>
        <v>419.31181600000002</v>
      </c>
      <c r="C27" s="129">
        <f t="shared" si="233"/>
        <v>313.95436799999999</v>
      </c>
      <c r="D27" s="129">
        <f t="shared" si="234"/>
        <v>313.95436799999999</v>
      </c>
      <c r="E27" s="129">
        <f t="shared" si="235"/>
        <v>596.63028431999999</v>
      </c>
      <c r="F27" s="129">
        <f t="shared" si="236"/>
        <v>274.74220703999998</v>
      </c>
      <c r="G27" s="3501"/>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2685</v>
      </c>
      <c r="B28" s="129">
        <f t="shared" si="232"/>
        <v>405.524</v>
      </c>
      <c r="C28" s="129">
        <f t="shared" si="233"/>
        <v>307.79840000000002</v>
      </c>
      <c r="D28" s="129">
        <f t="shared" si="234"/>
        <v>307.79840000000002</v>
      </c>
      <c r="E28" s="129">
        <f t="shared" si="235"/>
        <v>574.67759999999998</v>
      </c>
      <c r="F28" s="129">
        <f t="shared" si="236"/>
        <v>270.20280000000002</v>
      </c>
      <c r="G28" s="3502"/>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2686</v>
      </c>
      <c r="B29" s="148">
        <v>392</v>
      </c>
      <c r="C29" s="148">
        <v>302</v>
      </c>
      <c r="D29" s="148">
        <f t="shared" si="234"/>
        <v>302</v>
      </c>
      <c r="E29" s="148">
        <v>553</v>
      </c>
      <c r="F29" s="149">
        <v>266</v>
      </c>
      <c r="G29" s="3503">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1"/>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2688</v>
      </c>
      <c r="B31" s="129">
        <f t="shared" si="245"/>
        <v>360.06949782209398</v>
      </c>
      <c r="C31" s="129">
        <f t="shared" si="245"/>
        <v>289.84672674747799</v>
      </c>
      <c r="D31" s="129">
        <f t="shared" si="246"/>
        <v>289.84672674747799</v>
      </c>
      <c r="E31" s="129">
        <f t="shared" si="247"/>
        <v>501.06543001181501</v>
      </c>
      <c r="F31" s="129">
        <f t="shared" si="247"/>
        <v>256.82882500745001</v>
      </c>
      <c r="G31" s="3501"/>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2689</v>
      </c>
      <c r="B32" s="129">
        <f t="shared" si="245"/>
        <v>346.720748986128</v>
      </c>
      <c r="C32" s="129">
        <f t="shared" si="245"/>
        <v>284.30282172386302</v>
      </c>
      <c r="D32" s="129">
        <f t="shared" si="246"/>
        <v>284.30282172386302</v>
      </c>
      <c r="E32" s="129">
        <f t="shared" si="247"/>
        <v>479.58023546306902</v>
      </c>
      <c r="F32" s="129">
        <f t="shared" si="247"/>
        <v>253.25788877571199</v>
      </c>
      <c r="G32" s="3504"/>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2690</v>
      </c>
      <c r="B33" s="148">
        <v>333</v>
      </c>
      <c r="C33" s="148">
        <v>277</v>
      </c>
      <c r="D33" s="148">
        <f t="shared" si="246"/>
        <v>277</v>
      </c>
      <c r="E33" s="148">
        <v>459</v>
      </c>
      <c r="F33" s="149">
        <v>249</v>
      </c>
      <c r="G33" s="3505">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1"/>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2692</v>
      </c>
      <c r="B35" s="129">
        <f t="shared" si="249"/>
        <v>322.34053690220799</v>
      </c>
      <c r="C35" s="129">
        <f t="shared" si="249"/>
        <v>271.461607704225</v>
      </c>
      <c r="D35" s="129">
        <f t="shared" si="246"/>
        <v>271.461607704225</v>
      </c>
      <c r="E35" s="129">
        <f t="shared" si="250"/>
        <v>442.69434542172502</v>
      </c>
      <c r="F35" s="129">
        <f t="shared" si="250"/>
        <v>241.34030753190899</v>
      </c>
      <c r="G35" s="3501"/>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2693</v>
      </c>
      <c r="B36" s="129">
        <f t="shared" si="249"/>
        <v>319.87748030386803</v>
      </c>
      <c r="C36" s="129">
        <f t="shared" si="249"/>
        <v>269.60135833173598</v>
      </c>
      <c r="D36" s="129">
        <f t="shared" si="246"/>
        <v>269.60135833173598</v>
      </c>
      <c r="E36" s="129">
        <f t="shared" si="250"/>
        <v>439.18089823583801</v>
      </c>
      <c r="F36" s="129">
        <f t="shared" si="250"/>
        <v>239.23503918706299</v>
      </c>
      <c r="G36" s="3504"/>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2694</v>
      </c>
      <c r="B37" s="162">
        <v>318</v>
      </c>
      <c r="C37" s="162">
        <v>268</v>
      </c>
      <c r="D37" s="162">
        <f t="shared" si="246"/>
        <v>268</v>
      </c>
      <c r="E37" s="162">
        <v>437</v>
      </c>
      <c r="F37" s="163">
        <v>237</v>
      </c>
      <c r="G37" s="3505">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1"/>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2696</v>
      </c>
      <c r="B39" s="129">
        <f t="shared" si="251"/>
        <v>314.721411723865</v>
      </c>
      <c r="C39" s="129">
        <f t="shared" si="251"/>
        <v>263.03901319069001</v>
      </c>
      <c r="D39" s="129">
        <f t="shared" si="246"/>
        <v>263.03901319069001</v>
      </c>
      <c r="E39" s="129">
        <f t="shared" si="252"/>
        <v>433.65745506782798</v>
      </c>
      <c r="F39" s="129">
        <f t="shared" si="252"/>
        <v>233.23005080045701</v>
      </c>
      <c r="G39" s="3501"/>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2697</v>
      </c>
      <c r="B40" s="167">
        <f t="shared" si="251"/>
        <v>307.34512863658699</v>
      </c>
      <c r="C40" s="167">
        <f t="shared" si="251"/>
        <v>257.80556031626998</v>
      </c>
      <c r="D40" s="167">
        <f t="shared" si="246"/>
        <v>257.80556031626998</v>
      </c>
      <c r="E40" s="167">
        <f t="shared" si="252"/>
        <v>422.70928459677202</v>
      </c>
      <c r="F40" s="167">
        <f t="shared" si="252"/>
        <v>229.738032703366</v>
      </c>
      <c r="G40" s="3504"/>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2698</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2699</v>
      </c>
      <c r="B41" s="148">
        <v>299</v>
      </c>
      <c r="C41" s="148">
        <v>252</v>
      </c>
      <c r="D41" s="148">
        <f t="shared" si="246"/>
        <v>252</v>
      </c>
      <c r="E41" s="148">
        <v>409</v>
      </c>
      <c r="F41" s="149">
        <v>227</v>
      </c>
      <c r="G41" s="3506">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7"/>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2701</v>
      </c>
      <c r="B43" s="129">
        <f t="shared" si="255"/>
        <v>288.264905382878</v>
      </c>
      <c r="C43" s="129">
        <f t="shared" si="255"/>
        <v>243.64564425013299</v>
      </c>
      <c r="D43" s="129">
        <f t="shared" si="246"/>
        <v>243.64564425013299</v>
      </c>
      <c r="E43" s="129">
        <f t="shared" si="256"/>
        <v>393.31080825986498</v>
      </c>
      <c r="F43" s="129">
        <f t="shared" si="256"/>
        <v>223.079037905512</v>
      </c>
      <c r="G43" s="3507"/>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2702</v>
      </c>
      <c r="B44" s="129">
        <f t="shared" si="255"/>
        <v>282.50186729015797</v>
      </c>
      <c r="C44" s="129">
        <f t="shared" si="255"/>
        <v>238.097961741555</v>
      </c>
      <c r="D44" s="129">
        <f t="shared" si="246"/>
        <v>238.097961741555</v>
      </c>
      <c r="E44" s="129">
        <f t="shared" si="256"/>
        <v>385.33438646014099</v>
      </c>
      <c r="F44" s="129">
        <f t="shared" si="256"/>
        <v>221.550340555677</v>
      </c>
      <c r="G44" s="3508"/>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2703</v>
      </c>
      <c r="B45" s="180">
        <v>278</v>
      </c>
      <c r="C45" s="180">
        <v>234</v>
      </c>
      <c r="D45" s="180">
        <f t="shared" si="246"/>
        <v>234</v>
      </c>
      <c r="E45" s="180">
        <v>379</v>
      </c>
      <c r="F45" s="181">
        <v>220</v>
      </c>
      <c r="G45" s="3505">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2704</v>
      </c>
      <c r="B46" s="129">
        <f>B45/(1+N45)</f>
        <v>275.49301357645402</v>
      </c>
      <c r="C46" s="129">
        <f>C45/(1+O45)</f>
        <v>232.41954707985701</v>
      </c>
      <c r="D46" s="129">
        <f t="shared" si="246"/>
        <v>232.41954707985701</v>
      </c>
      <c r="E46" s="129">
        <f t="shared" ref="E46:F48" si="257">E45/(1+P45)</f>
        <v>375.32184591008098</v>
      </c>
      <c r="F46" s="129">
        <f t="shared" si="257"/>
        <v>218.03766105054501</v>
      </c>
      <c r="G46" s="3501"/>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2705</v>
      </c>
      <c r="B47" s="129">
        <f>B46/(1+N46)</f>
        <v>275.24529281292303</v>
      </c>
      <c r="C47" s="129">
        <f>C46/(1+O46)</f>
        <v>231.74747938962699</v>
      </c>
      <c r="D47" s="129">
        <f t="shared" si="246"/>
        <v>231.74747938962699</v>
      </c>
      <c r="E47" s="129">
        <f t="shared" si="257"/>
        <v>375.35938184826603</v>
      </c>
      <c r="F47" s="129">
        <f t="shared" si="257"/>
        <v>216.78033510692501</v>
      </c>
      <c r="G47" s="3501"/>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2706</v>
      </c>
      <c r="B48" s="129">
        <f>B47/(1+N47)</f>
        <v>275.19025476196998</v>
      </c>
      <c r="C48" s="182">
        <v>232</v>
      </c>
      <c r="D48" s="182">
        <f t="shared" si="246"/>
        <v>232</v>
      </c>
      <c r="E48" s="129">
        <f t="shared" si="257"/>
        <v>375.65990977608698</v>
      </c>
      <c r="F48" s="129">
        <f t="shared" si="257"/>
        <v>214.12518283971301</v>
      </c>
      <c r="G48" s="3504"/>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2707</v>
      </c>
      <c r="B49" s="148">
        <v>275</v>
      </c>
      <c r="C49" s="148">
        <v>232</v>
      </c>
      <c r="D49" s="148">
        <f t="shared" si="246"/>
        <v>232</v>
      </c>
      <c r="E49" s="148">
        <v>376</v>
      </c>
      <c r="F49" s="149">
        <v>213</v>
      </c>
      <c r="G49" s="3505">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1">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2709</v>
      </c>
      <c r="B51" s="129">
        <f t="shared" si="258"/>
        <v>275.19335084830601</v>
      </c>
      <c r="C51" s="129">
        <f t="shared" si="258"/>
        <v>230.18088050139701</v>
      </c>
      <c r="D51" s="129">
        <f t="shared" si="246"/>
        <v>230.18088050139701</v>
      </c>
      <c r="E51" s="129">
        <f t="shared" si="259"/>
        <v>377.58482925212297</v>
      </c>
      <c r="F51" s="129">
        <f t="shared" si="259"/>
        <v>210.906879978479</v>
      </c>
      <c r="G51" s="3501">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2710</v>
      </c>
      <c r="B52" s="129">
        <f t="shared" si="258"/>
        <v>276.29854502841999</v>
      </c>
      <c r="C52" s="129">
        <f t="shared" si="258"/>
        <v>229.79023709833001</v>
      </c>
      <c r="D52" s="129">
        <f t="shared" si="246"/>
        <v>229.79023709833001</v>
      </c>
      <c r="E52" s="129">
        <f t="shared" si="259"/>
        <v>379.78759731655902</v>
      </c>
      <c r="F52" s="129">
        <f t="shared" si="259"/>
        <v>211.32953905659201</v>
      </c>
      <c r="G52" s="3504">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2711</v>
      </c>
      <c r="B53" s="148">
        <v>269</v>
      </c>
      <c r="C53" s="148">
        <v>221</v>
      </c>
      <c r="D53" s="148">
        <f t="shared" si="246"/>
        <v>221</v>
      </c>
      <c r="E53" s="148">
        <v>373</v>
      </c>
      <c r="F53" s="149">
        <v>196</v>
      </c>
      <c r="G53" s="3505">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1">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2713</v>
      </c>
      <c r="B55" s="129">
        <f t="shared" si="260"/>
        <v>242.95398227588399</v>
      </c>
      <c r="C55" s="129">
        <f t="shared" si="260"/>
        <v>199.591370536141</v>
      </c>
      <c r="D55" s="129">
        <f t="shared" si="246"/>
        <v>199.591370536141</v>
      </c>
      <c r="E55" s="129">
        <f t="shared" si="261"/>
        <v>335.92189522342102</v>
      </c>
      <c r="F55" s="129">
        <f t="shared" si="261"/>
        <v>183.101399911095</v>
      </c>
      <c r="G55" s="3501">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2714</v>
      </c>
      <c r="B56" s="129">
        <f t="shared" si="260"/>
        <v>232.06990378821601</v>
      </c>
      <c r="C56" s="129">
        <f t="shared" si="260"/>
        <v>192.74878854286899</v>
      </c>
      <c r="D56" s="129">
        <f t="shared" si="246"/>
        <v>192.74878854286899</v>
      </c>
      <c r="E56" s="129">
        <f t="shared" si="261"/>
        <v>319.71247284993001</v>
      </c>
      <c r="F56" s="129">
        <f t="shared" si="261"/>
        <v>175.670536228624</v>
      </c>
      <c r="G56" s="3504">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2715</v>
      </c>
      <c r="B57" s="148">
        <v>220</v>
      </c>
      <c r="C57" s="148">
        <v>187</v>
      </c>
      <c r="D57" s="148">
        <f t="shared" si="246"/>
        <v>187</v>
      </c>
      <c r="E57" s="148">
        <v>301</v>
      </c>
      <c r="F57" s="149">
        <v>168</v>
      </c>
      <c r="G57" s="3505">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1">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2717</v>
      </c>
      <c r="B59" s="129">
        <f t="shared" si="262"/>
        <v>210.630522469011</v>
      </c>
      <c r="C59" s="129">
        <f t="shared" si="262"/>
        <v>181.695678122472</v>
      </c>
      <c r="D59" s="129">
        <f t="shared" si="246"/>
        <v>181.695678122472</v>
      </c>
      <c r="E59" s="129">
        <f t="shared" si="263"/>
        <v>286.13517466736698</v>
      </c>
      <c r="F59" s="129">
        <f t="shared" si="263"/>
        <v>165.47535084591101</v>
      </c>
      <c r="G59" s="3501">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2718</v>
      </c>
      <c r="B60" s="129">
        <f t="shared" si="262"/>
        <v>208.834545378754</v>
      </c>
      <c r="C60" s="129">
        <f t="shared" si="262"/>
        <v>183.77230517090399</v>
      </c>
      <c r="D60" s="129">
        <f t="shared" si="246"/>
        <v>183.77230517090399</v>
      </c>
      <c r="E60" s="129">
        <f t="shared" si="263"/>
        <v>281.10342338870902</v>
      </c>
      <c r="F60" s="129">
        <f t="shared" si="263"/>
        <v>168.97309388942301</v>
      </c>
      <c r="G60" s="3504">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2719</v>
      </c>
      <c r="B61" s="180">
        <v>214</v>
      </c>
      <c r="C61" s="180">
        <v>188</v>
      </c>
      <c r="D61" s="180">
        <f t="shared" si="246"/>
        <v>188</v>
      </c>
      <c r="E61" s="180">
        <v>289</v>
      </c>
      <c r="F61" s="181">
        <v>166</v>
      </c>
      <c r="G61" s="3505">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1">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2721</v>
      </c>
      <c r="B63" s="129">
        <f t="shared" si="264"/>
        <v>206.31694671589099</v>
      </c>
      <c r="C63" s="129">
        <f t="shared" si="264"/>
        <v>183.61041121036101</v>
      </c>
      <c r="D63" s="129">
        <f t="shared" si="246"/>
        <v>183.61041121036101</v>
      </c>
      <c r="E63" s="129">
        <f t="shared" si="265"/>
        <v>276.66850301795603</v>
      </c>
      <c r="F63" s="129">
        <f t="shared" si="265"/>
        <v>165.136093827861</v>
      </c>
      <c r="G63" s="3501">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2722</v>
      </c>
      <c r="B64" s="183">
        <f t="shared" si="264"/>
        <v>196.62341248059801</v>
      </c>
      <c r="C64" s="183">
        <f t="shared" si="264"/>
        <v>170.99125648199001</v>
      </c>
      <c r="D64" s="183">
        <f t="shared" si="246"/>
        <v>170.99125648199001</v>
      </c>
      <c r="E64" s="183">
        <f t="shared" si="265"/>
        <v>266.07857570490103</v>
      </c>
      <c r="F64" s="183">
        <f t="shared" si="265"/>
        <v>154.53499328828499</v>
      </c>
      <c r="G64" s="3504">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2723</v>
      </c>
      <c r="B65" s="148">
        <v>188</v>
      </c>
      <c r="C65" s="148">
        <v>165</v>
      </c>
      <c r="D65" s="148">
        <f t="shared" si="246"/>
        <v>165</v>
      </c>
      <c r="E65" s="148">
        <v>254</v>
      </c>
      <c r="F65" s="149">
        <v>148</v>
      </c>
      <c r="G65" s="3505">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1">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2725</v>
      </c>
      <c r="B67" s="129">
        <f t="shared" si="268"/>
        <v>168.820177487156</v>
      </c>
      <c r="C67" s="129">
        <f t="shared" si="268"/>
        <v>148.06267029972801</v>
      </c>
      <c r="D67" s="129">
        <f t="shared" si="246"/>
        <v>148.06267029972801</v>
      </c>
      <c r="E67" s="129">
        <f t="shared" si="269"/>
        <v>216.46288379323701</v>
      </c>
      <c r="F67" s="129">
        <f t="shared" si="269"/>
        <v>134.23529411764699</v>
      </c>
      <c r="G67" s="3501">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2726</v>
      </c>
      <c r="B68" s="129">
        <f t="shared" si="268"/>
        <v>163.849135917795</v>
      </c>
      <c r="C68" s="129">
        <f t="shared" si="268"/>
        <v>145.028337874659</v>
      </c>
      <c r="D68" s="129">
        <f t="shared" si="246"/>
        <v>145.028337874659</v>
      </c>
      <c r="E68" s="129">
        <f t="shared" si="269"/>
        <v>204.95180722891601</v>
      </c>
      <c r="F68" s="129">
        <f t="shared" si="269"/>
        <v>125.959203036053</v>
      </c>
      <c r="G68" s="3504">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2727</v>
      </c>
      <c r="B69" s="162">
        <v>159</v>
      </c>
      <c r="C69" s="162">
        <v>141</v>
      </c>
      <c r="D69" s="162">
        <f t="shared" si="246"/>
        <v>141</v>
      </c>
      <c r="E69" s="162">
        <v>195</v>
      </c>
      <c r="F69" s="163">
        <v>122</v>
      </c>
      <c r="G69" s="3505">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1">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2729</v>
      </c>
      <c r="B71" s="129">
        <f t="shared" si="272"/>
        <v>146.57412060301499</v>
      </c>
      <c r="C71" s="129">
        <f t="shared" si="272"/>
        <v>136.468319559229</v>
      </c>
      <c r="D71" s="129">
        <f t="shared" si="246"/>
        <v>136.468319559229</v>
      </c>
      <c r="E71" s="129">
        <f t="shared" si="273"/>
        <v>166.73864894795099</v>
      </c>
      <c r="F71" s="129">
        <f t="shared" si="273"/>
        <v>115.058823529412</v>
      </c>
      <c r="G71" s="3501">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2730</v>
      </c>
      <c r="B72" s="129">
        <f t="shared" si="272"/>
        <v>144.04145728643201</v>
      </c>
      <c r="C72" s="129">
        <f t="shared" si="272"/>
        <v>136.123966942149</v>
      </c>
      <c r="D72" s="129">
        <f t="shared" si="246"/>
        <v>136.123966942149</v>
      </c>
      <c r="E72" s="129">
        <f t="shared" si="273"/>
        <v>158.32225913621301</v>
      </c>
      <c r="F72" s="129">
        <f t="shared" si="273"/>
        <v>114.04278074866301</v>
      </c>
      <c r="G72" s="3504">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2731</v>
      </c>
      <c r="B73" s="162">
        <v>138</v>
      </c>
      <c r="C73" s="162">
        <v>131</v>
      </c>
      <c r="D73" s="162">
        <f t="shared" si="246"/>
        <v>131</v>
      </c>
      <c r="E73" s="162">
        <v>155</v>
      </c>
      <c r="F73" s="163">
        <v>114</v>
      </c>
      <c r="G73" s="3505">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1">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2733</v>
      </c>
      <c r="B75" s="129">
        <f t="shared" si="276"/>
        <v>124.290322580645</v>
      </c>
      <c r="C75" s="129">
        <f t="shared" si="276"/>
        <v>123.896860986547</v>
      </c>
      <c r="D75" s="129">
        <f t="shared" si="246"/>
        <v>123.896860986547</v>
      </c>
      <c r="E75" s="129">
        <f t="shared" si="277"/>
        <v>138.005076142132</v>
      </c>
      <c r="F75" s="129">
        <f t="shared" si="277"/>
        <v>107.96106557377</v>
      </c>
      <c r="G75" s="3501">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2734</v>
      </c>
      <c r="B76" s="129">
        <f t="shared" si="276"/>
        <v>122.57204301075301</v>
      </c>
      <c r="C76" s="129">
        <f t="shared" si="276"/>
        <v>123.493273542601</v>
      </c>
      <c r="D76" s="129">
        <f t="shared" si="246"/>
        <v>123.493273542601</v>
      </c>
      <c r="E76" s="129">
        <f t="shared" si="277"/>
        <v>129.82233502538099</v>
      </c>
      <c r="F76" s="129">
        <f t="shared" si="277"/>
        <v>107.39446721311501</v>
      </c>
      <c r="G76" s="3504">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2735</v>
      </c>
      <c r="B77" s="180">
        <v>121</v>
      </c>
      <c r="C77" s="180">
        <v>122</v>
      </c>
      <c r="D77" s="180">
        <f t="shared" si="246"/>
        <v>122</v>
      </c>
      <c r="E77" s="180">
        <v>124</v>
      </c>
      <c r="F77" s="181">
        <v>107</v>
      </c>
      <c r="G77" s="3505">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1">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2737</v>
      </c>
      <c r="B79" s="129">
        <f t="shared" si="280"/>
        <v>116.99099099099099</v>
      </c>
      <c r="C79" s="129">
        <f t="shared" si="280"/>
        <v>118.848484848485</v>
      </c>
      <c r="D79" s="129">
        <f t="shared" si="246"/>
        <v>118.848484848485</v>
      </c>
      <c r="E79" s="129">
        <f t="shared" si="281"/>
        <v>117.60960960961</v>
      </c>
      <c r="F79" s="129">
        <f t="shared" si="281"/>
        <v>104</v>
      </c>
      <c r="G79" s="3501">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2738</v>
      </c>
      <c r="B80" s="183">
        <f t="shared" si="280"/>
        <v>112.486486486486</v>
      </c>
      <c r="C80" s="183">
        <f t="shared" si="280"/>
        <v>115.212121212121</v>
      </c>
      <c r="D80" s="183">
        <f t="shared" si="246"/>
        <v>115.212121212121</v>
      </c>
      <c r="E80" s="183">
        <f t="shared" si="281"/>
        <v>110.402402402402</v>
      </c>
      <c r="F80" s="183">
        <f t="shared" si="281"/>
        <v>104</v>
      </c>
      <c r="G80" s="3504">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2739</v>
      </c>
      <c r="B81" s="199">
        <v>111</v>
      </c>
      <c r="C81" s="199">
        <v>114</v>
      </c>
      <c r="D81" s="199">
        <f t="shared" si="246"/>
        <v>114</v>
      </c>
      <c r="E81" s="199">
        <v>108</v>
      </c>
      <c r="F81" s="200">
        <v>104</v>
      </c>
      <c r="G81" s="3505">
        <v>2003</v>
      </c>
      <c r="H81" s="189">
        <v>4</v>
      </c>
      <c r="I81" s="201"/>
      <c r="J81" s="201"/>
      <c r="K81" s="201"/>
      <c r="L81" s="201"/>
      <c r="N81" s="202"/>
      <c r="O81" s="201"/>
      <c r="P81" s="201"/>
      <c r="Q81" s="201"/>
      <c r="S81" s="202"/>
      <c r="T81" s="201"/>
      <c r="U81" s="201"/>
      <c r="V81" s="201"/>
      <c r="X81" s="193"/>
      <c r="Y81" s="193"/>
      <c r="Z81" s="193"/>
    </row>
    <row r="82" spans="1:26">
      <c r="A82" s="128" t="s">
        <v>2740</v>
      </c>
      <c r="B82" s="203">
        <f t="shared" ref="B82:C84" si="282">B83+(B$81-B$85)/4</f>
        <v>109.75</v>
      </c>
      <c r="C82" s="203">
        <f t="shared" si="282"/>
        <v>112.25</v>
      </c>
      <c r="D82" s="203">
        <f t="shared" si="246"/>
        <v>112.25</v>
      </c>
      <c r="E82" s="203">
        <f t="shared" ref="E82:F84" si="283">E83+(E$81-E$85)/4</f>
        <v>107.25</v>
      </c>
      <c r="F82" s="203">
        <f t="shared" si="283"/>
        <v>103.5</v>
      </c>
      <c r="G82" s="3501">
        <v>2003</v>
      </c>
      <c r="H82" s="160">
        <v>3</v>
      </c>
      <c r="I82" s="201"/>
      <c r="J82" s="201"/>
      <c r="K82" s="201"/>
      <c r="L82" s="201"/>
      <c r="X82" s="193"/>
      <c r="Y82" s="193"/>
      <c r="Z82" s="193"/>
    </row>
    <row r="83" spans="1:26">
      <c r="A83" s="128" t="s">
        <v>2741</v>
      </c>
      <c r="B83" s="203">
        <f t="shared" si="282"/>
        <v>108.5</v>
      </c>
      <c r="C83" s="203">
        <f t="shared" si="282"/>
        <v>110.5</v>
      </c>
      <c r="D83" s="203">
        <f t="shared" si="246"/>
        <v>110.5</v>
      </c>
      <c r="E83" s="203">
        <f t="shared" si="283"/>
        <v>106.5</v>
      </c>
      <c r="F83" s="203">
        <f t="shared" si="283"/>
        <v>103</v>
      </c>
      <c r="G83" s="3501">
        <v>2003</v>
      </c>
      <c r="H83" s="150">
        <v>2</v>
      </c>
      <c r="I83" s="201"/>
      <c r="J83" s="201"/>
      <c r="K83" s="201"/>
      <c r="L83" s="201"/>
      <c r="X83" s="193"/>
      <c r="Y83" s="193"/>
      <c r="Z83" s="193"/>
    </row>
    <row r="84" spans="1:26">
      <c r="A84" s="128" t="s">
        <v>2742</v>
      </c>
      <c r="B84" s="203">
        <f t="shared" si="282"/>
        <v>107.25</v>
      </c>
      <c r="C84" s="203">
        <f t="shared" si="282"/>
        <v>108.75</v>
      </c>
      <c r="D84" s="203">
        <f t="shared" si="246"/>
        <v>108.75</v>
      </c>
      <c r="E84" s="203">
        <f t="shared" si="283"/>
        <v>105.75</v>
      </c>
      <c r="F84" s="203">
        <f t="shared" si="283"/>
        <v>102.5</v>
      </c>
      <c r="G84" s="3504">
        <v>2003</v>
      </c>
      <c r="H84" s="204">
        <v>1</v>
      </c>
      <c r="I84" s="201"/>
      <c r="J84" s="201"/>
      <c r="K84" s="201"/>
      <c r="L84" s="201"/>
      <c r="S84" s="134"/>
      <c r="T84" s="127"/>
      <c r="U84" s="127"/>
      <c r="X84" s="193"/>
      <c r="Y84" s="193"/>
      <c r="Z84" s="193"/>
    </row>
    <row r="85" spans="1:26">
      <c r="A85" s="128" t="s">
        <v>2743</v>
      </c>
      <c r="B85" s="205">
        <v>106</v>
      </c>
      <c r="C85" s="205">
        <v>107</v>
      </c>
      <c r="D85" s="205">
        <f t="shared" si="246"/>
        <v>107</v>
      </c>
      <c r="E85" s="205">
        <v>105</v>
      </c>
      <c r="F85" s="206">
        <v>102</v>
      </c>
      <c r="G85" s="3505">
        <v>2002</v>
      </c>
      <c r="H85" s="156">
        <v>4</v>
      </c>
      <c r="I85" s="201"/>
      <c r="J85" s="201"/>
      <c r="K85" s="201"/>
      <c r="L85" s="201"/>
      <c r="N85" s="202"/>
      <c r="O85" s="201"/>
      <c r="P85" s="201"/>
      <c r="Q85" s="201"/>
      <c r="S85" s="202"/>
      <c r="T85" s="201"/>
      <c r="U85" s="201"/>
      <c r="V85" s="201"/>
      <c r="X85" s="193"/>
      <c r="Y85" s="193"/>
      <c r="Z85" s="193"/>
    </row>
    <row r="86" spans="1:26">
      <c r="A86" s="128" t="s">
        <v>2744</v>
      </c>
      <c r="B86" s="203">
        <f t="shared" ref="B86:C88" si="284">B87+(B$85-B$89)/4</f>
        <v>105</v>
      </c>
      <c r="C86" s="203">
        <f t="shared" si="284"/>
        <v>106</v>
      </c>
      <c r="D86" s="203">
        <f t="shared" si="246"/>
        <v>106</v>
      </c>
      <c r="E86" s="203">
        <f t="shared" ref="E86:F88" si="285">E87+(E$85-E$89)/4</f>
        <v>104.5</v>
      </c>
      <c r="F86" s="203">
        <f t="shared" si="285"/>
        <v>101.5</v>
      </c>
      <c r="G86" s="3501">
        <v>2002</v>
      </c>
      <c r="H86" s="160">
        <v>3</v>
      </c>
      <c r="I86" s="201"/>
      <c r="J86" s="201"/>
      <c r="K86" s="201"/>
      <c r="L86" s="201"/>
      <c r="X86" s="193"/>
      <c r="Y86" s="193"/>
      <c r="Z86" s="193"/>
    </row>
    <row r="87" spans="1:26">
      <c r="A87" s="128" t="s">
        <v>2745</v>
      </c>
      <c r="B87" s="203">
        <f t="shared" si="284"/>
        <v>104</v>
      </c>
      <c r="C87" s="203">
        <f t="shared" si="284"/>
        <v>105</v>
      </c>
      <c r="D87" s="203">
        <f t="shared" si="246"/>
        <v>105</v>
      </c>
      <c r="E87" s="203">
        <f t="shared" si="285"/>
        <v>104</v>
      </c>
      <c r="F87" s="203">
        <f t="shared" si="285"/>
        <v>101</v>
      </c>
      <c r="G87" s="3501">
        <v>2002</v>
      </c>
      <c r="H87" s="150">
        <v>2</v>
      </c>
      <c r="I87" s="201"/>
      <c r="J87" s="201"/>
      <c r="K87" s="201"/>
      <c r="L87" s="201"/>
      <c r="X87" s="193"/>
      <c r="Y87" s="193"/>
      <c r="Z87" s="193"/>
    </row>
    <row r="88" spans="1:26" s="107" customFormat="1">
      <c r="A88" s="166" t="s">
        <v>2746</v>
      </c>
      <c r="B88" s="172">
        <f t="shared" si="284"/>
        <v>103</v>
      </c>
      <c r="C88" s="172">
        <f t="shared" si="284"/>
        <v>104</v>
      </c>
      <c r="D88" s="172">
        <f t="shared" si="246"/>
        <v>104</v>
      </c>
      <c r="E88" s="172">
        <f t="shared" si="285"/>
        <v>103.5</v>
      </c>
      <c r="F88" s="172">
        <f t="shared" si="285"/>
        <v>100.5</v>
      </c>
      <c r="G88" s="3504">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2747</v>
      </c>
      <c r="G91" s="215"/>
      <c r="N91" s="215"/>
      <c r="S91" s="215"/>
    </row>
    <row r="92" spans="1:26" s="109" customFormat="1">
      <c r="A92" s="109" t="s">
        <v>2748</v>
      </c>
      <c r="G92" s="215"/>
      <c r="N92" s="215"/>
      <c r="S92" s="215"/>
    </row>
    <row r="93" spans="1:26" s="109" customFormat="1">
      <c r="A93" s="109" t="s">
        <v>2749</v>
      </c>
      <c r="G93" s="215"/>
      <c r="I93" s="216"/>
      <c r="J93" s="216"/>
      <c r="K93" s="216"/>
      <c r="L93" s="216"/>
      <c r="N93" s="217"/>
      <c r="O93" s="216"/>
      <c r="P93" s="216"/>
      <c r="Q93" s="216"/>
      <c r="S93" s="217"/>
      <c r="T93" s="216"/>
      <c r="U93" s="216"/>
      <c r="V93" s="216"/>
    </row>
    <row r="94" spans="1:26" s="109" customFormat="1">
      <c r="A94" s="109" t="s">
        <v>2750</v>
      </c>
      <c r="G94" s="215"/>
      <c r="N94" s="215"/>
      <c r="S94" s="215"/>
    </row>
    <row r="102" spans="7:22">
      <c r="G102" s="110"/>
      <c r="S102" s="218" t="s">
        <v>2751</v>
      </c>
      <c r="T102" s="160" t="s">
        <v>2752</v>
      </c>
      <c r="U102" s="160" t="s">
        <v>2753</v>
      </c>
      <c r="V102" s="160" t="s">
        <v>2754</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2755</v>
      </c>
      <c r="B1" s="3509"/>
      <c r="C1" s="3509"/>
      <c r="D1" s="3509"/>
      <c r="E1" s="3509"/>
      <c r="F1" s="3509"/>
      <c r="G1" s="3510"/>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2756</v>
      </c>
      <c r="B2" s="77"/>
      <c r="C2" s="77"/>
      <c r="D2" s="77"/>
      <c r="E2" s="77"/>
      <c r="F2" s="77"/>
      <c r="G2" s="78" t="s">
        <v>2757</v>
      </c>
      <c r="I2" s="79" t="s">
        <v>2252</v>
      </c>
      <c r="J2" s="79" t="s">
        <v>2257</v>
      </c>
      <c r="K2" s="79" t="s">
        <v>2276</v>
      </c>
      <c r="L2" s="79" t="s">
        <v>2301</v>
      </c>
      <c r="M2" s="79" t="s">
        <v>2332</v>
      </c>
      <c r="N2" s="79" t="s">
        <v>2372</v>
      </c>
      <c r="O2" s="79" t="s">
        <v>2435</v>
      </c>
      <c r="P2" s="79" t="s">
        <v>2479</v>
      </c>
      <c r="Q2" s="79" t="s">
        <v>2522</v>
      </c>
      <c r="R2" s="79" t="s">
        <v>2572</v>
      </c>
      <c r="S2" s="79" t="s">
        <v>2603</v>
      </c>
      <c r="T2" s="79" t="s">
        <v>2623</v>
      </c>
    </row>
    <row r="3" spans="1:20" s="71" customFormat="1">
      <c r="A3" s="3511" t="s">
        <v>2250</v>
      </c>
      <c r="B3" s="80"/>
      <c r="C3" s="81" t="s">
        <v>229</v>
      </c>
      <c r="D3" s="81" t="s">
        <v>230</v>
      </c>
      <c r="E3" s="81" t="s">
        <v>232</v>
      </c>
      <c r="F3" s="81" t="s">
        <v>233</v>
      </c>
      <c r="G3" s="81" t="s">
        <v>231</v>
      </c>
      <c r="H3" s="82"/>
      <c r="I3" s="83" t="s">
        <v>2253</v>
      </c>
      <c r="J3" s="84" t="s">
        <v>2258</v>
      </c>
      <c r="K3" s="84" t="s">
        <v>2277</v>
      </c>
      <c r="L3" s="83" t="s">
        <v>2302</v>
      </c>
      <c r="M3" s="83" t="s">
        <v>2333</v>
      </c>
      <c r="N3" s="83" t="s">
        <v>2373</v>
      </c>
      <c r="O3" s="83" t="s">
        <v>2436</v>
      </c>
      <c r="P3" s="83" t="s">
        <v>2480</v>
      </c>
      <c r="Q3" s="83" t="s">
        <v>2523</v>
      </c>
      <c r="R3" s="83" t="s">
        <v>2573</v>
      </c>
      <c r="S3" s="83" t="s">
        <v>2604</v>
      </c>
      <c r="T3" s="83" t="s">
        <v>2624</v>
      </c>
    </row>
    <row r="4" spans="1:20" s="71" customFormat="1">
      <c r="A4" s="3512"/>
      <c r="B4" s="85" t="s">
        <v>2251</v>
      </c>
      <c r="C4" s="85" t="s">
        <v>2758</v>
      </c>
      <c r="D4" s="85" t="s">
        <v>2758</v>
      </c>
      <c r="E4" s="85" t="s">
        <v>2758</v>
      </c>
      <c r="F4" s="86" t="s">
        <v>2758</v>
      </c>
      <c r="G4" s="86" t="s">
        <v>2758</v>
      </c>
      <c r="H4" s="82"/>
      <c r="I4" s="84" t="s">
        <v>2254</v>
      </c>
      <c r="J4" s="84" t="s">
        <v>2259</v>
      </c>
      <c r="K4" s="84" t="s">
        <v>2278</v>
      </c>
      <c r="L4" s="83" t="s">
        <v>2303</v>
      </c>
      <c r="M4" s="83" t="s">
        <v>2334</v>
      </c>
      <c r="N4" s="83" t="s">
        <v>2374</v>
      </c>
      <c r="O4" s="83" t="s">
        <v>2437</v>
      </c>
      <c r="P4" s="83" t="s">
        <v>2481</v>
      </c>
      <c r="Q4" s="83" t="s">
        <v>2524</v>
      </c>
      <c r="R4" s="83" t="s">
        <v>2574</v>
      </c>
      <c r="S4" s="83" t="s">
        <v>2605</v>
      </c>
      <c r="T4" s="83" t="s">
        <v>2625</v>
      </c>
    </row>
    <row r="5" spans="1:20">
      <c r="A5" s="87" t="s">
        <v>235</v>
      </c>
      <c r="B5" s="79" t="s">
        <v>2252</v>
      </c>
      <c r="C5" s="79">
        <v>34550</v>
      </c>
      <c r="D5" s="79">
        <v>34470</v>
      </c>
      <c r="E5" s="79">
        <v>34330</v>
      </c>
      <c r="F5" s="79">
        <v>13400</v>
      </c>
      <c r="G5" s="79">
        <v>25450</v>
      </c>
      <c r="H5" s="82"/>
      <c r="I5" s="83" t="s">
        <v>2255</v>
      </c>
      <c r="J5" s="84" t="s">
        <v>2260</v>
      </c>
      <c r="K5" s="84" t="s">
        <v>2279</v>
      </c>
      <c r="L5" s="83" t="s">
        <v>2304</v>
      </c>
      <c r="M5" s="83" t="s">
        <v>2335</v>
      </c>
      <c r="N5" s="83" t="s">
        <v>2375</v>
      </c>
      <c r="O5" s="83" t="s">
        <v>2438</v>
      </c>
      <c r="P5" s="83" t="s">
        <v>2482</v>
      </c>
      <c r="Q5" s="83" t="s">
        <v>2525</v>
      </c>
      <c r="R5" s="83" t="s">
        <v>2575</v>
      </c>
      <c r="S5" s="83" t="s">
        <v>2606</v>
      </c>
      <c r="T5" s="83" t="s">
        <v>2626</v>
      </c>
    </row>
    <row r="6" spans="1:20">
      <c r="A6" s="83" t="s">
        <v>235</v>
      </c>
      <c r="B6" s="83" t="s">
        <v>2253</v>
      </c>
      <c r="C6" s="83">
        <v>36990</v>
      </c>
      <c r="D6" s="83">
        <v>36850</v>
      </c>
      <c r="E6" s="83">
        <v>36700</v>
      </c>
      <c r="F6" s="83">
        <v>14590</v>
      </c>
      <c r="G6" s="83">
        <v>27450</v>
      </c>
      <c r="H6" s="82"/>
      <c r="I6" s="88" t="s">
        <v>2256</v>
      </c>
      <c r="J6" s="84" t="s">
        <v>2261</v>
      </c>
      <c r="K6" s="84" t="s">
        <v>2280</v>
      </c>
      <c r="L6" s="83" t="s">
        <v>2305</v>
      </c>
      <c r="M6" s="83" t="s">
        <v>2336</v>
      </c>
      <c r="N6" s="83" t="s">
        <v>2376</v>
      </c>
      <c r="O6" s="83" t="s">
        <v>2439</v>
      </c>
      <c r="P6" s="83" t="s">
        <v>2483</v>
      </c>
      <c r="Q6" s="83" t="s">
        <v>2526</v>
      </c>
      <c r="R6" s="83" t="s">
        <v>2576</v>
      </c>
      <c r="S6" s="83" t="s">
        <v>2607</v>
      </c>
      <c r="T6" s="83" t="s">
        <v>2627</v>
      </c>
    </row>
    <row r="7" spans="1:20">
      <c r="A7" s="83" t="s">
        <v>235</v>
      </c>
      <c r="B7" s="84" t="s">
        <v>2254</v>
      </c>
      <c r="C7" s="83">
        <v>34850</v>
      </c>
      <c r="D7" s="83">
        <v>34690</v>
      </c>
      <c r="E7" s="83">
        <v>34550</v>
      </c>
      <c r="F7" s="83">
        <v>14360</v>
      </c>
      <c r="G7" s="83">
        <v>25620</v>
      </c>
      <c r="H7" s="82"/>
      <c r="J7" s="84" t="s">
        <v>2262</v>
      </c>
      <c r="K7" s="84" t="s">
        <v>2281</v>
      </c>
      <c r="L7" s="83" t="s">
        <v>2306</v>
      </c>
      <c r="M7" s="83" t="s">
        <v>2337</v>
      </c>
      <c r="N7" s="83" t="s">
        <v>2377</v>
      </c>
      <c r="O7" s="83" t="s">
        <v>2440</v>
      </c>
      <c r="P7" s="83" t="s">
        <v>2484</v>
      </c>
      <c r="Q7" s="83" t="s">
        <v>2527</v>
      </c>
      <c r="R7" s="83" t="s">
        <v>2577</v>
      </c>
      <c r="S7" s="83" t="s">
        <v>2608</v>
      </c>
      <c r="T7" s="83" t="s">
        <v>2628</v>
      </c>
    </row>
    <row r="8" spans="1:20">
      <c r="A8" s="83" t="s">
        <v>235</v>
      </c>
      <c r="B8" s="83" t="s">
        <v>2255</v>
      </c>
      <c r="C8" s="83">
        <v>32630</v>
      </c>
      <c r="D8" s="83">
        <v>32510</v>
      </c>
      <c r="E8" s="83">
        <v>32420</v>
      </c>
      <c r="F8" s="83">
        <v>13300</v>
      </c>
      <c r="G8" s="83">
        <v>24010</v>
      </c>
      <c r="H8" s="82"/>
      <c r="J8" s="84" t="s">
        <v>2263</v>
      </c>
      <c r="K8" s="84" t="s">
        <v>2282</v>
      </c>
      <c r="L8" s="83" t="s">
        <v>2307</v>
      </c>
      <c r="M8" s="83" t="s">
        <v>2338</v>
      </c>
      <c r="N8" s="83" t="s">
        <v>2378</v>
      </c>
      <c r="O8" s="83" t="s">
        <v>2441</v>
      </c>
      <c r="P8" s="83" t="s">
        <v>2485</v>
      </c>
      <c r="Q8" s="83" t="s">
        <v>2528</v>
      </c>
      <c r="R8" s="83" t="s">
        <v>2578</v>
      </c>
      <c r="S8" s="83" t="s">
        <v>2609</v>
      </c>
      <c r="T8" s="89" t="s">
        <v>2629</v>
      </c>
    </row>
    <row r="9" spans="1:20">
      <c r="A9" s="90" t="s">
        <v>235</v>
      </c>
      <c r="B9" s="88" t="s">
        <v>2256</v>
      </c>
      <c r="C9" s="89">
        <v>36370</v>
      </c>
      <c r="D9" s="89">
        <v>36210</v>
      </c>
      <c r="E9" s="89">
        <v>36050</v>
      </c>
      <c r="F9" s="89"/>
      <c r="G9" s="89">
        <v>26740</v>
      </c>
      <c r="H9" s="82"/>
      <c r="J9" s="84" t="s">
        <v>2264</v>
      </c>
      <c r="K9" s="84" t="s">
        <v>2283</v>
      </c>
      <c r="L9" s="83" t="s">
        <v>2308</v>
      </c>
      <c r="M9" s="83" t="s">
        <v>2339</v>
      </c>
      <c r="N9" s="83" t="s">
        <v>2379</v>
      </c>
      <c r="O9" s="83" t="s">
        <v>2442</v>
      </c>
      <c r="P9" s="83" t="s">
        <v>2486</v>
      </c>
      <c r="Q9" s="83" t="s">
        <v>2529</v>
      </c>
      <c r="R9" s="83" t="s">
        <v>2579</v>
      </c>
      <c r="S9" s="83" t="s">
        <v>2610</v>
      </c>
    </row>
    <row r="10" spans="1:20">
      <c r="A10" s="87" t="s">
        <v>251</v>
      </c>
      <c r="B10" s="79" t="s">
        <v>2257</v>
      </c>
      <c r="C10" s="83">
        <v>32350</v>
      </c>
      <c r="D10" s="83">
        <v>31430</v>
      </c>
      <c r="E10" s="83">
        <v>31320</v>
      </c>
      <c r="F10" s="83">
        <v>10850</v>
      </c>
      <c r="G10" s="83">
        <v>22860</v>
      </c>
      <c r="H10" s="82"/>
      <c r="J10" s="84" t="s">
        <v>2265</v>
      </c>
      <c r="K10" s="84" t="s">
        <v>2284</v>
      </c>
      <c r="L10" s="83" t="s">
        <v>2309</v>
      </c>
      <c r="M10" s="83" t="s">
        <v>2340</v>
      </c>
      <c r="N10" s="83" t="s">
        <v>2380</v>
      </c>
      <c r="O10" s="83" t="s">
        <v>2443</v>
      </c>
      <c r="P10" s="83" t="s">
        <v>2487</v>
      </c>
      <c r="Q10" s="83" t="s">
        <v>2530</v>
      </c>
      <c r="R10" s="83" t="s">
        <v>2580</v>
      </c>
      <c r="S10" s="83" t="s">
        <v>2611</v>
      </c>
    </row>
    <row r="11" spans="1:20">
      <c r="A11" s="83" t="s">
        <v>251</v>
      </c>
      <c r="B11" s="84" t="s">
        <v>2258</v>
      </c>
      <c r="C11" s="83">
        <v>31590</v>
      </c>
      <c r="D11" s="83">
        <v>29490</v>
      </c>
      <c r="E11" s="83">
        <v>28700</v>
      </c>
      <c r="F11" s="83">
        <v>10410</v>
      </c>
      <c r="G11" s="83">
        <v>21460</v>
      </c>
      <c r="H11" s="82"/>
      <c r="J11" s="84" t="s">
        <v>2266</v>
      </c>
      <c r="K11" s="84" t="s">
        <v>2285</v>
      </c>
      <c r="L11" s="83" t="s">
        <v>2310</v>
      </c>
      <c r="M11" s="83" t="s">
        <v>2341</v>
      </c>
      <c r="N11" s="83" t="s">
        <v>2381</v>
      </c>
      <c r="O11" s="83" t="s">
        <v>2444</v>
      </c>
      <c r="P11" s="83" t="s">
        <v>2488</v>
      </c>
      <c r="Q11" s="83" t="s">
        <v>2531</v>
      </c>
      <c r="R11" s="83" t="s">
        <v>2581</v>
      </c>
      <c r="S11" s="83" t="s">
        <v>2612</v>
      </c>
    </row>
    <row r="12" spans="1:20">
      <c r="A12" s="83" t="s">
        <v>251</v>
      </c>
      <c r="B12" s="84" t="s">
        <v>2259</v>
      </c>
      <c r="C12" s="83">
        <v>29640</v>
      </c>
      <c r="D12" s="83">
        <v>27550</v>
      </c>
      <c r="E12" s="83">
        <v>28010</v>
      </c>
      <c r="F12" s="83">
        <v>8730</v>
      </c>
      <c r="G12" s="83">
        <v>20050</v>
      </c>
      <c r="H12" s="82"/>
      <c r="J12" s="84" t="s">
        <v>2267</v>
      </c>
      <c r="K12" s="84" t="s">
        <v>2286</v>
      </c>
      <c r="L12" s="83" t="s">
        <v>2311</v>
      </c>
      <c r="M12" s="83" t="s">
        <v>2342</v>
      </c>
      <c r="N12" s="83" t="s">
        <v>2382</v>
      </c>
      <c r="O12" s="83" t="s">
        <v>2445</v>
      </c>
      <c r="P12" s="83" t="s">
        <v>2489</v>
      </c>
      <c r="Q12" s="83" t="s">
        <v>2532</v>
      </c>
      <c r="R12" s="83" t="s">
        <v>2582</v>
      </c>
      <c r="S12" s="83" t="s">
        <v>2613</v>
      </c>
    </row>
    <row r="13" spans="1:20">
      <c r="A13" s="83" t="s">
        <v>251</v>
      </c>
      <c r="B13" s="84" t="s">
        <v>2260</v>
      </c>
      <c r="C13" s="83">
        <v>29680</v>
      </c>
      <c r="D13" s="83">
        <v>27660</v>
      </c>
      <c r="E13" s="83">
        <v>28210</v>
      </c>
      <c r="F13" s="83">
        <v>9590</v>
      </c>
      <c r="G13" s="83">
        <v>20120</v>
      </c>
      <c r="H13" s="82"/>
      <c r="J13" s="84" t="s">
        <v>2268</v>
      </c>
      <c r="K13" s="84" t="s">
        <v>2287</v>
      </c>
      <c r="L13" s="83" t="s">
        <v>2312</v>
      </c>
      <c r="M13" s="83" t="s">
        <v>2343</v>
      </c>
      <c r="N13" s="83" t="s">
        <v>2383</v>
      </c>
      <c r="O13" s="83" t="s">
        <v>2446</v>
      </c>
      <c r="P13" s="83" t="s">
        <v>2490</v>
      </c>
      <c r="Q13" s="83" t="s">
        <v>2533</v>
      </c>
      <c r="R13" s="83" t="s">
        <v>2583</v>
      </c>
      <c r="S13" s="83" t="s">
        <v>2614</v>
      </c>
    </row>
    <row r="14" spans="1:20">
      <c r="A14" s="83" t="s">
        <v>251</v>
      </c>
      <c r="B14" s="84" t="s">
        <v>2261</v>
      </c>
      <c r="C14" s="83">
        <v>30520</v>
      </c>
      <c r="D14" s="83">
        <v>29510</v>
      </c>
      <c r="E14" s="83">
        <v>29400</v>
      </c>
      <c r="F14" s="83">
        <v>9630</v>
      </c>
      <c r="G14" s="83">
        <v>21480</v>
      </c>
      <c r="H14" s="82"/>
      <c r="J14" s="84" t="s">
        <v>2269</v>
      </c>
      <c r="K14" s="84" t="s">
        <v>2288</v>
      </c>
      <c r="L14" s="83" t="s">
        <v>2313</v>
      </c>
      <c r="M14" s="83" t="s">
        <v>2344</v>
      </c>
      <c r="N14" s="83" t="s">
        <v>2384</v>
      </c>
      <c r="O14" s="83" t="s">
        <v>2447</v>
      </c>
      <c r="P14" s="83" t="s">
        <v>2491</v>
      </c>
      <c r="Q14" s="83" t="s">
        <v>2534</v>
      </c>
      <c r="R14" s="83" t="s">
        <v>2584</v>
      </c>
      <c r="S14" s="83" t="s">
        <v>2615</v>
      </c>
    </row>
    <row r="15" spans="1:20">
      <c r="A15" s="83" t="s">
        <v>251</v>
      </c>
      <c r="B15" s="84" t="s">
        <v>2262</v>
      </c>
      <c r="C15" s="83">
        <v>29090</v>
      </c>
      <c r="D15" s="83">
        <v>27590</v>
      </c>
      <c r="E15" s="83">
        <v>28120</v>
      </c>
      <c r="F15" s="83">
        <v>9110</v>
      </c>
      <c r="G15" s="83">
        <v>20070</v>
      </c>
      <c r="H15" s="82"/>
      <c r="J15" s="84" t="s">
        <v>2270</v>
      </c>
      <c r="K15" s="84" t="s">
        <v>2289</v>
      </c>
      <c r="L15" s="83" t="s">
        <v>2314</v>
      </c>
      <c r="M15" s="83" t="s">
        <v>2345</v>
      </c>
      <c r="N15" s="83" t="s">
        <v>2385</v>
      </c>
      <c r="O15" s="83" t="s">
        <v>2448</v>
      </c>
      <c r="P15" s="83" t="s">
        <v>2492</v>
      </c>
      <c r="Q15" s="83" t="s">
        <v>2535</v>
      </c>
      <c r="R15" s="83" t="s">
        <v>2585</v>
      </c>
      <c r="S15" s="83" t="s">
        <v>2616</v>
      </c>
    </row>
    <row r="16" spans="1:20">
      <c r="A16" s="83" t="s">
        <v>251</v>
      </c>
      <c r="B16" s="84" t="s">
        <v>2263</v>
      </c>
      <c r="C16" s="83">
        <v>26790</v>
      </c>
      <c r="D16" s="83">
        <v>30370</v>
      </c>
      <c r="E16" s="83">
        <v>30240</v>
      </c>
      <c r="F16" s="83">
        <v>11590</v>
      </c>
      <c r="G16" s="83">
        <v>22090</v>
      </c>
      <c r="H16" s="82"/>
      <c r="J16" s="84" t="s">
        <v>2271</v>
      </c>
      <c r="K16" s="84" t="s">
        <v>2290</v>
      </c>
      <c r="L16" s="83" t="s">
        <v>2315</v>
      </c>
      <c r="M16" s="83" t="s">
        <v>2346</v>
      </c>
      <c r="N16" s="83" t="s">
        <v>2386</v>
      </c>
      <c r="O16" s="83" t="s">
        <v>2449</v>
      </c>
      <c r="P16" s="83" t="s">
        <v>2493</v>
      </c>
      <c r="Q16" s="83" t="s">
        <v>2536</v>
      </c>
      <c r="R16" s="83" t="s">
        <v>2586</v>
      </c>
      <c r="S16" s="83" t="s">
        <v>2617</v>
      </c>
    </row>
    <row r="17" spans="1:19" ht="14.25" customHeight="1">
      <c r="A17" s="83" t="s">
        <v>251</v>
      </c>
      <c r="B17" s="84" t="s">
        <v>2264</v>
      </c>
      <c r="C17" s="83">
        <v>29180</v>
      </c>
      <c r="D17" s="83">
        <v>27620</v>
      </c>
      <c r="E17" s="83">
        <v>28180</v>
      </c>
      <c r="F17" s="83">
        <v>10790</v>
      </c>
      <c r="G17" s="83">
        <v>20090</v>
      </c>
      <c r="H17" s="82"/>
      <c r="J17" s="84" t="s">
        <v>2272</v>
      </c>
      <c r="K17" s="84" t="s">
        <v>2291</v>
      </c>
      <c r="L17" s="83" t="s">
        <v>2316</v>
      </c>
      <c r="M17" s="83" t="s">
        <v>2347</v>
      </c>
      <c r="N17" s="83" t="s">
        <v>2387</v>
      </c>
      <c r="O17" s="83" t="s">
        <v>2450</v>
      </c>
      <c r="P17" s="83" t="s">
        <v>2494</v>
      </c>
      <c r="Q17" s="83" t="s">
        <v>2537</v>
      </c>
      <c r="R17" s="83" t="s">
        <v>2587</v>
      </c>
      <c r="S17" s="83" t="s">
        <v>2618</v>
      </c>
    </row>
    <row r="18" spans="1:19" ht="14.25" customHeight="1">
      <c r="A18" s="83" t="s">
        <v>251</v>
      </c>
      <c r="B18" s="84" t="s">
        <v>2265</v>
      </c>
      <c r="C18" s="83">
        <v>26840</v>
      </c>
      <c r="D18" s="83">
        <v>28930</v>
      </c>
      <c r="E18" s="83">
        <v>28820</v>
      </c>
      <c r="F18" s="83"/>
      <c r="G18" s="83">
        <v>21050</v>
      </c>
      <c r="H18" s="82"/>
      <c r="J18" s="84" t="s">
        <v>2273</v>
      </c>
      <c r="K18" s="84" t="s">
        <v>2292</v>
      </c>
      <c r="L18" s="83" t="s">
        <v>2317</v>
      </c>
      <c r="M18" s="83" t="s">
        <v>2348</v>
      </c>
      <c r="N18" s="83" t="s">
        <v>2388</v>
      </c>
      <c r="O18" s="83" t="s">
        <v>2451</v>
      </c>
      <c r="P18" s="83" t="s">
        <v>2495</v>
      </c>
      <c r="Q18" s="83" t="s">
        <v>2538</v>
      </c>
      <c r="R18" s="83" t="s">
        <v>2588</v>
      </c>
      <c r="S18" s="83" t="s">
        <v>2619</v>
      </c>
    </row>
    <row r="19" spans="1:19" ht="14.25" customHeight="1">
      <c r="A19" s="83" t="s">
        <v>251</v>
      </c>
      <c r="B19" s="84" t="s">
        <v>2266</v>
      </c>
      <c r="C19" s="83">
        <v>27750</v>
      </c>
      <c r="D19" s="83">
        <v>26680</v>
      </c>
      <c r="E19" s="83">
        <v>26590</v>
      </c>
      <c r="F19" s="83"/>
      <c r="G19" s="83">
        <v>19420</v>
      </c>
      <c r="H19" s="82"/>
      <c r="J19" s="84" t="s">
        <v>2274</v>
      </c>
      <c r="K19" s="84" t="s">
        <v>2293</v>
      </c>
      <c r="L19" s="83" t="s">
        <v>2318</v>
      </c>
      <c r="M19" s="83" t="s">
        <v>2349</v>
      </c>
      <c r="N19" s="83" t="s">
        <v>2389</v>
      </c>
      <c r="O19" s="83" t="s">
        <v>2452</v>
      </c>
      <c r="P19" s="83" t="s">
        <v>2496</v>
      </c>
      <c r="Q19" s="83" t="s">
        <v>2539</v>
      </c>
      <c r="R19" s="83" t="s">
        <v>2589</v>
      </c>
      <c r="S19" s="83" t="s">
        <v>2620</v>
      </c>
    </row>
    <row r="20" spans="1:19" ht="14.25" customHeight="1">
      <c r="A20" s="83" t="s">
        <v>251</v>
      </c>
      <c r="B20" s="84" t="s">
        <v>2267</v>
      </c>
      <c r="C20" s="83">
        <v>27050</v>
      </c>
      <c r="D20" s="83">
        <v>29010</v>
      </c>
      <c r="E20" s="83">
        <v>28910</v>
      </c>
      <c r="F20" s="83"/>
      <c r="G20" s="83">
        <v>21110</v>
      </c>
      <c r="J20" s="84" t="s">
        <v>2275</v>
      </c>
      <c r="K20" s="84" t="s">
        <v>2294</v>
      </c>
      <c r="L20" s="83" t="s">
        <v>551</v>
      </c>
      <c r="M20" s="83" t="s">
        <v>2350</v>
      </c>
      <c r="N20" s="83" t="s">
        <v>2390</v>
      </c>
      <c r="O20" s="83" t="s">
        <v>2453</v>
      </c>
      <c r="P20" s="83" t="s">
        <v>2497</v>
      </c>
      <c r="Q20" s="83" t="s">
        <v>2540</v>
      </c>
      <c r="R20" s="83" t="s">
        <v>2590</v>
      </c>
      <c r="S20" s="83" t="s">
        <v>2621</v>
      </c>
    </row>
    <row r="21" spans="1:19" ht="14.25" customHeight="1">
      <c r="A21" s="83" t="s">
        <v>251</v>
      </c>
      <c r="B21" s="84" t="s">
        <v>2268</v>
      </c>
      <c r="C21" s="83">
        <v>32370</v>
      </c>
      <c r="D21" s="83">
        <v>26730</v>
      </c>
      <c r="E21" s="83">
        <v>26640</v>
      </c>
      <c r="F21" s="83"/>
      <c r="G21" s="83">
        <v>19440</v>
      </c>
      <c r="J21" s="89" t="s">
        <v>552</v>
      </c>
      <c r="K21" s="84" t="s">
        <v>2295</v>
      </c>
      <c r="L21" s="83" t="s">
        <v>2319</v>
      </c>
      <c r="M21" s="83" t="s">
        <v>2351</v>
      </c>
      <c r="N21" s="83" t="s">
        <v>2391</v>
      </c>
      <c r="O21" s="83" t="s">
        <v>2454</v>
      </c>
      <c r="P21" s="83" t="s">
        <v>2498</v>
      </c>
      <c r="Q21" s="83" t="s">
        <v>2541</v>
      </c>
      <c r="R21" s="83" t="s">
        <v>2591</v>
      </c>
      <c r="S21" s="89" t="s">
        <v>2622</v>
      </c>
    </row>
    <row r="22" spans="1:19" ht="14.25" customHeight="1">
      <c r="A22" s="83" t="s">
        <v>251</v>
      </c>
      <c r="B22" s="84" t="s">
        <v>2269</v>
      </c>
      <c r="C22" s="83">
        <v>29830</v>
      </c>
      <c r="D22" s="83">
        <v>27600</v>
      </c>
      <c r="E22" s="83">
        <v>28150</v>
      </c>
      <c r="F22" s="83"/>
      <c r="G22" s="83">
        <v>20080</v>
      </c>
      <c r="K22" s="84" t="s">
        <v>2296</v>
      </c>
      <c r="L22" s="83" t="s">
        <v>2320</v>
      </c>
      <c r="M22" s="83" t="s">
        <v>2352</v>
      </c>
      <c r="N22" s="83" t="s">
        <v>2392</v>
      </c>
      <c r="O22" s="83" t="s">
        <v>2455</v>
      </c>
      <c r="P22" s="83" t="s">
        <v>2499</v>
      </c>
      <c r="Q22" s="83" t="s">
        <v>2542</v>
      </c>
      <c r="R22" s="83" t="s">
        <v>2592</v>
      </c>
    </row>
    <row r="23" spans="1:19" ht="14.25" customHeight="1">
      <c r="A23" s="83" t="s">
        <v>251</v>
      </c>
      <c r="B23" s="84" t="s">
        <v>2270</v>
      </c>
      <c r="C23" s="83">
        <v>27800</v>
      </c>
      <c r="D23" s="83">
        <v>26900</v>
      </c>
      <c r="E23" s="83">
        <v>27170</v>
      </c>
      <c r="F23" s="83"/>
      <c r="G23" s="83">
        <v>19570</v>
      </c>
      <c r="K23" s="84" t="s">
        <v>2297</v>
      </c>
      <c r="L23" s="83" t="s">
        <v>2321</v>
      </c>
      <c r="M23" s="83" t="s">
        <v>2353</v>
      </c>
      <c r="N23" s="83" t="s">
        <v>2393</v>
      </c>
      <c r="O23" s="83" t="s">
        <v>2456</v>
      </c>
      <c r="P23" s="83" t="s">
        <v>2500</v>
      </c>
      <c r="Q23" s="83" t="s">
        <v>2543</v>
      </c>
      <c r="R23" s="83" t="s">
        <v>2593</v>
      </c>
    </row>
    <row r="24" spans="1:19" ht="14.25" customHeight="1">
      <c r="A24" s="83" t="s">
        <v>251</v>
      </c>
      <c r="B24" s="84" t="s">
        <v>2271</v>
      </c>
      <c r="C24" s="83">
        <v>27930</v>
      </c>
      <c r="D24" s="83">
        <v>32260</v>
      </c>
      <c r="E24" s="83">
        <v>32120</v>
      </c>
      <c r="F24" s="83"/>
      <c r="G24" s="83">
        <v>23470</v>
      </c>
      <c r="K24" s="84" t="s">
        <v>2298</v>
      </c>
      <c r="L24" s="83" t="s">
        <v>2322</v>
      </c>
      <c r="M24" s="83" t="s">
        <v>2354</v>
      </c>
      <c r="N24" s="83" t="s">
        <v>2394</v>
      </c>
      <c r="O24" s="83" t="s">
        <v>2457</v>
      </c>
      <c r="P24" s="83" t="s">
        <v>2501</v>
      </c>
      <c r="Q24" s="91" t="s">
        <v>2544</v>
      </c>
      <c r="R24" s="83" t="s">
        <v>2594</v>
      </c>
    </row>
    <row r="25" spans="1:19" ht="14.25" customHeight="1">
      <c r="A25" s="83" t="s">
        <v>251</v>
      </c>
      <c r="B25" s="84" t="s">
        <v>2272</v>
      </c>
      <c r="C25" s="83">
        <v>32230</v>
      </c>
      <c r="D25" s="83">
        <v>29640</v>
      </c>
      <c r="E25" s="83">
        <v>29510</v>
      </c>
      <c r="F25" s="83"/>
      <c r="G25" s="83">
        <v>21560</v>
      </c>
      <c r="K25" s="84" t="s">
        <v>2299</v>
      </c>
      <c r="L25" s="83" t="s">
        <v>2323</v>
      </c>
      <c r="M25" s="83" t="s">
        <v>2355</v>
      </c>
      <c r="N25" s="83" t="s">
        <v>2395</v>
      </c>
      <c r="O25" s="83" t="s">
        <v>2458</v>
      </c>
      <c r="P25" s="83" t="s">
        <v>2502</v>
      </c>
      <c r="Q25" s="91" t="s">
        <v>2545</v>
      </c>
      <c r="R25" s="83" t="s">
        <v>2595</v>
      </c>
    </row>
    <row r="26" spans="1:19" ht="14.25" customHeight="1">
      <c r="A26" s="83" t="s">
        <v>251</v>
      </c>
      <c r="B26" s="84" t="s">
        <v>2273</v>
      </c>
      <c r="C26" s="83">
        <v>31690</v>
      </c>
      <c r="D26" s="83">
        <v>27650</v>
      </c>
      <c r="E26" s="83">
        <v>28200</v>
      </c>
      <c r="F26" s="83"/>
      <c r="G26" s="83">
        <v>20110</v>
      </c>
      <c r="K26" s="88" t="s">
        <v>2300</v>
      </c>
      <c r="L26" s="83" t="s">
        <v>2324</v>
      </c>
      <c r="M26" s="83" t="s">
        <v>2356</v>
      </c>
      <c r="N26" s="83" t="s">
        <v>2396</v>
      </c>
      <c r="O26" s="83" t="s">
        <v>2459</v>
      </c>
      <c r="P26" s="83" t="s">
        <v>2503</v>
      </c>
      <c r="Q26" s="91" t="s">
        <v>2546</v>
      </c>
      <c r="R26" s="83" t="s">
        <v>2596</v>
      </c>
    </row>
    <row r="27" spans="1:19" ht="14.25" customHeight="1">
      <c r="A27" s="83" t="s">
        <v>251</v>
      </c>
      <c r="B27" s="84" t="s">
        <v>2274</v>
      </c>
      <c r="C27" s="83">
        <v>29610</v>
      </c>
      <c r="D27" s="83">
        <v>27770</v>
      </c>
      <c r="E27" s="83">
        <v>28300</v>
      </c>
      <c r="F27" s="83"/>
      <c r="G27" s="83">
        <v>20210</v>
      </c>
      <c r="L27" s="83" t="s">
        <v>2325</v>
      </c>
      <c r="M27" s="83" t="s">
        <v>2357</v>
      </c>
      <c r="N27" s="83" t="s">
        <v>2397</v>
      </c>
      <c r="O27" s="83" t="s">
        <v>2460</v>
      </c>
      <c r="P27" s="83" t="s">
        <v>2504</v>
      </c>
      <c r="Q27" s="83" t="s">
        <v>2547</v>
      </c>
      <c r="R27" s="83" t="s">
        <v>2597</v>
      </c>
    </row>
    <row r="28" spans="1:19" ht="14.25" customHeight="1">
      <c r="A28" s="83" t="s">
        <v>251</v>
      </c>
      <c r="B28" s="84" t="s">
        <v>2275</v>
      </c>
      <c r="C28" s="83"/>
      <c r="D28" s="83">
        <v>31520</v>
      </c>
      <c r="E28" s="83">
        <v>31410</v>
      </c>
      <c r="F28" s="83"/>
      <c r="G28" s="83">
        <v>22940</v>
      </c>
      <c r="L28" s="83" t="s">
        <v>2326</v>
      </c>
      <c r="M28" s="83" t="s">
        <v>2358</v>
      </c>
      <c r="N28" s="83" t="s">
        <v>2398</v>
      </c>
      <c r="O28" s="83" t="s">
        <v>2461</v>
      </c>
      <c r="P28" s="83" t="s">
        <v>2505</v>
      </c>
      <c r="Q28" s="83" t="s">
        <v>2548</v>
      </c>
      <c r="R28" s="83" t="s">
        <v>2598</v>
      </c>
    </row>
    <row r="29" spans="1:19" ht="14.25" customHeight="1">
      <c r="A29" s="90" t="s">
        <v>251</v>
      </c>
      <c r="B29" s="92" t="s">
        <v>552</v>
      </c>
      <c r="C29" s="93"/>
      <c r="D29" s="93">
        <v>29460</v>
      </c>
      <c r="E29" s="93">
        <v>28640</v>
      </c>
      <c r="F29" s="93"/>
      <c r="G29" s="93">
        <v>21430</v>
      </c>
      <c r="L29" s="83" t="s">
        <v>2327</v>
      </c>
      <c r="M29" s="83" t="s">
        <v>2359</v>
      </c>
      <c r="N29" s="83" t="s">
        <v>2399</v>
      </c>
      <c r="O29" s="83" t="s">
        <v>2462</v>
      </c>
      <c r="P29" s="83" t="s">
        <v>2506</v>
      </c>
      <c r="Q29" s="83" t="s">
        <v>2549</v>
      </c>
      <c r="R29" s="83" t="s">
        <v>2599</v>
      </c>
    </row>
    <row r="30" spans="1:19" ht="14.25" customHeight="1">
      <c r="A30" s="87" t="s">
        <v>264</v>
      </c>
      <c r="B30" s="79" t="s">
        <v>2276</v>
      </c>
      <c r="C30" s="79">
        <v>26890</v>
      </c>
      <c r="D30" s="79">
        <v>26770</v>
      </c>
      <c r="E30" s="79">
        <v>25700</v>
      </c>
      <c r="F30" s="79">
        <v>8180</v>
      </c>
      <c r="G30" s="94">
        <v>18740</v>
      </c>
      <c r="L30" s="83" t="s">
        <v>2328</v>
      </c>
      <c r="M30" s="83" t="s">
        <v>2360</v>
      </c>
      <c r="N30" s="83" t="s">
        <v>2400</v>
      </c>
      <c r="O30" s="83" t="s">
        <v>2463</v>
      </c>
      <c r="P30" s="83" t="s">
        <v>2507</v>
      </c>
      <c r="Q30" s="83" t="s">
        <v>2550</v>
      </c>
      <c r="R30" s="83" t="s">
        <v>2600</v>
      </c>
    </row>
    <row r="31" spans="1:19" ht="14.25" customHeight="1">
      <c r="A31" s="83" t="s">
        <v>264</v>
      </c>
      <c r="B31" s="84" t="s">
        <v>2277</v>
      </c>
      <c r="C31" s="83">
        <v>24550</v>
      </c>
      <c r="D31" s="83">
        <v>23990</v>
      </c>
      <c r="E31" s="83">
        <v>22930</v>
      </c>
      <c r="F31" s="83">
        <v>7470</v>
      </c>
      <c r="G31" s="95">
        <v>16790</v>
      </c>
      <c r="L31" s="83" t="s">
        <v>2329</v>
      </c>
      <c r="M31" s="83" t="s">
        <v>2361</v>
      </c>
      <c r="N31" s="83" t="s">
        <v>2401</v>
      </c>
      <c r="O31" s="83" t="s">
        <v>2464</v>
      </c>
      <c r="P31" s="83" t="s">
        <v>2508</v>
      </c>
      <c r="Q31" s="83" t="s">
        <v>2551</v>
      </c>
      <c r="R31" s="83" t="s">
        <v>2601</v>
      </c>
    </row>
    <row r="32" spans="1:19" ht="14.25" customHeight="1">
      <c r="A32" s="83" t="s">
        <v>264</v>
      </c>
      <c r="B32" s="84" t="s">
        <v>2278</v>
      </c>
      <c r="C32" s="83">
        <v>27210</v>
      </c>
      <c r="D32" s="83">
        <v>23240</v>
      </c>
      <c r="E32" s="83">
        <v>23260</v>
      </c>
      <c r="F32" s="83">
        <v>7130</v>
      </c>
      <c r="G32" s="95">
        <v>16270</v>
      </c>
      <c r="L32" s="83" t="s">
        <v>2330</v>
      </c>
      <c r="M32" s="83" t="s">
        <v>2362</v>
      </c>
      <c r="N32" s="83" t="s">
        <v>2402</v>
      </c>
      <c r="O32" s="83" t="s">
        <v>2465</v>
      </c>
      <c r="P32" s="83" t="s">
        <v>2509</v>
      </c>
      <c r="Q32" s="83" t="s">
        <v>2552</v>
      </c>
      <c r="R32" s="89" t="s">
        <v>2602</v>
      </c>
    </row>
    <row r="33" spans="1:17" ht="14.25" customHeight="1">
      <c r="A33" s="83" t="s">
        <v>264</v>
      </c>
      <c r="B33" s="84" t="s">
        <v>2279</v>
      </c>
      <c r="C33" s="83">
        <v>27300</v>
      </c>
      <c r="D33" s="83">
        <v>22980</v>
      </c>
      <c r="E33" s="83">
        <v>24260</v>
      </c>
      <c r="F33" s="83">
        <v>5860</v>
      </c>
      <c r="G33" s="95">
        <v>16090</v>
      </c>
      <c r="L33" s="89" t="s">
        <v>2331</v>
      </c>
      <c r="M33" s="83" t="s">
        <v>2363</v>
      </c>
      <c r="N33" s="83" t="s">
        <v>2403</v>
      </c>
      <c r="O33" s="83" t="s">
        <v>2466</v>
      </c>
      <c r="P33" s="83" t="s">
        <v>2510</v>
      </c>
      <c r="Q33" s="83" t="s">
        <v>2553</v>
      </c>
    </row>
    <row r="34" spans="1:17" ht="14.25" customHeight="1">
      <c r="A34" s="83" t="s">
        <v>264</v>
      </c>
      <c r="B34" s="84" t="s">
        <v>2280</v>
      </c>
      <c r="C34" s="83">
        <v>23090</v>
      </c>
      <c r="D34" s="83">
        <v>23390</v>
      </c>
      <c r="E34" s="83">
        <v>23510</v>
      </c>
      <c r="F34" s="83">
        <v>6700</v>
      </c>
      <c r="G34" s="95">
        <v>16370</v>
      </c>
      <c r="M34" s="83" t="s">
        <v>2364</v>
      </c>
      <c r="N34" s="83" t="s">
        <v>2404</v>
      </c>
      <c r="O34" s="83" t="s">
        <v>2467</v>
      </c>
      <c r="P34" s="83" t="s">
        <v>2511</v>
      </c>
      <c r="Q34" s="83" t="s">
        <v>2554</v>
      </c>
    </row>
    <row r="35" spans="1:17" ht="14.25" customHeight="1">
      <c r="A35" s="83" t="s">
        <v>264</v>
      </c>
      <c r="B35" s="84" t="s">
        <v>2281</v>
      </c>
      <c r="C35" s="83">
        <v>27270</v>
      </c>
      <c r="D35" s="83">
        <v>24270</v>
      </c>
      <c r="E35" s="83">
        <v>24950</v>
      </c>
      <c r="F35" s="83">
        <v>6600</v>
      </c>
      <c r="G35" s="95">
        <v>16990</v>
      </c>
      <c r="M35" s="83" t="s">
        <v>2365</v>
      </c>
      <c r="N35" s="83" t="s">
        <v>2405</v>
      </c>
      <c r="O35" s="83" t="s">
        <v>2468</v>
      </c>
      <c r="P35" s="83" t="s">
        <v>2512</v>
      </c>
      <c r="Q35" s="83" t="s">
        <v>2555</v>
      </c>
    </row>
    <row r="36" spans="1:17" ht="14.25" customHeight="1">
      <c r="A36" s="83" t="s">
        <v>264</v>
      </c>
      <c r="B36" s="84" t="s">
        <v>2282</v>
      </c>
      <c r="C36" s="83">
        <v>23490</v>
      </c>
      <c r="D36" s="83">
        <v>23020</v>
      </c>
      <c r="E36" s="83">
        <v>25230</v>
      </c>
      <c r="F36" s="83">
        <v>6780</v>
      </c>
      <c r="G36" s="95">
        <v>16120</v>
      </c>
      <c r="M36" s="83" t="s">
        <v>2366</v>
      </c>
      <c r="N36" s="83" t="s">
        <v>2406</v>
      </c>
      <c r="O36" s="83" t="s">
        <v>2469</v>
      </c>
      <c r="P36" s="83" t="s">
        <v>2513</v>
      </c>
      <c r="Q36" s="83" t="s">
        <v>2556</v>
      </c>
    </row>
    <row r="37" spans="1:17" ht="14.25" customHeight="1">
      <c r="A37" s="83" t="s">
        <v>264</v>
      </c>
      <c r="B37" s="84" t="s">
        <v>2283</v>
      </c>
      <c r="C37" s="83">
        <v>24380</v>
      </c>
      <c r="D37" s="83">
        <v>22240</v>
      </c>
      <c r="E37" s="83">
        <v>25980</v>
      </c>
      <c r="F37" s="83">
        <v>8160</v>
      </c>
      <c r="G37" s="95">
        <v>15570</v>
      </c>
      <c r="M37" s="83" t="s">
        <v>2367</v>
      </c>
      <c r="N37" s="83" t="s">
        <v>2407</v>
      </c>
      <c r="O37" s="83" t="s">
        <v>2470</v>
      </c>
      <c r="P37" s="83" t="s">
        <v>2514</v>
      </c>
      <c r="Q37" s="83" t="s">
        <v>2557</v>
      </c>
    </row>
    <row r="38" spans="1:17" ht="14.25" customHeight="1">
      <c r="A38" s="83" t="s">
        <v>264</v>
      </c>
      <c r="B38" s="84" t="s">
        <v>2284</v>
      </c>
      <c r="C38" s="83">
        <v>23120</v>
      </c>
      <c r="D38" s="83">
        <v>24630</v>
      </c>
      <c r="E38" s="83">
        <v>25030</v>
      </c>
      <c r="F38" s="83">
        <v>7710</v>
      </c>
      <c r="G38" s="95">
        <v>17240</v>
      </c>
      <c r="M38" s="83" t="s">
        <v>2368</v>
      </c>
      <c r="N38" s="83" t="s">
        <v>2408</v>
      </c>
      <c r="O38" s="83" t="s">
        <v>2471</v>
      </c>
      <c r="P38" s="83" t="s">
        <v>2515</v>
      </c>
      <c r="Q38" s="83" t="s">
        <v>2558</v>
      </c>
    </row>
    <row r="39" spans="1:17" ht="14.25" customHeight="1">
      <c r="A39" s="83" t="s">
        <v>264</v>
      </c>
      <c r="B39" s="84" t="s">
        <v>2285</v>
      </c>
      <c r="C39" s="83">
        <v>22330</v>
      </c>
      <c r="D39" s="83">
        <v>21140</v>
      </c>
      <c r="E39" s="83">
        <v>23970</v>
      </c>
      <c r="F39" s="83">
        <v>7940</v>
      </c>
      <c r="G39" s="95">
        <v>14790</v>
      </c>
      <c r="M39" s="83" t="s">
        <v>2369</v>
      </c>
      <c r="N39" s="83" t="s">
        <v>2409</v>
      </c>
      <c r="O39" s="83" t="s">
        <v>2759</v>
      </c>
      <c r="P39" s="83" t="s">
        <v>2516</v>
      </c>
      <c r="Q39" s="83" t="s">
        <v>2559</v>
      </c>
    </row>
    <row r="40" spans="1:17" ht="14.25" customHeight="1">
      <c r="A40" s="83" t="s">
        <v>264</v>
      </c>
      <c r="B40" s="84" t="s">
        <v>2286</v>
      </c>
      <c r="C40" s="83">
        <v>24740</v>
      </c>
      <c r="D40" s="83">
        <v>24690</v>
      </c>
      <c r="E40" s="83">
        <v>22610</v>
      </c>
      <c r="F40" s="83"/>
      <c r="G40" s="95">
        <v>17280</v>
      </c>
      <c r="M40" s="83" t="s">
        <v>2370</v>
      </c>
      <c r="N40" s="83" t="s">
        <v>2410</v>
      </c>
      <c r="O40" s="83" t="s">
        <v>2760</v>
      </c>
      <c r="P40" s="83" t="s">
        <v>2517</v>
      </c>
      <c r="Q40" s="83" t="s">
        <v>2560</v>
      </c>
    </row>
    <row r="41" spans="1:17" ht="14.25" customHeight="1">
      <c r="A41" s="83" t="s">
        <v>264</v>
      </c>
      <c r="B41" s="84" t="s">
        <v>2287</v>
      </c>
      <c r="C41" s="83">
        <v>21220</v>
      </c>
      <c r="D41" s="83">
        <v>21120</v>
      </c>
      <c r="E41" s="83">
        <v>22590</v>
      </c>
      <c r="F41" s="83"/>
      <c r="G41" s="95">
        <v>14780</v>
      </c>
      <c r="M41" s="89" t="s">
        <v>2371</v>
      </c>
      <c r="N41" s="83" t="s">
        <v>2411</v>
      </c>
      <c r="O41" s="83" t="s">
        <v>2761</v>
      </c>
      <c r="P41" s="83" t="s">
        <v>2518</v>
      </c>
      <c r="Q41" s="83" t="s">
        <v>2561</v>
      </c>
    </row>
    <row r="42" spans="1:17" ht="14.25" customHeight="1">
      <c r="A42" s="83" t="s">
        <v>264</v>
      </c>
      <c r="B42" s="84" t="s">
        <v>2288</v>
      </c>
      <c r="C42" s="83">
        <v>24800</v>
      </c>
      <c r="D42" s="83">
        <v>22280</v>
      </c>
      <c r="E42" s="83">
        <v>24350</v>
      </c>
      <c r="F42" s="83"/>
      <c r="G42" s="95">
        <v>15590</v>
      </c>
      <c r="N42" s="83" t="s">
        <v>2412</v>
      </c>
      <c r="O42" s="83" t="s">
        <v>2475</v>
      </c>
      <c r="P42" s="83" t="s">
        <v>2519</v>
      </c>
      <c r="Q42" s="83" t="s">
        <v>2562</v>
      </c>
    </row>
    <row r="43" spans="1:17" ht="14.25" customHeight="1">
      <c r="A43" s="83" t="s">
        <v>264</v>
      </c>
      <c r="B43" s="84" t="s">
        <v>2289</v>
      </c>
      <c r="C43" s="83">
        <v>21210</v>
      </c>
      <c r="D43" s="83">
        <v>21160</v>
      </c>
      <c r="E43" s="83">
        <v>22650</v>
      </c>
      <c r="F43" s="83"/>
      <c r="G43" s="95">
        <v>14800</v>
      </c>
      <c r="N43" s="83" t="s">
        <v>2413</v>
      </c>
      <c r="O43" s="83" t="s">
        <v>2476</v>
      </c>
      <c r="P43" s="83" t="s">
        <v>2520</v>
      </c>
      <c r="Q43" s="83" t="s">
        <v>2563</v>
      </c>
    </row>
    <row r="44" spans="1:17" ht="14.25" customHeight="1">
      <c r="A44" s="83" t="s">
        <v>264</v>
      </c>
      <c r="B44" s="84" t="s">
        <v>2290</v>
      </c>
      <c r="C44" s="83">
        <v>22370</v>
      </c>
      <c r="D44" s="83">
        <v>23140</v>
      </c>
      <c r="E44" s="83">
        <v>25090</v>
      </c>
      <c r="F44" s="83"/>
      <c r="G44" s="95">
        <v>16190</v>
      </c>
      <c r="N44" s="83" t="s">
        <v>2414</v>
      </c>
      <c r="O44" s="83" t="s">
        <v>2762</v>
      </c>
      <c r="P44" s="89" t="s">
        <v>2521</v>
      </c>
      <c r="Q44" s="83" t="s">
        <v>2564</v>
      </c>
    </row>
    <row r="45" spans="1:17" ht="14.25" customHeight="1">
      <c r="A45" s="83" t="s">
        <v>264</v>
      </c>
      <c r="B45" s="84" t="s">
        <v>2291</v>
      </c>
      <c r="C45" s="83">
        <v>21240</v>
      </c>
      <c r="D45" s="83">
        <v>27050</v>
      </c>
      <c r="E45" s="83">
        <v>28000</v>
      </c>
      <c r="F45" s="83"/>
      <c r="G45" s="95">
        <v>18940</v>
      </c>
      <c r="N45" s="83" t="s">
        <v>2415</v>
      </c>
      <c r="O45" s="89" t="s">
        <v>2478</v>
      </c>
      <c r="Q45" s="83" t="s">
        <v>2565</v>
      </c>
    </row>
    <row r="46" spans="1:17" ht="14.25" customHeight="1">
      <c r="A46" s="83" t="s">
        <v>264</v>
      </c>
      <c r="B46" s="84" t="s">
        <v>2292</v>
      </c>
      <c r="C46" s="83">
        <v>23240</v>
      </c>
      <c r="D46" s="83">
        <v>23000</v>
      </c>
      <c r="E46" s="83">
        <v>24980</v>
      </c>
      <c r="F46" s="83"/>
      <c r="G46" s="95">
        <v>16100</v>
      </c>
      <c r="N46" s="83" t="s">
        <v>2416</v>
      </c>
      <c r="Q46" s="83" t="s">
        <v>2566</v>
      </c>
    </row>
    <row r="47" spans="1:17" ht="14.25" customHeight="1">
      <c r="A47" s="83" t="s">
        <v>264</v>
      </c>
      <c r="B47" s="84" t="s">
        <v>2293</v>
      </c>
      <c r="C47" s="83">
        <v>27150</v>
      </c>
      <c r="D47" s="83">
        <v>23310</v>
      </c>
      <c r="E47" s="83">
        <v>25150</v>
      </c>
      <c r="F47" s="83"/>
      <c r="G47" s="95">
        <v>16310</v>
      </c>
      <c r="N47" s="83" t="s">
        <v>2417</v>
      </c>
      <c r="Q47" s="83" t="s">
        <v>2567</v>
      </c>
    </row>
    <row r="48" spans="1:17" ht="14.25" customHeight="1">
      <c r="A48" s="83" t="s">
        <v>264</v>
      </c>
      <c r="B48" s="84" t="s">
        <v>2294</v>
      </c>
      <c r="C48" s="83">
        <v>23100</v>
      </c>
      <c r="D48" s="83">
        <v>21110</v>
      </c>
      <c r="E48" s="83">
        <v>23080</v>
      </c>
      <c r="F48" s="83"/>
      <c r="G48" s="95">
        <v>14780</v>
      </c>
      <c r="N48" s="83" t="s">
        <v>2418</v>
      </c>
      <c r="Q48" s="83" t="s">
        <v>2568</v>
      </c>
    </row>
    <row r="49" spans="1:17" ht="14.25" customHeight="1">
      <c r="A49" s="83" t="s">
        <v>264</v>
      </c>
      <c r="B49" s="84" t="s">
        <v>2295</v>
      </c>
      <c r="C49" s="83">
        <v>23400</v>
      </c>
      <c r="D49" s="83">
        <v>22920</v>
      </c>
      <c r="E49" s="83">
        <v>24900</v>
      </c>
      <c r="F49" s="83"/>
      <c r="G49" s="95">
        <v>16040</v>
      </c>
      <c r="N49" s="83" t="s">
        <v>2419</v>
      </c>
      <c r="Q49" s="83" t="s">
        <v>2569</v>
      </c>
    </row>
    <row r="50" spans="1:17" ht="14.25" customHeight="1">
      <c r="A50" s="83" t="s">
        <v>264</v>
      </c>
      <c r="B50" s="84" t="s">
        <v>2296</v>
      </c>
      <c r="C50" s="83">
        <v>21200</v>
      </c>
      <c r="D50" s="83">
        <v>26540</v>
      </c>
      <c r="E50" s="83">
        <v>23200</v>
      </c>
      <c r="F50" s="83"/>
      <c r="G50" s="95">
        <v>18580</v>
      </c>
      <c r="N50" s="83" t="s">
        <v>2420</v>
      </c>
      <c r="Q50" s="84" t="s">
        <v>2570</v>
      </c>
    </row>
    <row r="51" spans="1:17" ht="14.25" customHeight="1">
      <c r="A51" s="83" t="s">
        <v>264</v>
      </c>
      <c r="B51" s="84" t="s">
        <v>2297</v>
      </c>
      <c r="C51" s="83">
        <v>23000</v>
      </c>
      <c r="D51" s="83">
        <v>23460</v>
      </c>
      <c r="E51" s="83">
        <v>25290</v>
      </c>
      <c r="F51" s="83"/>
      <c r="G51" s="95">
        <v>16420</v>
      </c>
      <c r="N51" s="83" t="s">
        <v>2421</v>
      </c>
      <c r="Q51" s="89" t="s">
        <v>2571</v>
      </c>
    </row>
    <row r="52" spans="1:17" ht="14.25" customHeight="1">
      <c r="A52" s="83" t="s">
        <v>264</v>
      </c>
      <c r="B52" s="84" t="s">
        <v>2298</v>
      </c>
      <c r="C52" s="83">
        <v>26660</v>
      </c>
      <c r="D52" s="83">
        <v>22350</v>
      </c>
      <c r="E52" s="83">
        <v>22920</v>
      </c>
      <c r="F52" s="83"/>
      <c r="G52" s="95">
        <v>15640</v>
      </c>
      <c r="N52" s="83" t="s">
        <v>2422</v>
      </c>
    </row>
    <row r="53" spans="1:17" ht="14.25" customHeight="1">
      <c r="A53" s="83" t="s">
        <v>264</v>
      </c>
      <c r="B53" s="84" t="s">
        <v>2299</v>
      </c>
      <c r="C53" s="83">
        <v>23580</v>
      </c>
      <c r="D53" s="83"/>
      <c r="E53" s="83">
        <v>24280</v>
      </c>
      <c r="F53" s="83"/>
      <c r="G53" s="95"/>
      <c r="N53" s="83" t="s">
        <v>2423</v>
      </c>
    </row>
    <row r="54" spans="1:17" ht="14.25" customHeight="1">
      <c r="A54" s="96" t="s">
        <v>264</v>
      </c>
      <c r="B54" s="88" t="s">
        <v>2300</v>
      </c>
      <c r="C54" s="89">
        <v>22460</v>
      </c>
      <c r="D54" s="89"/>
      <c r="E54" s="89"/>
      <c r="F54" s="89"/>
      <c r="G54" s="97"/>
      <c r="N54" s="83" t="s">
        <v>2424</v>
      </c>
    </row>
    <row r="55" spans="1:17" ht="14.25" customHeight="1">
      <c r="A55" s="87" t="s">
        <v>275</v>
      </c>
      <c r="B55" s="79" t="s">
        <v>2301</v>
      </c>
      <c r="C55" s="83">
        <v>21970</v>
      </c>
      <c r="D55" s="83">
        <v>20370</v>
      </c>
      <c r="E55" s="83">
        <v>20180</v>
      </c>
      <c r="F55" s="83">
        <v>5730</v>
      </c>
      <c r="G55" s="83">
        <v>13820</v>
      </c>
      <c r="N55" s="83" t="s">
        <v>2425</v>
      </c>
    </row>
    <row r="56" spans="1:17" ht="14.25" customHeight="1">
      <c r="A56" s="83" t="s">
        <v>275</v>
      </c>
      <c r="B56" s="83" t="s">
        <v>2302</v>
      </c>
      <c r="C56" s="83">
        <v>20470</v>
      </c>
      <c r="D56" s="83">
        <v>20700</v>
      </c>
      <c r="E56" s="83">
        <v>20380</v>
      </c>
      <c r="F56" s="83">
        <v>4760</v>
      </c>
      <c r="G56" s="83">
        <v>14050</v>
      </c>
      <c r="N56" s="83" t="s">
        <v>2426</v>
      </c>
    </row>
    <row r="57" spans="1:17" ht="14.25" customHeight="1">
      <c r="A57" s="83" t="s">
        <v>275</v>
      </c>
      <c r="B57" s="83" t="s">
        <v>2303</v>
      </c>
      <c r="C57" s="83">
        <v>20790</v>
      </c>
      <c r="D57" s="83">
        <v>21370</v>
      </c>
      <c r="E57" s="83">
        <v>20890</v>
      </c>
      <c r="F57" s="83">
        <v>4910</v>
      </c>
      <c r="G57" s="83">
        <v>14510</v>
      </c>
      <c r="N57" s="83" t="s">
        <v>2427</v>
      </c>
    </row>
    <row r="58" spans="1:17" ht="14.25" customHeight="1">
      <c r="A58" s="83" t="s">
        <v>275</v>
      </c>
      <c r="B58" s="83" t="s">
        <v>2304</v>
      </c>
      <c r="C58" s="83">
        <v>21460</v>
      </c>
      <c r="D58" s="83">
        <v>20920</v>
      </c>
      <c r="E58" s="83">
        <v>23410</v>
      </c>
      <c r="F58" s="83">
        <v>5100</v>
      </c>
      <c r="G58" s="83">
        <v>14200</v>
      </c>
      <c r="N58" s="83" t="s">
        <v>2428</v>
      </c>
    </row>
    <row r="59" spans="1:17" ht="14.25" customHeight="1">
      <c r="A59" s="83" t="s">
        <v>275</v>
      </c>
      <c r="B59" s="83" t="s">
        <v>2305</v>
      </c>
      <c r="C59" s="83">
        <v>21000</v>
      </c>
      <c r="D59" s="83">
        <v>21550</v>
      </c>
      <c r="E59" s="83">
        <v>21150</v>
      </c>
      <c r="F59" s="83">
        <v>5250</v>
      </c>
      <c r="G59" s="83">
        <v>14630</v>
      </c>
      <c r="N59" s="83" t="s">
        <v>2429</v>
      </c>
    </row>
    <row r="60" spans="1:17" ht="14.25" customHeight="1">
      <c r="A60" s="83" t="s">
        <v>275</v>
      </c>
      <c r="B60" s="83" t="s">
        <v>2306</v>
      </c>
      <c r="C60" s="83">
        <v>21640</v>
      </c>
      <c r="D60" s="83">
        <v>21260</v>
      </c>
      <c r="E60" s="83">
        <v>24040</v>
      </c>
      <c r="F60" s="83">
        <v>4470</v>
      </c>
      <c r="G60" s="83">
        <v>14430</v>
      </c>
      <c r="N60" s="83" t="s">
        <v>2430</v>
      </c>
    </row>
    <row r="61" spans="1:17" ht="14.25" customHeight="1">
      <c r="A61" s="83" t="s">
        <v>275</v>
      </c>
      <c r="B61" s="83" t="s">
        <v>2307</v>
      </c>
      <c r="C61" s="83">
        <v>21330</v>
      </c>
      <c r="D61" s="83">
        <v>18640</v>
      </c>
      <c r="E61" s="83">
        <v>21190</v>
      </c>
      <c r="F61" s="83">
        <v>4180</v>
      </c>
      <c r="G61" s="83">
        <v>12650</v>
      </c>
      <c r="N61" s="83" t="s">
        <v>2431</v>
      </c>
    </row>
    <row r="62" spans="1:17" ht="14.25" customHeight="1">
      <c r="A62" s="83" t="s">
        <v>275</v>
      </c>
      <c r="B62" s="83" t="s">
        <v>2308</v>
      </c>
      <c r="C62" s="83">
        <v>18710</v>
      </c>
      <c r="D62" s="83">
        <v>19400</v>
      </c>
      <c r="E62" s="83">
        <v>23750</v>
      </c>
      <c r="F62" s="83">
        <v>4860</v>
      </c>
      <c r="G62" s="83">
        <v>13170</v>
      </c>
      <c r="N62" s="83" t="s">
        <v>2432</v>
      </c>
    </row>
    <row r="63" spans="1:17" ht="14.25" customHeight="1">
      <c r="A63" s="83" t="s">
        <v>275</v>
      </c>
      <c r="B63" s="83" t="s">
        <v>2309</v>
      </c>
      <c r="C63" s="83">
        <v>19480</v>
      </c>
      <c r="D63" s="83">
        <v>16830</v>
      </c>
      <c r="E63" s="83">
        <v>21590</v>
      </c>
      <c r="F63" s="83">
        <v>4560</v>
      </c>
      <c r="G63" s="83">
        <v>11420</v>
      </c>
      <c r="N63" s="83" t="s">
        <v>2433</v>
      </c>
    </row>
    <row r="64" spans="1:17" ht="14.25" customHeight="1">
      <c r="A64" s="83" t="s">
        <v>275</v>
      </c>
      <c r="B64" s="83" t="s">
        <v>2310</v>
      </c>
      <c r="C64" s="83">
        <v>16920</v>
      </c>
      <c r="D64" s="83">
        <v>19190</v>
      </c>
      <c r="E64" s="83">
        <v>22200</v>
      </c>
      <c r="F64" s="83">
        <v>4390</v>
      </c>
      <c r="G64" s="83">
        <v>13030</v>
      </c>
      <c r="N64" s="89" t="s">
        <v>2434</v>
      </c>
    </row>
    <row r="65" spans="1:7" s="72" customFormat="1" ht="14.25" customHeight="1">
      <c r="A65" s="83" t="s">
        <v>275</v>
      </c>
      <c r="B65" s="83" t="s">
        <v>2311</v>
      </c>
      <c r="C65" s="83">
        <v>19290</v>
      </c>
      <c r="D65" s="83">
        <v>17020</v>
      </c>
      <c r="E65" s="83">
        <v>19880</v>
      </c>
      <c r="F65" s="83">
        <v>4070</v>
      </c>
      <c r="G65" s="83">
        <v>11550</v>
      </c>
    </row>
    <row r="66" spans="1:7" s="72" customFormat="1" ht="14.25" customHeight="1">
      <c r="A66" s="83" t="s">
        <v>275</v>
      </c>
      <c r="B66" s="83" t="s">
        <v>2312</v>
      </c>
      <c r="C66" s="83">
        <v>17090</v>
      </c>
      <c r="D66" s="83">
        <v>18340</v>
      </c>
      <c r="E66" s="83">
        <v>21830</v>
      </c>
      <c r="F66" s="83">
        <v>4690</v>
      </c>
      <c r="G66" s="83">
        <v>12450</v>
      </c>
    </row>
    <row r="67" spans="1:7" s="72" customFormat="1" ht="14.25" customHeight="1">
      <c r="A67" s="83" t="s">
        <v>275</v>
      </c>
      <c r="B67" s="83" t="s">
        <v>2313</v>
      </c>
      <c r="C67" s="83">
        <v>18420</v>
      </c>
      <c r="D67" s="83">
        <v>16360</v>
      </c>
      <c r="E67" s="83">
        <v>20020</v>
      </c>
      <c r="F67" s="83">
        <v>5150</v>
      </c>
      <c r="G67" s="83">
        <v>11110</v>
      </c>
    </row>
    <row r="68" spans="1:7" s="72" customFormat="1" ht="14.25" customHeight="1">
      <c r="A68" s="83" t="s">
        <v>275</v>
      </c>
      <c r="B68" s="83" t="s">
        <v>2314</v>
      </c>
      <c r="C68" s="83">
        <v>16450</v>
      </c>
      <c r="D68" s="83">
        <v>18430</v>
      </c>
      <c r="E68" s="83">
        <v>21010</v>
      </c>
      <c r="F68" s="83">
        <v>4720</v>
      </c>
      <c r="G68" s="83">
        <v>12510</v>
      </c>
    </row>
    <row r="69" spans="1:7" s="72" customFormat="1" ht="14.25" customHeight="1">
      <c r="A69" s="83" t="s">
        <v>275</v>
      </c>
      <c r="B69" s="83" t="s">
        <v>2315</v>
      </c>
      <c r="C69" s="83">
        <v>18510</v>
      </c>
      <c r="D69" s="83">
        <v>16300</v>
      </c>
      <c r="E69" s="83">
        <v>18830</v>
      </c>
      <c r="F69" s="83">
        <v>5400</v>
      </c>
      <c r="G69" s="83">
        <v>11070</v>
      </c>
    </row>
    <row r="70" spans="1:7" s="72" customFormat="1" ht="14.25" customHeight="1">
      <c r="A70" s="83" t="s">
        <v>275</v>
      </c>
      <c r="B70" s="83" t="s">
        <v>2316</v>
      </c>
      <c r="C70" s="83">
        <v>16370</v>
      </c>
      <c r="D70" s="83">
        <v>18620</v>
      </c>
      <c r="E70" s="83">
        <v>21100</v>
      </c>
      <c r="F70" s="83">
        <v>5700</v>
      </c>
      <c r="G70" s="83">
        <v>12640</v>
      </c>
    </row>
    <row r="71" spans="1:7" s="72" customFormat="1" ht="14.25" customHeight="1">
      <c r="A71" s="83" t="s">
        <v>275</v>
      </c>
      <c r="B71" s="83" t="s">
        <v>2317</v>
      </c>
      <c r="C71" s="83">
        <v>18700</v>
      </c>
      <c r="D71" s="83">
        <v>16290</v>
      </c>
      <c r="E71" s="83">
        <v>18760</v>
      </c>
      <c r="F71" s="83">
        <v>4780</v>
      </c>
      <c r="G71" s="83">
        <v>11050</v>
      </c>
    </row>
    <row r="72" spans="1:7" s="72" customFormat="1" ht="14.25" customHeight="1">
      <c r="A72" s="83" t="s">
        <v>275</v>
      </c>
      <c r="B72" s="83" t="s">
        <v>2318</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2462</v>
      </c>
      <c r="C217" s="83">
        <v>8200</v>
      </c>
      <c r="D217" s="83">
        <v>8150</v>
      </c>
      <c r="E217" s="83">
        <v>10910</v>
      </c>
      <c r="F217" s="83">
        <v>1670</v>
      </c>
      <c r="G217" s="95">
        <v>5150</v>
      </c>
    </row>
    <row r="218" spans="1:7" s="72" customFormat="1" ht="14.25" customHeight="1">
      <c r="A218" s="83" t="s">
        <v>303</v>
      </c>
      <c r="B218" s="83" t="s">
        <v>2463</v>
      </c>
      <c r="C218" s="83"/>
      <c r="D218" s="83"/>
      <c r="E218" s="83"/>
      <c r="F218" s="83">
        <v>2040</v>
      </c>
      <c r="G218" s="95"/>
    </row>
    <row r="219" spans="1:7" s="72" customFormat="1" ht="14.25" customHeight="1">
      <c r="A219" s="83" t="s">
        <v>303</v>
      </c>
      <c r="B219" s="83" t="s">
        <v>2464</v>
      </c>
      <c r="C219" s="83"/>
      <c r="D219" s="83"/>
      <c r="E219" s="83"/>
      <c r="F219" s="83">
        <v>2040</v>
      </c>
      <c r="G219" s="95"/>
    </row>
    <row r="220" spans="1:7" s="72" customFormat="1" ht="14.25" customHeight="1">
      <c r="A220" s="83" t="s">
        <v>303</v>
      </c>
      <c r="B220" s="83" t="s">
        <v>2465</v>
      </c>
      <c r="C220" s="83"/>
      <c r="D220" s="83"/>
      <c r="E220" s="83"/>
      <c r="F220" s="83">
        <v>2040</v>
      </c>
      <c r="G220" s="95"/>
    </row>
    <row r="221" spans="1:7" s="72" customFormat="1" ht="14.25" customHeight="1">
      <c r="A221" s="83" t="s">
        <v>303</v>
      </c>
      <c r="B221" s="83" t="s">
        <v>2466</v>
      </c>
      <c r="C221" s="83"/>
      <c r="D221" s="83"/>
      <c r="E221" s="83"/>
      <c r="F221" s="83">
        <v>2040</v>
      </c>
      <c r="G221" s="95"/>
    </row>
    <row r="222" spans="1:7" s="72" customFormat="1" ht="14.25" customHeight="1">
      <c r="A222" s="83" t="s">
        <v>303</v>
      </c>
      <c r="B222" s="83" t="s">
        <v>2467</v>
      </c>
      <c r="C222" s="83"/>
      <c r="D222" s="83"/>
      <c r="E222" s="83"/>
      <c r="F222" s="83">
        <v>2040</v>
      </c>
      <c r="G222" s="95"/>
    </row>
    <row r="223" spans="1:7" s="72" customFormat="1" ht="14.25" customHeight="1">
      <c r="A223" s="83" t="s">
        <v>303</v>
      </c>
      <c r="B223" s="83" t="s">
        <v>2468</v>
      </c>
      <c r="C223" s="83"/>
      <c r="D223" s="83"/>
      <c r="E223" s="83"/>
      <c r="F223" s="83">
        <v>1930</v>
      </c>
      <c r="G223" s="95"/>
    </row>
    <row r="224" spans="1:7" s="72" customFormat="1" ht="14.25" customHeight="1">
      <c r="A224" s="83" t="s">
        <v>303</v>
      </c>
      <c r="B224" s="83" t="s">
        <v>2469</v>
      </c>
      <c r="C224" s="83"/>
      <c r="D224" s="83"/>
      <c r="E224" s="83"/>
      <c r="F224" s="83">
        <v>1930</v>
      </c>
      <c r="G224" s="95"/>
    </row>
    <row r="225" spans="1:7" s="72" customFormat="1" ht="14.25" customHeight="1">
      <c r="A225" s="83" t="s">
        <v>303</v>
      </c>
      <c r="B225" s="83" t="s">
        <v>2470</v>
      </c>
      <c r="C225" s="83"/>
      <c r="D225" s="83"/>
      <c r="E225" s="83"/>
      <c r="F225" s="83">
        <v>1930</v>
      </c>
      <c r="G225" s="95"/>
    </row>
    <row r="226" spans="1:7" s="72" customFormat="1" ht="14.25" customHeight="1">
      <c r="A226" s="83" t="s">
        <v>303</v>
      </c>
      <c r="B226" s="83" t="s">
        <v>2471</v>
      </c>
      <c r="C226" s="83"/>
      <c r="D226" s="83"/>
      <c r="E226" s="83"/>
      <c r="F226" s="83">
        <v>1700</v>
      </c>
      <c r="G226" s="95"/>
    </row>
    <row r="227" spans="1:7" s="72" customFormat="1" ht="14.25" customHeight="1">
      <c r="A227" s="83" t="s">
        <v>303</v>
      </c>
      <c r="B227" s="83" t="s">
        <v>2759</v>
      </c>
      <c r="C227" s="83"/>
      <c r="D227" s="83"/>
      <c r="E227" s="83"/>
      <c r="F227" s="83">
        <v>1520</v>
      </c>
      <c r="G227" s="95"/>
    </row>
    <row r="228" spans="1:7" s="72" customFormat="1" ht="14.25" customHeight="1">
      <c r="A228" s="83" t="s">
        <v>303</v>
      </c>
      <c r="B228" s="83" t="s">
        <v>2760</v>
      </c>
      <c r="C228" s="83"/>
      <c r="D228" s="83"/>
      <c r="E228" s="83"/>
      <c r="F228" s="83">
        <v>1520</v>
      </c>
      <c r="G228" s="95"/>
    </row>
    <row r="229" spans="1:7" s="72" customFormat="1" ht="14.25" customHeight="1">
      <c r="A229" s="83" t="s">
        <v>303</v>
      </c>
      <c r="B229" s="83" t="s">
        <v>2761</v>
      </c>
      <c r="C229" s="83"/>
      <c r="D229" s="83"/>
      <c r="E229" s="83"/>
      <c r="F229" s="83">
        <v>1520</v>
      </c>
      <c r="G229" s="95"/>
    </row>
    <row r="230" spans="1:7" s="72" customFormat="1" ht="14.25" customHeight="1">
      <c r="A230" s="83" t="s">
        <v>303</v>
      </c>
      <c r="B230" s="83" t="s">
        <v>2475</v>
      </c>
      <c r="C230" s="83"/>
      <c r="D230" s="83"/>
      <c r="E230" s="83"/>
      <c r="F230" s="83">
        <v>1820</v>
      </c>
      <c r="G230" s="95"/>
    </row>
    <row r="231" spans="1:7" s="72" customFormat="1" ht="14.25" customHeight="1">
      <c r="A231" s="83" t="s">
        <v>303</v>
      </c>
      <c r="B231" s="83" t="s">
        <v>2476</v>
      </c>
      <c r="C231" s="83"/>
      <c r="D231" s="83"/>
      <c r="E231" s="83"/>
      <c r="F231" s="83">
        <v>1760</v>
      </c>
      <c r="G231" s="95"/>
    </row>
    <row r="232" spans="1:7" s="72" customFormat="1" ht="14.25" customHeight="1">
      <c r="A232" s="83" t="s">
        <v>303</v>
      </c>
      <c r="B232" s="83" t="s">
        <v>2762</v>
      </c>
      <c r="C232" s="83"/>
      <c r="D232" s="83"/>
      <c r="E232" s="83"/>
      <c r="F232" s="83">
        <v>1840</v>
      </c>
      <c r="G232" s="95"/>
    </row>
    <row r="233" spans="1:7" s="72" customFormat="1" ht="14.25" customHeight="1">
      <c r="A233" s="96" t="s">
        <v>303</v>
      </c>
      <c r="B233" s="89" t="s">
        <v>2478</v>
      </c>
      <c r="C233" s="89"/>
      <c r="D233" s="89"/>
      <c r="E233" s="89"/>
      <c r="F233" s="89">
        <v>1770</v>
      </c>
      <c r="G233" s="97"/>
    </row>
    <row r="234" spans="1:7" s="72" customFormat="1" ht="14.25" customHeight="1">
      <c r="A234" s="87" t="s">
        <v>311</v>
      </c>
      <c r="B234" s="79" t="s">
        <v>2479</v>
      </c>
      <c r="C234" s="83">
        <v>6980</v>
      </c>
      <c r="D234" s="83">
        <v>6970</v>
      </c>
      <c r="E234" s="83">
        <v>8720</v>
      </c>
      <c r="F234" s="83">
        <v>1350</v>
      </c>
      <c r="G234" s="83">
        <v>4280</v>
      </c>
    </row>
    <row r="235" spans="1:7" s="72" customFormat="1" ht="14.25" customHeight="1">
      <c r="A235" s="83" t="s">
        <v>311</v>
      </c>
      <c r="B235" s="83" t="s">
        <v>2480</v>
      </c>
      <c r="C235" s="83">
        <v>7620</v>
      </c>
      <c r="D235" s="83">
        <v>7580</v>
      </c>
      <c r="E235" s="83">
        <v>9360</v>
      </c>
      <c r="F235" s="83">
        <v>1490</v>
      </c>
      <c r="G235" s="83">
        <v>4650</v>
      </c>
    </row>
    <row r="236" spans="1:7" s="72" customFormat="1" ht="14.25" customHeight="1">
      <c r="A236" s="83" t="s">
        <v>311</v>
      </c>
      <c r="B236" s="83" t="s">
        <v>2481</v>
      </c>
      <c r="C236" s="83">
        <v>6650</v>
      </c>
      <c r="D236" s="83">
        <v>6630</v>
      </c>
      <c r="E236" s="83">
        <v>8330</v>
      </c>
      <c r="F236" s="83">
        <v>1250</v>
      </c>
      <c r="G236" s="83">
        <v>4070</v>
      </c>
    </row>
    <row r="237" spans="1:7" s="72" customFormat="1" ht="14.25" customHeight="1">
      <c r="A237" s="83" t="s">
        <v>311</v>
      </c>
      <c r="B237" s="83" t="s">
        <v>2482</v>
      </c>
      <c r="C237" s="83">
        <v>5850</v>
      </c>
      <c r="D237" s="83">
        <v>5820</v>
      </c>
      <c r="E237" s="83">
        <v>7260</v>
      </c>
      <c r="F237" s="83">
        <v>1140</v>
      </c>
      <c r="G237" s="83">
        <v>3570</v>
      </c>
    </row>
    <row r="238" spans="1:7" s="72" customFormat="1" ht="14.25" customHeight="1">
      <c r="A238" s="83" t="s">
        <v>311</v>
      </c>
      <c r="B238" s="83" t="s">
        <v>2483</v>
      </c>
      <c r="C238" s="83">
        <v>6920</v>
      </c>
      <c r="D238" s="83">
        <v>6890</v>
      </c>
      <c r="E238" s="83">
        <v>8640</v>
      </c>
      <c r="F238" s="83">
        <v>1310</v>
      </c>
      <c r="G238" s="83">
        <v>4230</v>
      </c>
    </row>
    <row r="239" spans="1:7" s="72" customFormat="1" ht="14.25" customHeight="1">
      <c r="A239" s="83" t="s">
        <v>311</v>
      </c>
      <c r="B239" s="83" t="s">
        <v>2484</v>
      </c>
      <c r="C239" s="83">
        <v>6780</v>
      </c>
      <c r="D239" s="83">
        <v>6750</v>
      </c>
      <c r="E239" s="83">
        <v>8440</v>
      </c>
      <c r="F239" s="83">
        <v>1160</v>
      </c>
      <c r="G239" s="83">
        <v>4140</v>
      </c>
    </row>
    <row r="240" spans="1:7" s="72" customFormat="1" ht="14.25" customHeight="1">
      <c r="A240" s="83" t="s">
        <v>311</v>
      </c>
      <c r="B240" s="83" t="s">
        <v>2485</v>
      </c>
      <c r="C240" s="83">
        <v>5420</v>
      </c>
      <c r="D240" s="83">
        <v>5380</v>
      </c>
      <c r="E240" s="83">
        <v>6640</v>
      </c>
      <c r="F240" s="83">
        <v>1020</v>
      </c>
      <c r="G240" s="83">
        <v>3300</v>
      </c>
    </row>
    <row r="241" spans="1:7" s="72" customFormat="1" ht="14.25" customHeight="1">
      <c r="A241" s="83" t="s">
        <v>311</v>
      </c>
      <c r="B241" s="83" t="s">
        <v>2486</v>
      </c>
      <c r="C241" s="83">
        <v>6660</v>
      </c>
      <c r="D241" s="83">
        <v>6640</v>
      </c>
      <c r="E241" s="83">
        <v>8340</v>
      </c>
      <c r="F241" s="83">
        <v>1130</v>
      </c>
      <c r="G241" s="83">
        <v>4080</v>
      </c>
    </row>
    <row r="242" spans="1:7" s="72" customFormat="1" ht="14.25" customHeight="1">
      <c r="A242" s="83" t="s">
        <v>311</v>
      </c>
      <c r="B242" s="83" t="s">
        <v>2487</v>
      </c>
      <c r="C242" s="83">
        <v>6580</v>
      </c>
      <c r="D242" s="83">
        <v>6550</v>
      </c>
      <c r="E242" s="83">
        <v>8090</v>
      </c>
      <c r="F242" s="83">
        <v>1240</v>
      </c>
      <c r="G242" s="83">
        <v>4020</v>
      </c>
    </row>
    <row r="243" spans="1:7" s="72" customFormat="1" ht="14.25" customHeight="1">
      <c r="A243" s="83" t="s">
        <v>311</v>
      </c>
      <c r="B243" s="83" t="s">
        <v>2488</v>
      </c>
      <c r="C243" s="83">
        <v>6000</v>
      </c>
      <c r="D243" s="83">
        <v>5970</v>
      </c>
      <c r="E243" s="83">
        <v>7370</v>
      </c>
      <c r="F243" s="83">
        <v>1070</v>
      </c>
      <c r="G243" s="83">
        <v>3670</v>
      </c>
    </row>
    <row r="244" spans="1:7" s="72" customFormat="1" ht="14.25" customHeight="1">
      <c r="A244" s="83" t="s">
        <v>311</v>
      </c>
      <c r="B244" s="83" t="s">
        <v>2489</v>
      </c>
      <c r="C244" s="83">
        <v>5840</v>
      </c>
      <c r="D244" s="83">
        <v>5810</v>
      </c>
      <c r="E244" s="83">
        <v>7240</v>
      </c>
      <c r="F244" s="83">
        <v>1100</v>
      </c>
      <c r="G244" s="83">
        <v>3560</v>
      </c>
    </row>
    <row r="245" spans="1:7" s="72" customFormat="1" ht="14.25" customHeight="1">
      <c r="A245" s="83" t="s">
        <v>311</v>
      </c>
      <c r="B245" s="83" t="s">
        <v>2490</v>
      </c>
      <c r="C245" s="83">
        <v>6040</v>
      </c>
      <c r="D245" s="83">
        <v>6000</v>
      </c>
      <c r="E245" s="83">
        <v>7420</v>
      </c>
      <c r="F245" s="83">
        <v>1140</v>
      </c>
      <c r="G245" s="83">
        <v>3690</v>
      </c>
    </row>
    <row r="246" spans="1:7" s="72" customFormat="1" ht="14.25" customHeight="1">
      <c r="A246" s="83" t="s">
        <v>311</v>
      </c>
      <c r="B246" s="83" t="s">
        <v>2491</v>
      </c>
      <c r="C246" s="83">
        <v>5890</v>
      </c>
      <c r="D246" s="83">
        <v>5860</v>
      </c>
      <c r="E246" s="83">
        <v>7300</v>
      </c>
      <c r="F246" s="83">
        <v>1110</v>
      </c>
      <c r="G246" s="83">
        <v>3590</v>
      </c>
    </row>
    <row r="247" spans="1:7" s="72" customFormat="1" ht="14.25" customHeight="1">
      <c r="A247" s="83" t="s">
        <v>311</v>
      </c>
      <c r="B247" s="83" t="s">
        <v>2492</v>
      </c>
      <c r="C247" s="83">
        <v>6480</v>
      </c>
      <c r="D247" s="83">
        <v>6450</v>
      </c>
      <c r="E247" s="83">
        <v>8010</v>
      </c>
      <c r="F247" s="83">
        <v>1170</v>
      </c>
      <c r="G247" s="83">
        <v>3960</v>
      </c>
    </row>
    <row r="248" spans="1:7" s="72" customFormat="1" ht="14.25" customHeight="1">
      <c r="A248" s="83" t="s">
        <v>311</v>
      </c>
      <c r="B248" s="83" t="s">
        <v>2493</v>
      </c>
      <c r="C248" s="83">
        <v>6860</v>
      </c>
      <c r="D248" s="83">
        <v>6840</v>
      </c>
      <c r="E248" s="83">
        <v>8520</v>
      </c>
      <c r="F248" s="83">
        <v>1240</v>
      </c>
      <c r="G248" s="83">
        <v>4200</v>
      </c>
    </row>
    <row r="249" spans="1:7" s="72" customFormat="1" ht="14.25" customHeight="1">
      <c r="A249" s="83" t="s">
        <v>311</v>
      </c>
      <c r="B249" s="83" t="s">
        <v>2494</v>
      </c>
      <c r="C249" s="83">
        <v>7180</v>
      </c>
      <c r="D249" s="83">
        <v>7140</v>
      </c>
      <c r="E249" s="83">
        <v>8900</v>
      </c>
      <c r="F249" s="83">
        <v>1350</v>
      </c>
      <c r="G249" s="83">
        <v>4380</v>
      </c>
    </row>
    <row r="250" spans="1:7" s="72" customFormat="1" ht="14.25" customHeight="1">
      <c r="A250" s="83" t="s">
        <v>311</v>
      </c>
      <c r="B250" s="83" t="s">
        <v>2495</v>
      </c>
      <c r="C250" s="83">
        <v>6880</v>
      </c>
      <c r="D250" s="83">
        <v>6860</v>
      </c>
      <c r="E250" s="83">
        <v>8550</v>
      </c>
      <c r="F250" s="83">
        <v>1220</v>
      </c>
      <c r="G250" s="83">
        <v>4210</v>
      </c>
    </row>
    <row r="251" spans="1:7" s="72" customFormat="1" ht="14.25" customHeight="1">
      <c r="A251" s="83" t="s">
        <v>311</v>
      </c>
      <c r="B251" s="83" t="s">
        <v>2496</v>
      </c>
      <c r="C251" s="83"/>
      <c r="D251" s="83"/>
      <c r="E251" s="83"/>
      <c r="F251" s="83">
        <v>1100</v>
      </c>
      <c r="G251" s="83"/>
    </row>
    <row r="252" spans="1:7" s="72" customFormat="1" ht="14.25" customHeight="1">
      <c r="A252" s="83" t="s">
        <v>311</v>
      </c>
      <c r="B252" s="83" t="s">
        <v>2497</v>
      </c>
      <c r="C252" s="83">
        <v>7240</v>
      </c>
      <c r="D252" s="83">
        <v>7200</v>
      </c>
      <c r="E252" s="83">
        <v>9040</v>
      </c>
      <c r="F252" s="83">
        <v>1380</v>
      </c>
      <c r="G252" s="83">
        <v>4420</v>
      </c>
    </row>
    <row r="253" spans="1:7" s="72" customFormat="1" ht="14.25" customHeight="1">
      <c r="A253" s="83" t="s">
        <v>311</v>
      </c>
      <c r="B253" s="83" t="s">
        <v>2498</v>
      </c>
      <c r="C253" s="83">
        <v>6670</v>
      </c>
      <c r="D253" s="83">
        <v>6650</v>
      </c>
      <c r="E253" s="83">
        <v>8350</v>
      </c>
      <c r="F253" s="83">
        <v>1260</v>
      </c>
      <c r="G253" s="83">
        <v>4080</v>
      </c>
    </row>
    <row r="254" spans="1:7" s="72" customFormat="1" ht="14.25" customHeight="1">
      <c r="A254" s="83" t="s">
        <v>311</v>
      </c>
      <c r="B254" s="83" t="s">
        <v>2499</v>
      </c>
      <c r="C254" s="83">
        <v>7630</v>
      </c>
      <c r="D254" s="83">
        <v>7590</v>
      </c>
      <c r="E254" s="83">
        <v>9380</v>
      </c>
      <c r="F254" s="83">
        <v>1320</v>
      </c>
      <c r="G254" s="83">
        <v>4660</v>
      </c>
    </row>
    <row r="255" spans="1:7" s="72" customFormat="1" ht="14.25" customHeight="1">
      <c r="A255" s="83" t="s">
        <v>311</v>
      </c>
      <c r="B255" s="83" t="s">
        <v>2500</v>
      </c>
      <c r="C255" s="83">
        <v>6940</v>
      </c>
      <c r="D255" s="83">
        <v>6890</v>
      </c>
      <c r="E255" s="83">
        <v>8650</v>
      </c>
      <c r="F255" s="83">
        <v>1210</v>
      </c>
      <c r="G255" s="83">
        <v>4230</v>
      </c>
    </row>
    <row r="256" spans="1:7" s="72" customFormat="1" ht="14.25" customHeight="1">
      <c r="A256" s="83" t="s">
        <v>311</v>
      </c>
      <c r="B256" s="83" t="s">
        <v>2501</v>
      </c>
      <c r="C256" s="83">
        <v>7520</v>
      </c>
      <c r="D256" s="83">
        <v>7490</v>
      </c>
      <c r="E256" s="83">
        <v>9240</v>
      </c>
      <c r="F256" s="83">
        <v>1270</v>
      </c>
      <c r="G256" s="83">
        <v>4590</v>
      </c>
    </row>
    <row r="257" spans="1:7" s="72" customFormat="1" ht="14.25" customHeight="1">
      <c r="A257" s="83" t="s">
        <v>311</v>
      </c>
      <c r="B257" s="83" t="s">
        <v>2502</v>
      </c>
      <c r="C257" s="83">
        <v>6280</v>
      </c>
      <c r="D257" s="83">
        <v>6230</v>
      </c>
      <c r="E257" s="83">
        <v>7740</v>
      </c>
      <c r="F257" s="83">
        <v>1080</v>
      </c>
      <c r="G257" s="83">
        <v>3830</v>
      </c>
    </row>
    <row r="258" spans="1:7" s="72" customFormat="1" ht="14.25" customHeight="1">
      <c r="A258" s="83" t="s">
        <v>311</v>
      </c>
      <c r="B258" s="83" t="s">
        <v>2503</v>
      </c>
      <c r="C258" s="83">
        <v>6190</v>
      </c>
      <c r="D258" s="83">
        <v>6160</v>
      </c>
      <c r="E258" s="83">
        <v>7680</v>
      </c>
      <c r="F258" s="83">
        <v>1170</v>
      </c>
      <c r="G258" s="83">
        <v>3780</v>
      </c>
    </row>
    <row r="259" spans="1:7" s="72" customFormat="1" ht="14.25" customHeight="1">
      <c r="A259" s="83" t="s">
        <v>311</v>
      </c>
      <c r="B259" s="83" t="s">
        <v>2504</v>
      </c>
      <c r="C259" s="83">
        <v>7610</v>
      </c>
      <c r="D259" s="83">
        <v>7570</v>
      </c>
      <c r="E259" s="83">
        <v>9350</v>
      </c>
      <c r="F259" s="83">
        <v>1350</v>
      </c>
      <c r="G259" s="83">
        <v>4650</v>
      </c>
    </row>
    <row r="260" spans="1:7" s="72" customFormat="1" ht="14.25" customHeight="1">
      <c r="A260" s="83" t="s">
        <v>311</v>
      </c>
      <c r="B260" s="83" t="s">
        <v>2505</v>
      </c>
      <c r="C260" s="83">
        <v>6920</v>
      </c>
      <c r="D260" s="83">
        <v>6880</v>
      </c>
      <c r="E260" s="83">
        <v>8380</v>
      </c>
      <c r="F260" s="83">
        <v>1160</v>
      </c>
      <c r="G260" s="83">
        <v>4220</v>
      </c>
    </row>
    <row r="261" spans="1:7" s="72" customFormat="1" ht="14.25" customHeight="1">
      <c r="A261" s="83" t="s">
        <v>311</v>
      </c>
      <c r="B261" s="83" t="s">
        <v>2506</v>
      </c>
      <c r="C261" s="83">
        <v>6850</v>
      </c>
      <c r="D261" s="83">
        <v>6810</v>
      </c>
      <c r="E261" s="83">
        <v>8290</v>
      </c>
      <c r="F261" s="83">
        <v>1130</v>
      </c>
      <c r="G261" s="83">
        <v>4180</v>
      </c>
    </row>
    <row r="262" spans="1:7" s="72" customFormat="1" ht="14.25" customHeight="1">
      <c r="A262" s="83" t="s">
        <v>311</v>
      </c>
      <c r="B262" s="83" t="s">
        <v>2507</v>
      </c>
      <c r="C262" s="83">
        <v>5860</v>
      </c>
      <c r="D262" s="83">
        <v>5820</v>
      </c>
      <c r="E262" s="83">
        <v>7640</v>
      </c>
      <c r="F262" s="83">
        <v>1070</v>
      </c>
      <c r="G262" s="83">
        <v>3570</v>
      </c>
    </row>
    <row r="263" spans="1:7" s="72" customFormat="1" ht="14.25" customHeight="1">
      <c r="A263" s="83" t="s">
        <v>311</v>
      </c>
      <c r="B263" s="83" t="s">
        <v>2508</v>
      </c>
      <c r="C263" s="83">
        <v>5870</v>
      </c>
      <c r="D263" s="83">
        <v>5840</v>
      </c>
      <c r="E263" s="83">
        <v>7270</v>
      </c>
      <c r="F263" s="83">
        <v>1190</v>
      </c>
      <c r="G263" s="83">
        <v>3580</v>
      </c>
    </row>
    <row r="264" spans="1:7" s="72" customFormat="1" ht="14.25" customHeight="1">
      <c r="A264" s="83" t="s">
        <v>311</v>
      </c>
      <c r="B264" s="83" t="s">
        <v>2509</v>
      </c>
      <c r="C264" s="83">
        <v>6190</v>
      </c>
      <c r="D264" s="83">
        <v>6150</v>
      </c>
      <c r="E264" s="83">
        <v>7660</v>
      </c>
      <c r="F264" s="83">
        <v>1160</v>
      </c>
      <c r="G264" s="83">
        <v>3770</v>
      </c>
    </row>
    <row r="265" spans="1:7" s="72" customFormat="1" ht="14.25" customHeight="1">
      <c r="A265" s="83" t="s">
        <v>311</v>
      </c>
      <c r="B265" s="83" t="s">
        <v>2510</v>
      </c>
      <c r="C265" s="83"/>
      <c r="D265" s="83"/>
      <c r="E265" s="83"/>
      <c r="F265" s="83">
        <v>1500</v>
      </c>
      <c r="G265" s="83"/>
    </row>
    <row r="266" spans="1:7" s="72" customFormat="1" ht="14.25" customHeight="1">
      <c r="A266" s="83" t="s">
        <v>311</v>
      </c>
      <c r="B266" s="83" t="s">
        <v>2511</v>
      </c>
      <c r="C266" s="83"/>
      <c r="D266" s="83"/>
      <c r="E266" s="83"/>
      <c r="F266" s="83">
        <v>1500</v>
      </c>
      <c r="G266" s="83"/>
    </row>
    <row r="267" spans="1:7" s="72" customFormat="1" ht="14.25" customHeight="1">
      <c r="A267" s="83" t="s">
        <v>311</v>
      </c>
      <c r="B267" s="83" t="s">
        <v>2512</v>
      </c>
      <c r="C267" s="83"/>
      <c r="D267" s="83"/>
      <c r="E267" s="83"/>
      <c r="F267" s="83">
        <v>1500</v>
      </c>
      <c r="G267" s="83"/>
    </row>
    <row r="268" spans="1:7" s="72" customFormat="1" ht="14.25" customHeight="1">
      <c r="A268" s="83" t="s">
        <v>311</v>
      </c>
      <c r="B268" s="83" t="s">
        <v>2513</v>
      </c>
      <c r="C268" s="83"/>
      <c r="D268" s="83"/>
      <c r="E268" s="83"/>
      <c r="F268" s="83">
        <v>1290</v>
      </c>
      <c r="G268" s="83"/>
    </row>
    <row r="269" spans="1:7" s="72" customFormat="1" ht="14.25" customHeight="1">
      <c r="A269" s="83" t="s">
        <v>311</v>
      </c>
      <c r="B269" s="83" t="s">
        <v>2514</v>
      </c>
      <c r="C269" s="83"/>
      <c r="D269" s="83"/>
      <c r="E269" s="83"/>
      <c r="F269" s="83">
        <v>1150</v>
      </c>
      <c r="G269" s="83"/>
    </row>
    <row r="270" spans="1:7" s="72" customFormat="1" ht="14.25" customHeight="1">
      <c r="A270" s="83" t="s">
        <v>311</v>
      </c>
      <c r="B270" s="83" t="s">
        <v>2515</v>
      </c>
      <c r="C270" s="83"/>
      <c r="D270" s="83"/>
      <c r="E270" s="83"/>
      <c r="F270" s="83">
        <v>1380</v>
      </c>
      <c r="G270" s="83"/>
    </row>
    <row r="271" spans="1:7" s="72" customFormat="1" ht="14.25" customHeight="1">
      <c r="A271" s="83" t="s">
        <v>311</v>
      </c>
      <c r="B271" s="83" t="s">
        <v>2516</v>
      </c>
      <c r="C271" s="83"/>
      <c r="D271" s="83"/>
      <c r="E271" s="83"/>
      <c r="F271" s="83">
        <v>1460</v>
      </c>
      <c r="G271" s="83"/>
    </row>
    <row r="272" spans="1:7" s="72" customFormat="1" ht="14.25" customHeight="1">
      <c r="A272" s="83" t="s">
        <v>311</v>
      </c>
      <c r="B272" s="83" t="s">
        <v>2517</v>
      </c>
      <c r="C272" s="83"/>
      <c r="D272" s="83"/>
      <c r="E272" s="83"/>
      <c r="F272" s="83">
        <v>1460</v>
      </c>
      <c r="G272" s="83"/>
    </row>
    <row r="273" spans="1:7" s="72" customFormat="1" ht="14.25" customHeight="1">
      <c r="A273" s="83" t="s">
        <v>311</v>
      </c>
      <c r="B273" s="83" t="s">
        <v>2518</v>
      </c>
      <c r="C273" s="83"/>
      <c r="D273" s="83"/>
      <c r="E273" s="83"/>
      <c r="F273" s="83">
        <v>1490</v>
      </c>
      <c r="G273" s="83"/>
    </row>
    <row r="274" spans="1:7" s="72" customFormat="1" ht="14.25" customHeight="1">
      <c r="A274" s="83" t="s">
        <v>311</v>
      </c>
      <c r="B274" s="83" t="s">
        <v>2519</v>
      </c>
      <c r="C274" s="83"/>
      <c r="D274" s="83"/>
      <c r="E274" s="83"/>
      <c r="F274" s="83">
        <v>1490</v>
      </c>
      <c r="G274" s="83"/>
    </row>
    <row r="275" spans="1:7" s="72" customFormat="1" ht="14.25" customHeight="1">
      <c r="A275" s="83" t="s">
        <v>311</v>
      </c>
      <c r="B275" s="83" t="s">
        <v>2520</v>
      </c>
      <c r="C275" s="83"/>
      <c r="D275" s="83"/>
      <c r="E275" s="83"/>
      <c r="F275" s="83">
        <v>1220</v>
      </c>
      <c r="G275" s="83"/>
    </row>
    <row r="276" spans="1:7" s="72" customFormat="1" ht="14.25" customHeight="1">
      <c r="A276" s="90" t="s">
        <v>311</v>
      </c>
      <c r="B276" s="92" t="s">
        <v>2521</v>
      </c>
      <c r="C276" s="93"/>
      <c r="D276" s="93"/>
      <c r="E276" s="93"/>
      <c r="F276" s="93">
        <v>1380</v>
      </c>
      <c r="G276" s="93"/>
    </row>
    <row r="277" spans="1:7" s="72" customFormat="1" ht="14.25" customHeight="1">
      <c r="A277" s="87" t="s">
        <v>318</v>
      </c>
      <c r="B277" s="79" t="s">
        <v>2522</v>
      </c>
      <c r="C277" s="79">
        <v>5790</v>
      </c>
      <c r="D277" s="79">
        <v>5740</v>
      </c>
      <c r="E277" s="79">
        <v>6730</v>
      </c>
      <c r="F277" s="79">
        <v>1110</v>
      </c>
      <c r="G277" s="94">
        <v>3460</v>
      </c>
    </row>
    <row r="278" spans="1:7" s="72" customFormat="1" ht="14.25" customHeight="1">
      <c r="A278" s="83" t="s">
        <v>318</v>
      </c>
      <c r="B278" s="83" t="s">
        <v>2523</v>
      </c>
      <c r="C278" s="83">
        <v>5740</v>
      </c>
      <c r="D278" s="83">
        <v>5670</v>
      </c>
      <c r="E278" s="83">
        <v>6680</v>
      </c>
      <c r="F278" s="83">
        <v>1070</v>
      </c>
      <c r="G278" s="95">
        <v>3420</v>
      </c>
    </row>
    <row r="279" spans="1:7" s="72" customFormat="1" ht="14.25" customHeight="1">
      <c r="A279" s="83" t="s">
        <v>318</v>
      </c>
      <c r="B279" s="83" t="s">
        <v>2524</v>
      </c>
      <c r="C279" s="83">
        <v>4760</v>
      </c>
      <c r="D279" s="83">
        <v>4720</v>
      </c>
      <c r="E279" s="83">
        <v>5540</v>
      </c>
      <c r="F279" s="83">
        <v>810</v>
      </c>
      <c r="G279" s="95">
        <v>2850</v>
      </c>
    </row>
    <row r="280" spans="1:7" s="72" customFormat="1" ht="14.25" customHeight="1">
      <c r="A280" s="83" t="s">
        <v>318</v>
      </c>
      <c r="B280" s="83" t="s">
        <v>2525</v>
      </c>
      <c r="C280" s="83">
        <v>4010</v>
      </c>
      <c r="D280" s="83">
        <v>3950</v>
      </c>
      <c r="E280" s="83">
        <v>4710</v>
      </c>
      <c r="F280" s="83">
        <v>800</v>
      </c>
      <c r="G280" s="95">
        <v>2390</v>
      </c>
    </row>
    <row r="281" spans="1:7" s="72" customFormat="1" ht="14.25" customHeight="1">
      <c r="A281" s="83" t="s">
        <v>318</v>
      </c>
      <c r="B281" s="83" t="s">
        <v>2526</v>
      </c>
      <c r="C281" s="83">
        <v>4480</v>
      </c>
      <c r="D281" s="83">
        <v>4420</v>
      </c>
      <c r="E281" s="83">
        <v>5230</v>
      </c>
      <c r="F281" s="83">
        <v>870</v>
      </c>
      <c r="G281" s="95">
        <v>2660</v>
      </c>
    </row>
    <row r="282" spans="1:7" s="72" customFormat="1" ht="14.25" customHeight="1">
      <c r="A282" s="83" t="s">
        <v>318</v>
      </c>
      <c r="B282" s="83" t="s">
        <v>2527</v>
      </c>
      <c r="C282" s="83">
        <v>5360</v>
      </c>
      <c r="D282" s="83">
        <v>5300</v>
      </c>
      <c r="E282" s="83">
        <v>6190</v>
      </c>
      <c r="F282" s="83">
        <v>950</v>
      </c>
      <c r="G282" s="95">
        <v>3190</v>
      </c>
    </row>
    <row r="283" spans="1:7" s="72" customFormat="1" ht="14.25" customHeight="1">
      <c r="A283" s="83" t="s">
        <v>318</v>
      </c>
      <c r="B283" s="83" t="s">
        <v>2528</v>
      </c>
      <c r="C283" s="83">
        <v>4950</v>
      </c>
      <c r="D283" s="83">
        <v>4900</v>
      </c>
      <c r="E283" s="83">
        <v>5720</v>
      </c>
      <c r="F283" s="83">
        <v>920</v>
      </c>
      <c r="G283" s="95">
        <v>2950</v>
      </c>
    </row>
    <row r="284" spans="1:7" s="72" customFormat="1" ht="14.25" customHeight="1">
      <c r="A284" s="83" t="s">
        <v>318</v>
      </c>
      <c r="B284" s="83" t="s">
        <v>2529</v>
      </c>
      <c r="C284" s="83">
        <v>5610</v>
      </c>
      <c r="D284" s="83">
        <v>5560</v>
      </c>
      <c r="E284" s="83">
        <v>6520</v>
      </c>
      <c r="F284" s="83">
        <v>1030</v>
      </c>
      <c r="G284" s="95">
        <v>3360</v>
      </c>
    </row>
    <row r="285" spans="1:7" s="72" customFormat="1" ht="14.25" customHeight="1">
      <c r="A285" s="83" t="s">
        <v>318</v>
      </c>
      <c r="B285" s="83" t="s">
        <v>2530</v>
      </c>
      <c r="C285" s="83">
        <v>5340</v>
      </c>
      <c r="D285" s="83">
        <v>5290</v>
      </c>
      <c r="E285" s="83">
        <v>6170</v>
      </c>
      <c r="F285" s="83">
        <v>1080</v>
      </c>
      <c r="G285" s="95">
        <v>3180</v>
      </c>
    </row>
    <row r="286" spans="1:7" s="72" customFormat="1" ht="14.25" customHeight="1">
      <c r="A286" s="83" t="s">
        <v>318</v>
      </c>
      <c r="B286" s="83" t="s">
        <v>2531</v>
      </c>
      <c r="C286" s="83">
        <v>4890</v>
      </c>
      <c r="D286" s="83">
        <v>4840</v>
      </c>
      <c r="E286" s="83">
        <v>5640</v>
      </c>
      <c r="F286" s="83">
        <v>960</v>
      </c>
      <c r="G286" s="95">
        <v>2910</v>
      </c>
    </row>
    <row r="287" spans="1:7" s="72" customFormat="1" ht="14.25" customHeight="1">
      <c r="A287" s="83" t="s">
        <v>318</v>
      </c>
      <c r="B287" s="83" t="s">
        <v>2532</v>
      </c>
      <c r="C287" s="83">
        <v>4960</v>
      </c>
      <c r="D287" s="83">
        <v>4920</v>
      </c>
      <c r="E287" s="83">
        <v>5730</v>
      </c>
      <c r="F287" s="83">
        <v>930</v>
      </c>
      <c r="G287" s="95">
        <v>2960</v>
      </c>
    </row>
    <row r="288" spans="1:7" s="72" customFormat="1" ht="14.25" customHeight="1">
      <c r="A288" s="83" t="s">
        <v>318</v>
      </c>
      <c r="B288" s="83" t="s">
        <v>2533</v>
      </c>
      <c r="C288" s="83">
        <v>4350</v>
      </c>
      <c r="D288" s="83">
        <v>4300</v>
      </c>
      <c r="E288" s="83">
        <v>4900</v>
      </c>
      <c r="F288" s="83">
        <v>820</v>
      </c>
      <c r="G288" s="95">
        <v>2590</v>
      </c>
    </row>
    <row r="289" spans="1:7" s="72" customFormat="1" ht="14.25" customHeight="1">
      <c r="A289" s="83" t="s">
        <v>318</v>
      </c>
      <c r="B289" s="83" t="s">
        <v>2534</v>
      </c>
      <c r="C289" s="83">
        <v>5230</v>
      </c>
      <c r="D289" s="83">
        <v>5170</v>
      </c>
      <c r="E289" s="83">
        <v>6060</v>
      </c>
      <c r="F289" s="83">
        <v>900</v>
      </c>
      <c r="G289" s="95">
        <v>3120</v>
      </c>
    </row>
    <row r="290" spans="1:7" s="72" customFormat="1" ht="14.25" customHeight="1">
      <c r="A290" s="83" t="s">
        <v>318</v>
      </c>
      <c r="B290" s="83" t="s">
        <v>2535</v>
      </c>
      <c r="C290" s="83">
        <v>5550</v>
      </c>
      <c r="D290" s="83">
        <v>5500</v>
      </c>
      <c r="E290" s="83">
        <v>6440</v>
      </c>
      <c r="F290" s="83">
        <v>960</v>
      </c>
      <c r="G290" s="95">
        <v>3320</v>
      </c>
    </row>
    <row r="291" spans="1:7" s="72" customFormat="1" ht="14.25" customHeight="1">
      <c r="A291" s="83" t="s">
        <v>318</v>
      </c>
      <c r="B291" s="83" t="s">
        <v>2536</v>
      </c>
      <c r="C291" s="83">
        <v>5440</v>
      </c>
      <c r="D291" s="83">
        <v>5400</v>
      </c>
      <c r="E291" s="83">
        <v>6320</v>
      </c>
      <c r="F291" s="83">
        <v>930</v>
      </c>
      <c r="G291" s="95">
        <v>3250</v>
      </c>
    </row>
    <row r="292" spans="1:7" s="72" customFormat="1" ht="14.25" customHeight="1">
      <c r="A292" s="83" t="s">
        <v>318</v>
      </c>
      <c r="B292" s="83" t="s">
        <v>2537</v>
      </c>
      <c r="C292" s="83">
        <v>5400</v>
      </c>
      <c r="D292" s="83">
        <v>5360</v>
      </c>
      <c r="E292" s="83">
        <v>6270</v>
      </c>
      <c r="F292" s="83">
        <v>1040</v>
      </c>
      <c r="G292" s="95">
        <v>3230</v>
      </c>
    </row>
    <row r="293" spans="1:7" s="72" customFormat="1" ht="14.25" customHeight="1">
      <c r="A293" s="83" t="s">
        <v>318</v>
      </c>
      <c r="B293" s="83" t="s">
        <v>2538</v>
      </c>
      <c r="C293" s="83">
        <v>5320</v>
      </c>
      <c r="D293" s="83">
        <v>5270</v>
      </c>
      <c r="E293" s="83">
        <v>6160</v>
      </c>
      <c r="F293" s="83">
        <v>990</v>
      </c>
      <c r="G293" s="95">
        <v>3170</v>
      </c>
    </row>
    <row r="294" spans="1:7" s="72" customFormat="1" ht="14.25" customHeight="1">
      <c r="A294" s="83" t="s">
        <v>318</v>
      </c>
      <c r="B294" s="83" t="s">
        <v>2539</v>
      </c>
      <c r="C294" s="83">
        <v>5260</v>
      </c>
      <c r="D294" s="83">
        <v>5210</v>
      </c>
      <c r="E294" s="83">
        <v>6100</v>
      </c>
      <c r="F294" s="83">
        <v>950</v>
      </c>
      <c r="G294" s="95">
        <v>3150</v>
      </c>
    </row>
    <row r="295" spans="1:7" s="72" customFormat="1" ht="14.25" customHeight="1">
      <c r="A295" s="83" t="s">
        <v>318</v>
      </c>
      <c r="B295" s="83" t="s">
        <v>2540</v>
      </c>
      <c r="C295" s="83">
        <v>5610</v>
      </c>
      <c r="D295" s="83">
        <v>5570</v>
      </c>
      <c r="E295" s="83">
        <v>6530</v>
      </c>
      <c r="F295" s="83">
        <v>960</v>
      </c>
      <c r="G295" s="95">
        <v>3360</v>
      </c>
    </row>
    <row r="296" spans="1:7" s="72" customFormat="1" ht="14.25" customHeight="1">
      <c r="A296" s="83" t="s">
        <v>318</v>
      </c>
      <c r="B296" s="83" t="s">
        <v>2541</v>
      </c>
      <c r="C296" s="83">
        <v>5540</v>
      </c>
      <c r="D296" s="83">
        <v>5490</v>
      </c>
      <c r="E296" s="83">
        <v>6430</v>
      </c>
      <c r="F296" s="83">
        <v>980</v>
      </c>
      <c r="G296" s="95">
        <v>3310</v>
      </c>
    </row>
    <row r="297" spans="1:7" s="72" customFormat="1" ht="14.25" customHeight="1">
      <c r="A297" s="83" t="s">
        <v>318</v>
      </c>
      <c r="B297" s="83" t="s">
        <v>2542</v>
      </c>
      <c r="C297" s="83">
        <v>5480</v>
      </c>
      <c r="D297" s="83">
        <v>5420</v>
      </c>
      <c r="E297" s="83">
        <v>6370</v>
      </c>
      <c r="F297" s="83">
        <v>990</v>
      </c>
      <c r="G297" s="95">
        <v>3270</v>
      </c>
    </row>
    <row r="298" spans="1:7" s="72" customFormat="1" ht="14.25" customHeight="1">
      <c r="A298" s="83" t="s">
        <v>318</v>
      </c>
      <c r="B298" s="83" t="s">
        <v>2543</v>
      </c>
      <c r="C298" s="83">
        <v>5090</v>
      </c>
      <c r="D298" s="83">
        <v>5050</v>
      </c>
      <c r="E298" s="83">
        <v>5910</v>
      </c>
      <c r="F298" s="83">
        <v>900</v>
      </c>
      <c r="G298" s="95">
        <v>3040</v>
      </c>
    </row>
    <row r="299" spans="1:7" s="72" customFormat="1" ht="14.25" customHeight="1">
      <c r="A299" s="83" t="s">
        <v>318</v>
      </c>
      <c r="B299" s="91" t="s">
        <v>2544</v>
      </c>
      <c r="C299" s="83">
        <v>5430</v>
      </c>
      <c r="D299" s="83">
        <v>5380</v>
      </c>
      <c r="E299" s="83">
        <v>6280</v>
      </c>
      <c r="F299" s="83">
        <v>1000</v>
      </c>
      <c r="G299" s="95">
        <v>3240</v>
      </c>
    </row>
    <row r="300" spans="1:7" s="72" customFormat="1" ht="14.25" customHeight="1">
      <c r="A300" s="83" t="s">
        <v>318</v>
      </c>
      <c r="B300" s="91" t="s">
        <v>2545</v>
      </c>
      <c r="C300" s="83">
        <v>4740</v>
      </c>
      <c r="D300" s="83">
        <v>4680</v>
      </c>
      <c r="E300" s="83">
        <v>5450</v>
      </c>
      <c r="F300" s="83">
        <v>900</v>
      </c>
      <c r="G300" s="95">
        <v>2830</v>
      </c>
    </row>
    <row r="301" spans="1:7" s="72" customFormat="1" ht="14.25" customHeight="1">
      <c r="A301" s="83" t="s">
        <v>318</v>
      </c>
      <c r="B301" s="91" t="s">
        <v>2546</v>
      </c>
      <c r="C301" s="83">
        <v>4870</v>
      </c>
      <c r="D301" s="83">
        <v>4810</v>
      </c>
      <c r="E301" s="83">
        <v>5560</v>
      </c>
      <c r="F301" s="83">
        <v>990</v>
      </c>
      <c r="G301" s="95">
        <v>2910</v>
      </c>
    </row>
    <row r="302" spans="1:7" s="72" customFormat="1" ht="14.25" customHeight="1">
      <c r="A302" s="83" t="s">
        <v>318</v>
      </c>
      <c r="B302" s="83" t="s">
        <v>2547</v>
      </c>
      <c r="C302" s="83">
        <v>5520</v>
      </c>
      <c r="D302" s="83">
        <v>5470</v>
      </c>
      <c r="E302" s="83">
        <v>6410</v>
      </c>
      <c r="F302" s="83">
        <v>950</v>
      </c>
      <c r="G302" s="95">
        <v>3300</v>
      </c>
    </row>
    <row r="303" spans="1:7" s="72" customFormat="1" ht="14.25" customHeight="1">
      <c r="A303" s="83" t="s">
        <v>318</v>
      </c>
      <c r="B303" s="83" t="s">
        <v>2548</v>
      </c>
      <c r="C303" s="83">
        <v>5630</v>
      </c>
      <c r="D303" s="83">
        <v>5590</v>
      </c>
      <c r="E303" s="83">
        <v>6550</v>
      </c>
      <c r="F303" s="83">
        <v>1010</v>
      </c>
      <c r="G303" s="95">
        <v>3370</v>
      </c>
    </row>
    <row r="304" spans="1:7" s="72" customFormat="1" ht="14.25" customHeight="1">
      <c r="A304" s="83" t="s">
        <v>318</v>
      </c>
      <c r="B304" s="83" t="s">
        <v>2549</v>
      </c>
      <c r="C304" s="83">
        <v>5680</v>
      </c>
      <c r="D304" s="83">
        <v>5620</v>
      </c>
      <c r="E304" s="83">
        <v>6620</v>
      </c>
      <c r="F304" s="83">
        <v>1050</v>
      </c>
      <c r="G304" s="95">
        <v>3390</v>
      </c>
    </row>
    <row r="305" spans="1:7" s="72" customFormat="1" ht="14.25" customHeight="1">
      <c r="A305" s="83" t="s">
        <v>318</v>
      </c>
      <c r="B305" s="83" t="s">
        <v>2550</v>
      </c>
      <c r="C305" s="83">
        <v>5590</v>
      </c>
      <c r="D305" s="83">
        <v>5530</v>
      </c>
      <c r="E305" s="83">
        <v>6460</v>
      </c>
      <c r="F305" s="83">
        <v>900</v>
      </c>
      <c r="G305" s="95">
        <v>3340</v>
      </c>
    </row>
    <row r="306" spans="1:7" s="72" customFormat="1" ht="14.25" customHeight="1">
      <c r="A306" s="83" t="s">
        <v>318</v>
      </c>
      <c r="B306" s="83" t="s">
        <v>2551</v>
      </c>
      <c r="C306" s="83">
        <v>5560</v>
      </c>
      <c r="D306" s="83">
        <v>5510</v>
      </c>
      <c r="E306" s="83">
        <v>6440</v>
      </c>
      <c r="F306" s="83">
        <v>900</v>
      </c>
      <c r="G306" s="95">
        <v>3320</v>
      </c>
    </row>
    <row r="307" spans="1:7" s="72" customFormat="1" ht="14.25" customHeight="1">
      <c r="A307" s="83" t="s">
        <v>318</v>
      </c>
      <c r="B307" s="83" t="s">
        <v>2552</v>
      </c>
      <c r="C307" s="83">
        <v>5650</v>
      </c>
      <c r="D307" s="83">
        <v>5600</v>
      </c>
      <c r="E307" s="83">
        <v>6590</v>
      </c>
      <c r="F307" s="83">
        <v>930</v>
      </c>
      <c r="G307" s="95">
        <v>3380</v>
      </c>
    </row>
    <row r="308" spans="1:7" s="72" customFormat="1" ht="14.25" customHeight="1">
      <c r="A308" s="83" t="s">
        <v>318</v>
      </c>
      <c r="B308" s="83" t="s">
        <v>2553</v>
      </c>
      <c r="C308" s="83">
        <v>5620</v>
      </c>
      <c r="D308" s="83">
        <v>5580</v>
      </c>
      <c r="E308" s="83">
        <v>6540</v>
      </c>
      <c r="F308" s="83">
        <v>910</v>
      </c>
      <c r="G308" s="95">
        <v>3370</v>
      </c>
    </row>
    <row r="309" spans="1:7" s="72" customFormat="1" ht="14.25" customHeight="1">
      <c r="A309" s="83" t="s">
        <v>318</v>
      </c>
      <c r="B309" s="83" t="s">
        <v>2554</v>
      </c>
      <c r="C309" s="83">
        <v>5060</v>
      </c>
      <c r="D309" s="83">
        <v>5020</v>
      </c>
      <c r="E309" s="83">
        <v>6370</v>
      </c>
      <c r="F309" s="83">
        <v>800</v>
      </c>
      <c r="G309" s="95">
        <v>3020</v>
      </c>
    </row>
    <row r="310" spans="1:7" s="72" customFormat="1" ht="14.25" customHeight="1">
      <c r="A310" s="83" t="s">
        <v>318</v>
      </c>
      <c r="B310" s="83" t="s">
        <v>2555</v>
      </c>
      <c r="C310" s="83">
        <v>5150</v>
      </c>
      <c r="D310" s="83">
        <v>5110</v>
      </c>
      <c r="E310" s="83">
        <v>6500</v>
      </c>
      <c r="F310" s="83">
        <v>880</v>
      </c>
      <c r="G310" s="95">
        <v>3080</v>
      </c>
    </row>
    <row r="311" spans="1:7" s="72" customFormat="1" ht="14.25" customHeight="1">
      <c r="A311" s="83" t="s">
        <v>318</v>
      </c>
      <c r="B311" s="83" t="s">
        <v>2556</v>
      </c>
      <c r="C311" s="83">
        <v>4750</v>
      </c>
      <c r="D311" s="83">
        <v>4710</v>
      </c>
      <c r="E311" s="83">
        <v>5510</v>
      </c>
      <c r="F311" s="83">
        <v>880</v>
      </c>
      <c r="G311" s="95">
        <v>2840</v>
      </c>
    </row>
    <row r="312" spans="1:7" s="72" customFormat="1" ht="14.25" customHeight="1">
      <c r="A312" s="83" t="s">
        <v>318</v>
      </c>
      <c r="B312" s="83" t="s">
        <v>2557</v>
      </c>
      <c r="C312" s="83">
        <v>4690</v>
      </c>
      <c r="D312" s="83">
        <v>4640</v>
      </c>
      <c r="E312" s="83">
        <v>5420</v>
      </c>
      <c r="F312" s="83">
        <v>800</v>
      </c>
      <c r="G312" s="95">
        <v>2800</v>
      </c>
    </row>
    <row r="313" spans="1:7" s="72" customFormat="1" ht="14.25" customHeight="1">
      <c r="A313" s="83" t="s">
        <v>318</v>
      </c>
      <c r="B313" s="83" t="s">
        <v>2558</v>
      </c>
      <c r="C313" s="83">
        <v>4810</v>
      </c>
      <c r="D313" s="83">
        <v>4760</v>
      </c>
      <c r="E313" s="83">
        <v>5550</v>
      </c>
      <c r="F313" s="83">
        <v>920</v>
      </c>
      <c r="G313" s="95">
        <v>2870</v>
      </c>
    </row>
    <row r="314" spans="1:7" s="72" customFormat="1" ht="14.25" customHeight="1">
      <c r="A314" s="83" t="s">
        <v>318</v>
      </c>
      <c r="B314" s="83" t="s">
        <v>2559</v>
      </c>
      <c r="C314" s="83"/>
      <c r="D314" s="83"/>
      <c r="E314" s="83"/>
      <c r="F314" s="83">
        <v>1020</v>
      </c>
      <c r="G314" s="95"/>
    </row>
    <row r="315" spans="1:7" s="72" customFormat="1" ht="14.25" customHeight="1">
      <c r="A315" s="83" t="s">
        <v>318</v>
      </c>
      <c r="B315" s="83" t="s">
        <v>2560</v>
      </c>
      <c r="C315" s="83"/>
      <c r="D315" s="83"/>
      <c r="E315" s="83"/>
      <c r="F315" s="83">
        <v>1050</v>
      </c>
      <c r="G315" s="95"/>
    </row>
    <row r="316" spans="1:7" s="72" customFormat="1" ht="14.25" customHeight="1">
      <c r="A316" s="83" t="s">
        <v>318</v>
      </c>
      <c r="B316" s="83" t="s">
        <v>2561</v>
      </c>
      <c r="C316" s="83"/>
      <c r="D316" s="83"/>
      <c r="E316" s="83"/>
      <c r="F316" s="83">
        <v>900</v>
      </c>
      <c r="G316" s="95"/>
    </row>
    <row r="317" spans="1:7" s="72" customFormat="1" ht="14.25" customHeight="1">
      <c r="A317" s="83" t="s">
        <v>318</v>
      </c>
      <c r="B317" s="83" t="s">
        <v>2562</v>
      </c>
      <c r="C317" s="83"/>
      <c r="D317" s="83"/>
      <c r="E317" s="83"/>
      <c r="F317" s="83">
        <v>920</v>
      </c>
      <c r="G317" s="95"/>
    </row>
    <row r="318" spans="1:7" s="72" customFormat="1" ht="14.25" customHeight="1">
      <c r="A318" s="83" t="s">
        <v>318</v>
      </c>
      <c r="B318" s="83" t="s">
        <v>2563</v>
      </c>
      <c r="C318" s="83"/>
      <c r="D318" s="83"/>
      <c r="E318" s="83"/>
      <c r="F318" s="83">
        <v>1080</v>
      </c>
      <c r="G318" s="95"/>
    </row>
    <row r="319" spans="1:7" s="72" customFormat="1" ht="14.25" customHeight="1">
      <c r="A319" s="83" t="s">
        <v>318</v>
      </c>
      <c r="B319" s="83" t="s">
        <v>2564</v>
      </c>
      <c r="C319" s="83"/>
      <c r="D319" s="83"/>
      <c r="E319" s="83"/>
      <c r="F319" s="83">
        <v>1020</v>
      </c>
      <c r="G319" s="95"/>
    </row>
    <row r="320" spans="1:7" s="72" customFormat="1" ht="14.25" customHeight="1">
      <c r="A320" s="83" t="s">
        <v>318</v>
      </c>
      <c r="B320" s="83" t="s">
        <v>2565</v>
      </c>
      <c r="C320" s="83"/>
      <c r="D320" s="83"/>
      <c r="E320" s="83"/>
      <c r="F320" s="83">
        <v>1050</v>
      </c>
      <c r="G320" s="95"/>
    </row>
    <row r="321" spans="1:7" s="72" customFormat="1" ht="14.25" customHeight="1">
      <c r="A321" s="83" t="s">
        <v>318</v>
      </c>
      <c r="B321" s="83" t="s">
        <v>2566</v>
      </c>
      <c r="C321" s="83"/>
      <c r="D321" s="83"/>
      <c r="E321" s="83"/>
      <c r="F321" s="83">
        <v>960</v>
      </c>
      <c r="G321" s="95"/>
    </row>
    <row r="322" spans="1:7" s="72" customFormat="1" ht="14.25" customHeight="1">
      <c r="A322" s="83" t="s">
        <v>318</v>
      </c>
      <c r="B322" s="83" t="s">
        <v>2567</v>
      </c>
      <c r="C322" s="83"/>
      <c r="D322" s="83"/>
      <c r="E322" s="83"/>
      <c r="F322" s="83">
        <v>960</v>
      </c>
      <c r="G322" s="95"/>
    </row>
    <row r="323" spans="1:7" s="72" customFormat="1" ht="14.25" customHeight="1">
      <c r="A323" s="83" t="s">
        <v>318</v>
      </c>
      <c r="B323" s="83" t="s">
        <v>2568</v>
      </c>
      <c r="C323" s="83"/>
      <c r="D323" s="83"/>
      <c r="E323" s="83"/>
      <c r="F323" s="83">
        <v>880</v>
      </c>
      <c r="G323" s="95"/>
    </row>
    <row r="324" spans="1:7" s="72" customFormat="1" ht="14.25" customHeight="1">
      <c r="A324" s="83" t="s">
        <v>318</v>
      </c>
      <c r="B324" s="83" t="s">
        <v>2569</v>
      </c>
      <c r="C324" s="83"/>
      <c r="D324" s="83"/>
      <c r="E324" s="83"/>
      <c r="F324" s="83">
        <v>930</v>
      </c>
      <c r="G324" s="95"/>
    </row>
    <row r="325" spans="1:7" s="72" customFormat="1" ht="14.25" customHeight="1">
      <c r="A325" s="83" t="s">
        <v>318</v>
      </c>
      <c r="B325" s="84" t="s">
        <v>2570</v>
      </c>
      <c r="C325" s="83"/>
      <c r="D325" s="83"/>
      <c r="E325" s="83"/>
      <c r="F325" s="83">
        <v>900</v>
      </c>
      <c r="G325" s="95"/>
    </row>
    <row r="326" spans="1:7" s="72" customFormat="1" ht="14.25" customHeight="1">
      <c r="A326" s="96" t="s">
        <v>318</v>
      </c>
      <c r="B326" s="89" t="s">
        <v>2571</v>
      </c>
      <c r="C326" s="89"/>
      <c r="D326" s="89"/>
      <c r="E326" s="89"/>
      <c r="F326" s="89">
        <v>790</v>
      </c>
      <c r="G326" s="97"/>
    </row>
    <row r="327" spans="1:7" s="72" customFormat="1" ht="14.25" customHeight="1">
      <c r="A327" s="87" t="s">
        <v>324</v>
      </c>
      <c r="B327" s="79" t="s">
        <v>2572</v>
      </c>
      <c r="C327" s="83">
        <v>3750</v>
      </c>
      <c r="D327" s="83">
        <v>3710</v>
      </c>
      <c r="E327" s="83">
        <v>4080</v>
      </c>
      <c r="F327" s="83">
        <v>860</v>
      </c>
      <c r="G327" s="83">
        <v>2210</v>
      </c>
    </row>
    <row r="328" spans="1:7" s="72" customFormat="1" ht="14.25" customHeight="1">
      <c r="A328" s="83" t="s">
        <v>324</v>
      </c>
      <c r="B328" s="83" t="s">
        <v>2573</v>
      </c>
      <c r="C328" s="83">
        <v>3330</v>
      </c>
      <c r="D328" s="83">
        <v>3290</v>
      </c>
      <c r="E328" s="83">
        <v>3610</v>
      </c>
      <c r="F328" s="83">
        <v>850</v>
      </c>
      <c r="G328" s="83">
        <v>1960</v>
      </c>
    </row>
    <row r="329" spans="1:7" s="72" customFormat="1" ht="14.25" customHeight="1">
      <c r="A329" s="83" t="s">
        <v>324</v>
      </c>
      <c r="B329" s="83" t="s">
        <v>2574</v>
      </c>
      <c r="C329" s="83">
        <v>2730</v>
      </c>
      <c r="D329" s="83">
        <v>2690</v>
      </c>
      <c r="E329" s="83">
        <v>3100</v>
      </c>
      <c r="F329" s="83">
        <v>660</v>
      </c>
      <c r="G329" s="83">
        <v>1610</v>
      </c>
    </row>
    <row r="330" spans="1:7" s="72" customFormat="1" ht="14.25" customHeight="1">
      <c r="A330" s="83" t="s">
        <v>324</v>
      </c>
      <c r="B330" s="83" t="s">
        <v>2575</v>
      </c>
      <c r="C330" s="83">
        <v>3270</v>
      </c>
      <c r="D330" s="83">
        <v>3240</v>
      </c>
      <c r="E330" s="83">
        <v>3560</v>
      </c>
      <c r="F330" s="83">
        <v>680</v>
      </c>
      <c r="G330" s="83">
        <v>1940</v>
      </c>
    </row>
    <row r="331" spans="1:7" s="72" customFormat="1" ht="14.25" customHeight="1">
      <c r="A331" s="83" t="s">
        <v>324</v>
      </c>
      <c r="B331" s="83" t="s">
        <v>2576</v>
      </c>
      <c r="C331" s="83">
        <v>3770</v>
      </c>
      <c r="D331" s="83">
        <v>3740</v>
      </c>
      <c r="E331" s="83">
        <v>4110</v>
      </c>
      <c r="F331" s="83">
        <v>730</v>
      </c>
      <c r="G331" s="83">
        <v>2230</v>
      </c>
    </row>
    <row r="332" spans="1:7" s="72" customFormat="1" ht="14.25" customHeight="1">
      <c r="A332" s="83" t="s">
        <v>324</v>
      </c>
      <c r="B332" s="83" t="s">
        <v>2577</v>
      </c>
      <c r="C332" s="83">
        <v>3520</v>
      </c>
      <c r="D332" s="83">
        <v>3480</v>
      </c>
      <c r="E332" s="83">
        <v>3830</v>
      </c>
      <c r="F332" s="83">
        <v>720</v>
      </c>
      <c r="G332" s="83">
        <v>2090</v>
      </c>
    </row>
    <row r="333" spans="1:7" s="72" customFormat="1" ht="14.25" customHeight="1">
      <c r="A333" s="83" t="s">
        <v>324</v>
      </c>
      <c r="B333" s="83" t="s">
        <v>2578</v>
      </c>
      <c r="C333" s="83">
        <v>3840</v>
      </c>
      <c r="D333" s="83">
        <v>3800</v>
      </c>
      <c r="E333" s="83">
        <v>4200</v>
      </c>
      <c r="F333" s="83">
        <v>760</v>
      </c>
      <c r="G333" s="83">
        <v>2270</v>
      </c>
    </row>
    <row r="334" spans="1:7" s="72" customFormat="1" ht="14.25" customHeight="1">
      <c r="A334" s="83" t="s">
        <v>324</v>
      </c>
      <c r="B334" s="83" t="s">
        <v>2579</v>
      </c>
      <c r="C334" s="83">
        <v>3960</v>
      </c>
      <c r="D334" s="83">
        <v>3910</v>
      </c>
      <c r="E334" s="83">
        <v>4340</v>
      </c>
      <c r="F334" s="83">
        <v>780</v>
      </c>
      <c r="G334" s="83">
        <v>2340</v>
      </c>
    </row>
    <row r="335" spans="1:7" s="72" customFormat="1" ht="14.25" customHeight="1">
      <c r="A335" s="83" t="s">
        <v>324</v>
      </c>
      <c r="B335" s="83" t="s">
        <v>2580</v>
      </c>
      <c r="C335" s="83">
        <v>3710</v>
      </c>
      <c r="D335" s="83">
        <v>3670</v>
      </c>
      <c r="E335" s="83">
        <v>4030</v>
      </c>
      <c r="F335" s="83">
        <v>750</v>
      </c>
      <c r="G335" s="83">
        <v>2200</v>
      </c>
    </row>
    <row r="336" spans="1:7" s="72" customFormat="1" ht="14.25" customHeight="1">
      <c r="A336" s="83" t="s">
        <v>324</v>
      </c>
      <c r="B336" s="83" t="s">
        <v>2581</v>
      </c>
      <c r="C336" s="83">
        <v>3570</v>
      </c>
      <c r="D336" s="83">
        <v>3530</v>
      </c>
      <c r="E336" s="83">
        <v>3880</v>
      </c>
      <c r="F336" s="83">
        <v>770</v>
      </c>
      <c r="G336" s="83">
        <v>2110</v>
      </c>
    </row>
    <row r="337" spans="1:10" s="72" customFormat="1" ht="14.25" customHeight="1">
      <c r="A337" s="83" t="s">
        <v>324</v>
      </c>
      <c r="B337" s="83" t="s">
        <v>2582</v>
      </c>
      <c r="C337" s="83">
        <v>3780</v>
      </c>
      <c r="D337" s="83">
        <v>3750</v>
      </c>
      <c r="E337" s="83">
        <v>4130</v>
      </c>
      <c r="F337" s="83">
        <v>750</v>
      </c>
      <c r="G337" s="83">
        <v>2240</v>
      </c>
    </row>
    <row r="338" spans="1:10" s="72" customFormat="1" ht="14.25" customHeight="1">
      <c r="A338" s="83" t="s">
        <v>324</v>
      </c>
      <c r="B338" s="83" t="s">
        <v>2583</v>
      </c>
      <c r="C338" s="83">
        <v>3600</v>
      </c>
      <c r="D338" s="83">
        <v>3570</v>
      </c>
      <c r="E338" s="83">
        <v>3920</v>
      </c>
      <c r="F338" s="83">
        <v>790</v>
      </c>
      <c r="G338" s="83">
        <v>2140</v>
      </c>
    </row>
    <row r="339" spans="1:10" s="72" customFormat="1" ht="14.25" customHeight="1">
      <c r="A339" s="83" t="s">
        <v>324</v>
      </c>
      <c r="B339" s="83" t="s">
        <v>2584</v>
      </c>
      <c r="C339" s="83">
        <v>3540</v>
      </c>
      <c r="D339" s="83">
        <v>3500</v>
      </c>
      <c r="E339" s="83">
        <v>3850</v>
      </c>
      <c r="F339" s="83">
        <v>780</v>
      </c>
      <c r="G339" s="83">
        <v>2100</v>
      </c>
    </row>
    <row r="340" spans="1:10" s="72" customFormat="1" ht="14.25" customHeight="1">
      <c r="A340" s="83" t="s">
        <v>324</v>
      </c>
      <c r="B340" s="83" t="s">
        <v>2585</v>
      </c>
      <c r="C340" s="83">
        <v>3850</v>
      </c>
      <c r="D340" s="83">
        <v>3810</v>
      </c>
      <c r="E340" s="83">
        <v>4210</v>
      </c>
      <c r="F340" s="83">
        <v>750</v>
      </c>
      <c r="G340" s="83">
        <v>2280</v>
      </c>
    </row>
    <row r="341" spans="1:10" s="72" customFormat="1" ht="14.25" customHeight="1">
      <c r="A341" s="83" t="s">
        <v>324</v>
      </c>
      <c r="B341" s="83" t="s">
        <v>2586</v>
      </c>
      <c r="C341" s="83">
        <v>3780</v>
      </c>
      <c r="D341" s="83">
        <v>3750</v>
      </c>
      <c r="E341" s="83">
        <v>4140</v>
      </c>
      <c r="F341" s="83">
        <v>720</v>
      </c>
      <c r="G341" s="83">
        <v>2240</v>
      </c>
    </row>
    <row r="342" spans="1:10" s="72" customFormat="1" ht="14.25" customHeight="1">
      <c r="A342" s="83" t="s">
        <v>324</v>
      </c>
      <c r="B342" s="83" t="s">
        <v>2587</v>
      </c>
      <c r="C342" s="83">
        <v>3670</v>
      </c>
      <c r="D342" s="83">
        <v>3620</v>
      </c>
      <c r="E342" s="83">
        <v>3990</v>
      </c>
      <c r="F342" s="83">
        <v>760</v>
      </c>
      <c r="G342" s="83">
        <v>2170</v>
      </c>
    </row>
    <row r="343" spans="1:10" s="72" customFormat="1" ht="14.25" customHeight="1">
      <c r="A343" s="83" t="s">
        <v>324</v>
      </c>
      <c r="B343" s="83" t="s">
        <v>2588</v>
      </c>
      <c r="C343" s="83">
        <v>3760</v>
      </c>
      <c r="D343" s="83">
        <v>3720</v>
      </c>
      <c r="E343" s="83">
        <v>4090</v>
      </c>
      <c r="F343" s="83">
        <v>780</v>
      </c>
      <c r="G343" s="83">
        <v>2220</v>
      </c>
    </row>
    <row r="344" spans="1:10" s="72" customFormat="1" ht="14.25" customHeight="1">
      <c r="A344" s="83" t="s">
        <v>324</v>
      </c>
      <c r="B344" s="83" t="s">
        <v>2589</v>
      </c>
      <c r="C344" s="83">
        <v>3680</v>
      </c>
      <c r="D344" s="83">
        <v>3640</v>
      </c>
      <c r="E344" s="83">
        <v>4010</v>
      </c>
      <c r="F344" s="83">
        <v>750</v>
      </c>
      <c r="G344" s="83">
        <v>2180</v>
      </c>
    </row>
    <row r="345" spans="1:10">
      <c r="A345" s="83" t="s">
        <v>324</v>
      </c>
      <c r="B345" s="83" t="s">
        <v>2590</v>
      </c>
      <c r="C345" s="83">
        <v>3190</v>
      </c>
      <c r="D345" s="83">
        <v>3140</v>
      </c>
      <c r="E345" s="83">
        <v>3450</v>
      </c>
      <c r="F345" s="83">
        <v>720</v>
      </c>
      <c r="G345" s="83">
        <v>1880</v>
      </c>
      <c r="J345" s="72"/>
    </row>
    <row r="346" spans="1:10">
      <c r="A346" s="83" t="s">
        <v>324</v>
      </c>
      <c r="B346" s="83" t="s">
        <v>2591</v>
      </c>
      <c r="C346" s="83">
        <v>3630</v>
      </c>
      <c r="D346" s="83">
        <v>3590</v>
      </c>
      <c r="E346" s="83">
        <v>3940</v>
      </c>
      <c r="F346" s="83">
        <v>730</v>
      </c>
      <c r="G346" s="83">
        <v>2150</v>
      </c>
      <c r="J346" s="72"/>
    </row>
    <row r="347" spans="1:10">
      <c r="A347" s="83" t="s">
        <v>324</v>
      </c>
      <c r="B347" s="83" t="s">
        <v>2592</v>
      </c>
      <c r="C347" s="83">
        <v>3860</v>
      </c>
      <c r="D347" s="83">
        <v>3820</v>
      </c>
      <c r="E347" s="83">
        <v>4220</v>
      </c>
      <c r="F347" s="83">
        <v>750</v>
      </c>
      <c r="G347" s="83">
        <v>2280</v>
      </c>
      <c r="J347" s="72"/>
    </row>
    <row r="348" spans="1:10">
      <c r="A348" s="83" t="s">
        <v>324</v>
      </c>
      <c r="B348" s="83" t="s">
        <v>2593</v>
      </c>
      <c r="C348" s="83">
        <v>4000</v>
      </c>
      <c r="D348" s="83">
        <v>3950</v>
      </c>
      <c r="E348" s="83">
        <v>4430</v>
      </c>
      <c r="F348" s="83">
        <v>760</v>
      </c>
      <c r="G348" s="83">
        <v>2360</v>
      </c>
      <c r="J348" s="72"/>
    </row>
    <row r="349" spans="1:10">
      <c r="A349" s="83" t="s">
        <v>324</v>
      </c>
      <c r="B349" s="83" t="s">
        <v>2594</v>
      </c>
      <c r="C349" s="83">
        <v>3820</v>
      </c>
      <c r="D349" s="83">
        <v>3780</v>
      </c>
      <c r="E349" s="83">
        <v>4170</v>
      </c>
      <c r="F349" s="83">
        <v>710</v>
      </c>
      <c r="G349" s="83">
        <v>2260</v>
      </c>
      <c r="J349" s="72"/>
    </row>
    <row r="350" spans="1:10">
      <c r="A350" s="83" t="s">
        <v>324</v>
      </c>
      <c r="B350" s="83" t="s">
        <v>2595</v>
      </c>
      <c r="C350" s="83">
        <v>3760</v>
      </c>
      <c r="D350" s="83">
        <v>3730</v>
      </c>
      <c r="E350" s="83">
        <v>4100</v>
      </c>
      <c r="F350" s="83">
        <v>800</v>
      </c>
      <c r="G350" s="83">
        <v>2230</v>
      </c>
      <c r="J350" s="72"/>
    </row>
    <row r="351" spans="1:10">
      <c r="A351" s="83" t="s">
        <v>324</v>
      </c>
      <c r="B351" s="83" t="s">
        <v>2596</v>
      </c>
      <c r="C351" s="83">
        <v>3610</v>
      </c>
      <c r="D351" s="83">
        <v>3580</v>
      </c>
      <c r="E351" s="83">
        <v>3930</v>
      </c>
      <c r="F351" s="83">
        <v>700</v>
      </c>
      <c r="G351" s="83">
        <v>2140</v>
      </c>
      <c r="J351" s="72"/>
    </row>
    <row r="352" spans="1:10">
      <c r="A352" s="83" t="s">
        <v>324</v>
      </c>
      <c r="B352" s="83" t="s">
        <v>2597</v>
      </c>
      <c r="C352" s="83">
        <v>3670</v>
      </c>
      <c r="D352" s="83">
        <v>3630</v>
      </c>
      <c r="E352" s="83">
        <v>4000</v>
      </c>
      <c r="F352" s="83">
        <v>750</v>
      </c>
      <c r="G352" s="83">
        <v>2180</v>
      </c>
    </row>
    <row r="353" spans="1:7" s="73" customFormat="1">
      <c r="A353" s="83" t="s">
        <v>324</v>
      </c>
      <c r="B353" s="83" t="s">
        <v>2598</v>
      </c>
      <c r="C353" s="83">
        <v>3190</v>
      </c>
      <c r="D353" s="83">
        <v>3150</v>
      </c>
      <c r="E353" s="83">
        <v>3640</v>
      </c>
      <c r="F353" s="83">
        <v>630</v>
      </c>
      <c r="G353" s="83">
        <v>1890</v>
      </c>
    </row>
    <row r="354" spans="1:7" s="73" customFormat="1">
      <c r="A354" s="83" t="s">
        <v>324</v>
      </c>
      <c r="B354" s="83" t="s">
        <v>2599</v>
      </c>
      <c r="C354" s="83">
        <v>3450</v>
      </c>
      <c r="D354" s="83">
        <v>3420</v>
      </c>
      <c r="E354" s="83">
        <v>3960</v>
      </c>
      <c r="F354" s="83">
        <v>660</v>
      </c>
      <c r="G354" s="83">
        <v>2050</v>
      </c>
    </row>
    <row r="355" spans="1:7" s="73" customFormat="1">
      <c r="A355" s="83" t="s">
        <v>324</v>
      </c>
      <c r="B355" s="83" t="s">
        <v>2600</v>
      </c>
      <c r="C355" s="83">
        <v>3650</v>
      </c>
      <c r="D355" s="83">
        <v>3610</v>
      </c>
      <c r="E355" s="83">
        <v>4200</v>
      </c>
      <c r="F355" s="83">
        <v>640</v>
      </c>
      <c r="G355" s="83">
        <v>2160</v>
      </c>
    </row>
    <row r="356" spans="1:7" s="73" customFormat="1">
      <c r="A356" s="83" t="s">
        <v>324</v>
      </c>
      <c r="B356" s="83" t="s">
        <v>2601</v>
      </c>
      <c r="C356" s="83">
        <v>3260</v>
      </c>
      <c r="D356" s="83">
        <v>3230</v>
      </c>
      <c r="E356" s="83">
        <v>3740</v>
      </c>
      <c r="F356" s="83">
        <v>600</v>
      </c>
      <c r="G356" s="83">
        <v>1930</v>
      </c>
    </row>
    <row r="357" spans="1:7" s="73" customFormat="1">
      <c r="A357" s="90" t="s">
        <v>324</v>
      </c>
      <c r="B357" s="93" t="s">
        <v>2602</v>
      </c>
      <c r="C357" s="93">
        <v>3690</v>
      </c>
      <c r="D357" s="93">
        <v>3650</v>
      </c>
      <c r="E357" s="93">
        <v>4020</v>
      </c>
      <c r="F357" s="93">
        <v>700</v>
      </c>
      <c r="G357" s="93">
        <v>2190</v>
      </c>
    </row>
    <row r="358" spans="1:7" s="73" customFormat="1">
      <c r="A358" s="87" t="s">
        <v>330</v>
      </c>
      <c r="B358" s="79" t="s">
        <v>2603</v>
      </c>
      <c r="C358" s="79">
        <v>2080</v>
      </c>
      <c r="D358" s="79">
        <v>2040</v>
      </c>
      <c r="E358" s="79">
        <v>2010</v>
      </c>
      <c r="F358" s="79">
        <v>530</v>
      </c>
      <c r="G358" s="94">
        <v>1230</v>
      </c>
    </row>
    <row r="359" spans="1:7" s="73" customFormat="1">
      <c r="A359" s="83" t="s">
        <v>330</v>
      </c>
      <c r="B359" s="83" t="s">
        <v>2604</v>
      </c>
      <c r="C359" s="83">
        <v>1850</v>
      </c>
      <c r="D359" s="83">
        <v>1820</v>
      </c>
      <c r="E359" s="83">
        <v>1780</v>
      </c>
      <c r="F359" s="83">
        <v>520</v>
      </c>
      <c r="G359" s="95">
        <v>1100</v>
      </c>
    </row>
    <row r="360" spans="1:7" s="73" customFormat="1">
      <c r="A360" s="83" t="s">
        <v>330</v>
      </c>
      <c r="B360" s="83" t="s">
        <v>2605</v>
      </c>
      <c r="C360" s="83">
        <v>2020</v>
      </c>
      <c r="D360" s="83">
        <v>1990</v>
      </c>
      <c r="E360" s="83">
        <v>1950</v>
      </c>
      <c r="F360" s="83">
        <v>500</v>
      </c>
      <c r="G360" s="95">
        <v>1200</v>
      </c>
    </row>
    <row r="361" spans="1:7" s="73" customFormat="1">
      <c r="A361" s="83" t="s">
        <v>330</v>
      </c>
      <c r="B361" s="83" t="s">
        <v>2606</v>
      </c>
      <c r="C361" s="83">
        <v>2260</v>
      </c>
      <c r="D361" s="83">
        <v>2220</v>
      </c>
      <c r="E361" s="83">
        <v>2180</v>
      </c>
      <c r="F361" s="83">
        <v>580</v>
      </c>
      <c r="G361" s="95">
        <v>1340</v>
      </c>
    </row>
    <row r="362" spans="1:7" s="73" customFormat="1">
      <c r="A362" s="83" t="s">
        <v>330</v>
      </c>
      <c r="B362" s="83" t="s">
        <v>2607</v>
      </c>
      <c r="C362" s="83">
        <v>2650</v>
      </c>
      <c r="D362" s="83">
        <v>2610</v>
      </c>
      <c r="E362" s="83">
        <v>2570</v>
      </c>
      <c r="F362" s="83">
        <v>630</v>
      </c>
      <c r="G362" s="95">
        <v>1570</v>
      </c>
    </row>
    <row r="363" spans="1:7" s="73" customFormat="1">
      <c r="A363" s="83" t="s">
        <v>330</v>
      </c>
      <c r="B363" s="83" t="s">
        <v>2608</v>
      </c>
      <c r="C363" s="83">
        <v>2390</v>
      </c>
      <c r="D363" s="83">
        <v>2360</v>
      </c>
      <c r="E363" s="83">
        <v>2320</v>
      </c>
      <c r="F363" s="83">
        <v>600</v>
      </c>
      <c r="G363" s="95">
        <v>1420</v>
      </c>
    </row>
    <row r="364" spans="1:7" s="73" customFormat="1">
      <c r="A364" s="83" t="s">
        <v>330</v>
      </c>
      <c r="B364" s="83" t="s">
        <v>2609</v>
      </c>
      <c r="C364" s="83">
        <v>2050</v>
      </c>
      <c r="D364" s="83">
        <v>2030</v>
      </c>
      <c r="E364" s="83">
        <v>1990</v>
      </c>
      <c r="F364" s="83">
        <v>550</v>
      </c>
      <c r="G364" s="95">
        <v>1220</v>
      </c>
    </row>
    <row r="365" spans="1:7" s="73" customFormat="1">
      <c r="A365" s="83" t="s">
        <v>330</v>
      </c>
      <c r="B365" s="83" t="s">
        <v>2610</v>
      </c>
      <c r="C365" s="83">
        <v>2140</v>
      </c>
      <c r="D365" s="83">
        <v>2100</v>
      </c>
      <c r="E365" s="83">
        <v>2060</v>
      </c>
      <c r="F365" s="83">
        <v>540</v>
      </c>
      <c r="G365" s="95">
        <v>1270</v>
      </c>
    </row>
    <row r="366" spans="1:7" s="73" customFormat="1">
      <c r="A366" s="83" t="s">
        <v>330</v>
      </c>
      <c r="B366" s="83" t="s">
        <v>2611</v>
      </c>
      <c r="C366" s="83">
        <v>2410</v>
      </c>
      <c r="D366" s="83">
        <v>2370</v>
      </c>
      <c r="E366" s="83">
        <v>2330</v>
      </c>
      <c r="F366" s="83">
        <v>570</v>
      </c>
      <c r="G366" s="95">
        <v>1440</v>
      </c>
    </row>
    <row r="367" spans="1:7" s="73" customFormat="1">
      <c r="A367" s="83" t="s">
        <v>330</v>
      </c>
      <c r="B367" s="83" t="s">
        <v>2612</v>
      </c>
      <c r="C367" s="83">
        <v>2300</v>
      </c>
      <c r="D367" s="83">
        <v>2260</v>
      </c>
      <c r="E367" s="83">
        <v>2220</v>
      </c>
      <c r="F367" s="83">
        <v>560</v>
      </c>
      <c r="G367" s="95">
        <v>1370</v>
      </c>
    </row>
    <row r="368" spans="1:7" s="73" customFormat="1">
      <c r="A368" s="83" t="s">
        <v>330</v>
      </c>
      <c r="B368" s="83" t="s">
        <v>2613</v>
      </c>
      <c r="C368" s="83">
        <v>2430</v>
      </c>
      <c r="D368" s="83">
        <v>2390</v>
      </c>
      <c r="E368" s="83">
        <v>2350</v>
      </c>
      <c r="F368" s="83">
        <v>570</v>
      </c>
      <c r="G368" s="95">
        <v>1450</v>
      </c>
    </row>
    <row r="369" spans="1:7" s="73" customFormat="1">
      <c r="A369" s="83" t="s">
        <v>330</v>
      </c>
      <c r="B369" s="83" t="s">
        <v>2614</v>
      </c>
      <c r="C369" s="83">
        <v>2320</v>
      </c>
      <c r="D369" s="83">
        <v>2290</v>
      </c>
      <c r="E369" s="83">
        <v>2250</v>
      </c>
      <c r="F369" s="83">
        <v>550</v>
      </c>
      <c r="G369" s="95">
        <v>1380</v>
      </c>
    </row>
    <row r="370" spans="1:7" s="73" customFormat="1">
      <c r="A370" s="83" t="s">
        <v>330</v>
      </c>
      <c r="B370" s="83" t="s">
        <v>2615</v>
      </c>
      <c r="C370" s="83">
        <v>2190</v>
      </c>
      <c r="D370" s="83">
        <v>2170</v>
      </c>
      <c r="E370" s="83">
        <v>2130</v>
      </c>
      <c r="F370" s="83">
        <v>530</v>
      </c>
      <c r="G370" s="95">
        <v>1310</v>
      </c>
    </row>
    <row r="371" spans="1:7" s="73" customFormat="1">
      <c r="A371" s="83" t="s">
        <v>330</v>
      </c>
      <c r="B371" s="83" t="s">
        <v>2616</v>
      </c>
      <c r="C371" s="83">
        <v>2460</v>
      </c>
      <c r="D371" s="83">
        <v>2420</v>
      </c>
      <c r="E371" s="83">
        <v>2370</v>
      </c>
      <c r="F371" s="83">
        <v>560</v>
      </c>
      <c r="G371" s="95">
        <v>1470</v>
      </c>
    </row>
    <row r="372" spans="1:7" s="73" customFormat="1">
      <c r="A372" s="83" t="s">
        <v>330</v>
      </c>
      <c r="B372" s="83" t="s">
        <v>2617</v>
      </c>
      <c r="C372" s="83">
        <v>2250</v>
      </c>
      <c r="D372" s="83">
        <v>2210</v>
      </c>
      <c r="E372" s="83">
        <v>2180</v>
      </c>
      <c r="F372" s="83">
        <v>550</v>
      </c>
      <c r="G372" s="95">
        <v>1340</v>
      </c>
    </row>
    <row r="373" spans="1:7" s="73" customFormat="1">
      <c r="A373" s="83" t="s">
        <v>330</v>
      </c>
      <c r="B373" s="83" t="s">
        <v>2618</v>
      </c>
      <c r="C373" s="83">
        <v>2210</v>
      </c>
      <c r="D373" s="83">
        <v>2190</v>
      </c>
      <c r="E373" s="83">
        <v>2150</v>
      </c>
      <c r="F373" s="83">
        <v>530</v>
      </c>
      <c r="G373" s="95">
        <v>1320</v>
      </c>
    </row>
    <row r="374" spans="1:7" s="73" customFormat="1">
      <c r="A374" s="83" t="s">
        <v>330</v>
      </c>
      <c r="B374" s="83" t="s">
        <v>2619</v>
      </c>
      <c r="C374" s="83">
        <v>2320</v>
      </c>
      <c r="D374" s="83">
        <v>2280</v>
      </c>
      <c r="E374" s="83">
        <v>2230</v>
      </c>
      <c r="F374" s="83">
        <v>580</v>
      </c>
      <c r="G374" s="95">
        <v>1380</v>
      </c>
    </row>
    <row r="375" spans="1:7" s="73" customFormat="1">
      <c r="A375" s="83" t="s">
        <v>330</v>
      </c>
      <c r="B375" s="83" t="s">
        <v>2620</v>
      </c>
      <c r="C375" s="83">
        <v>2090</v>
      </c>
      <c r="D375" s="83">
        <v>2050</v>
      </c>
      <c r="E375" s="83">
        <v>2020</v>
      </c>
      <c r="F375" s="83">
        <v>520</v>
      </c>
      <c r="G375" s="95">
        <v>1240</v>
      </c>
    </row>
    <row r="376" spans="1:7" s="73" customFormat="1">
      <c r="A376" s="83" t="s">
        <v>330</v>
      </c>
      <c r="B376" s="83" t="s">
        <v>2621</v>
      </c>
      <c r="C376" s="83">
        <v>2010</v>
      </c>
      <c r="D376" s="83">
        <v>1980</v>
      </c>
      <c r="E376" s="83">
        <v>1940</v>
      </c>
      <c r="F376" s="83">
        <v>540</v>
      </c>
      <c r="G376" s="95">
        <v>1190</v>
      </c>
    </row>
    <row r="377" spans="1:7" s="73" customFormat="1">
      <c r="A377" s="90" t="s">
        <v>330</v>
      </c>
      <c r="B377" s="93" t="s">
        <v>2622</v>
      </c>
      <c r="C377" s="93">
        <v>1930</v>
      </c>
      <c r="D377" s="93">
        <v>1890</v>
      </c>
      <c r="E377" s="93">
        <v>1860</v>
      </c>
      <c r="F377" s="93">
        <v>530</v>
      </c>
      <c r="G377" s="98">
        <v>1150</v>
      </c>
    </row>
    <row r="378" spans="1:7" s="73" customFormat="1">
      <c r="A378" s="99" t="s">
        <v>336</v>
      </c>
      <c r="B378" s="79" t="s">
        <v>2623</v>
      </c>
      <c r="C378" s="79">
        <v>1520</v>
      </c>
      <c r="D378" s="79">
        <v>1490</v>
      </c>
      <c r="E378" s="79">
        <v>1460</v>
      </c>
      <c r="F378" s="79">
        <v>460</v>
      </c>
      <c r="G378" s="94">
        <v>940</v>
      </c>
    </row>
    <row r="379" spans="1:7" s="73" customFormat="1">
      <c r="A379" s="100" t="s">
        <v>336</v>
      </c>
      <c r="B379" s="83" t="s">
        <v>2624</v>
      </c>
      <c r="C379" s="83">
        <v>1500</v>
      </c>
      <c r="D379" s="83">
        <v>1470</v>
      </c>
      <c r="E379" s="83">
        <v>1430</v>
      </c>
      <c r="F379" s="83">
        <v>460</v>
      </c>
      <c r="G379" s="95">
        <v>920</v>
      </c>
    </row>
    <row r="380" spans="1:7" s="73" customFormat="1">
      <c r="A380" s="100" t="s">
        <v>336</v>
      </c>
      <c r="B380" s="83" t="s">
        <v>2625</v>
      </c>
      <c r="C380" s="83">
        <v>1620</v>
      </c>
      <c r="D380" s="83">
        <v>1590</v>
      </c>
      <c r="E380" s="83">
        <v>1560</v>
      </c>
      <c r="F380" s="83">
        <v>480</v>
      </c>
      <c r="G380" s="95">
        <v>1000</v>
      </c>
    </row>
    <row r="381" spans="1:7" s="73" customFormat="1">
      <c r="A381" s="100" t="s">
        <v>336</v>
      </c>
      <c r="B381" s="83" t="s">
        <v>2626</v>
      </c>
      <c r="C381" s="83">
        <v>1460</v>
      </c>
      <c r="D381" s="83">
        <v>1430</v>
      </c>
      <c r="E381" s="83">
        <v>1390</v>
      </c>
      <c r="F381" s="83">
        <v>450</v>
      </c>
      <c r="G381" s="95">
        <v>900</v>
      </c>
    </row>
    <row r="382" spans="1:7" s="73" customFormat="1">
      <c r="A382" s="100" t="s">
        <v>336</v>
      </c>
      <c r="B382" s="83" t="s">
        <v>2627</v>
      </c>
      <c r="C382" s="83">
        <v>1310</v>
      </c>
      <c r="D382" s="83">
        <v>1280</v>
      </c>
      <c r="E382" s="83">
        <v>1250</v>
      </c>
      <c r="F382" s="83">
        <v>440</v>
      </c>
      <c r="G382" s="95">
        <v>800</v>
      </c>
    </row>
    <row r="383" spans="1:7" s="73" customFormat="1">
      <c r="A383" s="100" t="s">
        <v>336</v>
      </c>
      <c r="B383" s="83" t="s">
        <v>2628</v>
      </c>
      <c r="C383" s="83">
        <v>1260</v>
      </c>
      <c r="D383" s="83">
        <v>1230</v>
      </c>
      <c r="E383" s="83">
        <v>1200</v>
      </c>
      <c r="F383" s="83">
        <v>420</v>
      </c>
      <c r="G383" s="95">
        <v>770</v>
      </c>
    </row>
    <row r="384" spans="1:7" s="73" customFormat="1">
      <c r="A384" s="101" t="s">
        <v>336</v>
      </c>
      <c r="B384" s="89" t="s">
        <v>2629</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45966</v>
      </c>
      <c r="D1" s="6" t="s">
        <v>2763</v>
      </c>
      <c r="E1" s="8">
        <f>'数据-取费表'!B22</f>
        <v>2</v>
      </c>
      <c r="F1" s="6" t="s">
        <v>2764</v>
      </c>
      <c r="G1" s="9">
        <f ca="1">IF(OR(C1&lt;C27,E1&lt;=1),INDIRECT("d"&amp;$K$1)/100,ROUND((D5+(E1-C5)*(D7-D5)/(C7-C5))/100,4))</f>
        <v>3.1300000000000001E-2</v>
      </c>
      <c r="H1" s="6" t="s">
        <v>2765</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2764</v>
      </c>
      <c r="E2" s="13"/>
      <c r="F2" s="13" t="s">
        <v>2766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2773</v>
      </c>
      <c r="C10" s="39"/>
      <c r="D10" s="39"/>
      <c r="E10" s="39"/>
      <c r="F10" s="39"/>
      <c r="G10" s="39"/>
      <c r="H10" s="39"/>
      <c r="I10" s="2"/>
      <c r="J10" s="2"/>
      <c r="K10" s="39"/>
      <c r="L10" s="40" t="s">
        <v>2774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2775</v>
      </c>
      <c r="C11" s="44" t="s">
        <v>2776</v>
      </c>
      <c r="D11" s="45" t="s">
        <v>2777</v>
      </c>
      <c r="E11" s="46"/>
      <c r="F11" s="45" t="s">
        <v>2778</v>
      </c>
      <c r="G11" s="47"/>
      <c r="H11" s="46"/>
      <c r="I11" s="45" t="s">
        <v>2779</v>
      </c>
      <c r="J11" s="46"/>
      <c r="K11" s="42"/>
      <c r="L11" s="43" t="s">
        <v>2775</v>
      </c>
      <c r="M11" s="44" t="s">
        <v>2776</v>
      </c>
      <c r="N11" s="43" t="s">
        <v>2780</v>
      </c>
      <c r="O11" s="45" t="s">
        <v>2781</v>
      </c>
      <c r="P11" s="47"/>
      <c r="Q11" s="47"/>
      <c r="R11" s="47"/>
      <c r="S11" s="47"/>
      <c r="T11" s="46"/>
      <c r="U11" s="45" t="s">
        <v>2782</v>
      </c>
      <c r="V11" s="47"/>
      <c r="W11" s="46"/>
      <c r="X11" s="43" t="s">
        <v>2783</v>
      </c>
      <c r="Y11" s="43" t="s">
        <v>2784</v>
      </c>
      <c r="Z11" s="43" t="s">
        <v>2785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2786</v>
      </c>
      <c r="E12" s="51" t="s">
        <v>2768</v>
      </c>
      <c r="F12" s="51" t="s">
        <v>2769</v>
      </c>
      <c r="G12" s="51" t="s">
        <v>2770</v>
      </c>
      <c r="H12" s="51" t="s">
        <v>2771</v>
      </c>
      <c r="I12" s="52" t="s">
        <v>2787</v>
      </c>
      <c r="J12" s="52" t="s">
        <v>2787</v>
      </c>
      <c r="K12" s="42"/>
      <c r="L12" s="49"/>
      <c r="M12" s="50"/>
      <c r="N12" s="49"/>
      <c r="O12" s="52" t="s">
        <v>2788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2789</v>
      </c>
      <c r="C13" s="55">
        <v>45797</v>
      </c>
      <c r="D13" s="56">
        <v>3</v>
      </c>
      <c r="E13" s="56">
        <v>3</v>
      </c>
      <c r="F13" s="56">
        <f t="shared" ref="F13:F18" si="0">D13</f>
        <v>3</v>
      </c>
      <c r="G13" s="56">
        <f t="shared" ref="G13:G18" si="1">D13</f>
        <v>3</v>
      </c>
      <c r="H13" s="56">
        <v>3.5</v>
      </c>
      <c r="I13" s="56"/>
      <c r="J13" s="56"/>
      <c r="K13" s="53"/>
      <c r="L13" s="54" t="s">
        <v>2789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2790</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2791</v>
      </c>
      <c r="Y42" s="61" t="s">
        <v>2791</v>
      </c>
      <c r="Z42" s="61" t="s">
        <v>2791</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2791</v>
      </c>
      <c r="Y43" s="61" t="s">
        <v>2791</v>
      </c>
      <c r="Z43" s="61" t="s">
        <v>2791</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2791</v>
      </c>
      <c r="Y44" s="61" t="s">
        <v>2791</v>
      </c>
      <c r="Z44" s="61" t="s">
        <v>2791</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2791</v>
      </c>
      <c r="Y45" s="61" t="s">
        <v>2791</v>
      </c>
      <c r="Z45" s="61" t="s">
        <v>2791</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2791</v>
      </c>
      <c r="Y46" s="61" t="s">
        <v>2791</v>
      </c>
      <c r="Z46" s="61" t="s">
        <v>2791</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2791</v>
      </c>
      <c r="Y47" s="61" t="s">
        <v>2791</v>
      </c>
      <c r="Z47" s="61" t="s">
        <v>2791</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2791</v>
      </c>
      <c r="Y48" s="61" t="s">
        <v>2791</v>
      </c>
      <c r="Z48" s="61" t="s">
        <v>2791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2791</v>
      </c>
      <c r="Y49" s="61" t="s">
        <v>2791</v>
      </c>
      <c r="Z49" s="61" t="s">
        <v>2791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2791</v>
      </c>
      <c r="Y50" s="61" t="s">
        <v>2791</v>
      </c>
      <c r="Z50" s="61" t="s">
        <v>2791</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2791</v>
      </c>
      <c r="V51" s="61" t="s">
        <v>2791</v>
      </c>
      <c r="W51" s="61" t="s">
        <v>2791</v>
      </c>
      <c r="X51" s="61" t="s">
        <v>2791</v>
      </c>
      <c r="Y51" s="61" t="s">
        <v>2791</v>
      </c>
      <c r="Z51" s="61" t="s">
        <v>2791</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2791</v>
      </c>
      <c r="J70" s="61" t="s">
        <v>2791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2" sqref="S32"/>
    </sheetView>
  </sheetViews>
  <sheetFormatPr defaultColWidth="9" defaultRowHeight="13.5"/>
  <cols>
    <col min="21" max="21" width="12.625"/>
  </cols>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3123" t="s">
        <v>110</v>
      </c>
      <c r="E3" s="3123" t="s">
        <v>111</v>
      </c>
      <c r="F3" s="3123" t="s">
        <v>110</v>
      </c>
      <c r="G3" s="3123" t="s">
        <v>111</v>
      </c>
      <c r="H3" s="3123" t="s">
        <v>110</v>
      </c>
      <c r="I3" s="3123" t="s">
        <v>111</v>
      </c>
    </row>
    <row r="4" spans="1:9" ht="15">
      <c r="A4" s="3124" t="str">
        <f>项目基本情况!S2</f>
        <v>北京市房地产</v>
      </c>
      <c r="B4" s="3123">
        <f>项目基本情况!C17</f>
        <v>62.23</v>
      </c>
      <c r="C4" s="3123">
        <f>项目基本情况!C18</f>
        <v>0</v>
      </c>
      <c r="D4" s="3123">
        <f>结果表!D118</f>
        <v>0</v>
      </c>
      <c r="E4" s="3123">
        <f>结果表!E118</f>
        <v>0</v>
      </c>
      <c r="F4" s="3123">
        <f>结果表!F118</f>
        <v>0</v>
      </c>
      <c r="G4" s="3123">
        <f>结果表!G118</f>
        <v>0</v>
      </c>
      <c r="H4" s="3123">
        <f ca="1">结果表!H118</f>
        <v>58</v>
      </c>
      <c r="I4" s="3123">
        <f ca="1">结果表!I118</f>
        <v>9267</v>
      </c>
    </row>
    <row r="5" spans="1:9" ht="30" customHeight="1">
      <c r="A5" s="3188" t="s">
        <v>112</v>
      </c>
      <c r="B5" s="3188"/>
      <c r="C5" s="3188"/>
      <c r="D5" s="3188" t="str">
        <f>结果表!D119</f>
        <v>零元整</v>
      </c>
      <c r="E5" s="3188"/>
      <c r="F5" s="3188" t="str">
        <f>结果表!F119</f>
        <v>零元整</v>
      </c>
      <c r="G5" s="3188"/>
      <c r="H5" s="3188" t="str">
        <f ca="1">结果表!H119</f>
        <v>伍拾捌万元整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112</v>
      </c>
      <c r="B7" s="3188"/>
      <c r="C7" s="3188"/>
      <c r="D7" s="3190" t="str">
        <f>结果表!D121</f>
        <v>零元整</v>
      </c>
      <c r="E7" s="3191"/>
      <c r="F7" s="3191"/>
      <c r="G7" s="3191"/>
      <c r="H7" s="3191"/>
      <c r="I7" s="3192"/>
    </row>
    <row r="8" spans="1:9" ht="15.75">
      <c r="A8" s="3189" t="str">
        <f>结果表!A122</f>
        <v>房地产抵押价值</v>
      </c>
      <c r="B8" s="3189"/>
      <c r="C8" s="3189"/>
      <c r="D8" s="3189">
        <f ca="1">结果表!D122</f>
        <v>58</v>
      </c>
      <c r="E8" s="3189"/>
      <c r="F8" s="3189"/>
      <c r="G8" s="3189"/>
      <c r="H8" s="3189"/>
      <c r="I8" s="3189"/>
    </row>
    <row r="9" spans="1:9" ht="15">
      <c r="A9" s="3188" t="s">
        <v>112</v>
      </c>
      <c r="B9" s="3188"/>
      <c r="C9" s="3188"/>
      <c r="D9" s="3188" t="str">
        <f ca="1">结果表!D123</f>
        <v>伍拾捌万元整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112</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
      <c r="A13" s="3193" t="s">
        <v>112</v>
      </c>
      <c r="B13" s="3193"/>
      <c r="C13" s="3193"/>
      <c r="D13" s="3193" t="e">
        <f>结果表!D127</f>
        <v>#VALUE!</v>
      </c>
      <c r="E13" s="3193"/>
      <c r="F13" s="3193"/>
      <c r="G13" s="3193"/>
      <c r="H13" s="3193"/>
      <c r="I13" s="3193"/>
    </row>
    <row r="14" spans="1:9">
      <c r="A14" s="3194" t="s">
        <v>113</v>
      </c>
      <c r="B14" s="3194"/>
      <c r="C14" s="3194"/>
      <c r="D14" s="3194"/>
      <c r="E14" s="3194"/>
      <c r="F14" s="3194"/>
      <c r="G14" s="3194"/>
      <c r="H14" s="3194"/>
      <c r="I14" s="3194"/>
    </row>
    <row r="16" spans="1:9" ht="18.75">
      <c r="A16" s="3125"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5" t="s">
        <v>114</v>
      </c>
      <c r="B1" s="3195"/>
      <c r="C1" s="3195"/>
      <c r="D1" s="3195"/>
    </row>
    <row r="2" spans="1:4" ht="18">
      <c r="A2" s="3196" t="s">
        <v>115</v>
      </c>
      <c r="B2" s="3196"/>
      <c r="C2" s="3196"/>
      <c r="D2" s="3196"/>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196" t="s">
        <v>121</v>
      </c>
      <c r="B6" s="3196"/>
      <c r="C6" s="3196"/>
      <c r="D6" s="3196"/>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197"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127</v>
      </c>
      <c r="B16" s="3200"/>
      <c r="C16" s="3200"/>
      <c r="D16" s="3200"/>
    </row>
    <row r="17" spans="1:4" ht="144" customHeight="1">
      <c r="A17" s="3200" t="s">
        <v>128</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129</v>
      </c>
      <c r="B22" s="3203"/>
      <c r="C22" s="3203"/>
      <c r="D22" s="3203"/>
    </row>
    <row r="23" spans="1:4">
      <c r="A23" s="3120"/>
      <c r="B23" s="1509"/>
      <c r="C23" s="1509"/>
      <c r="D23" s="1509"/>
    </row>
    <row r="24" spans="1:4">
      <c r="A24" s="3120"/>
      <c r="B24" s="1509"/>
      <c r="C24" s="1509"/>
      <c r="D24" s="1509"/>
    </row>
    <row r="25" spans="1:4" ht="18.75">
      <c r="A25" s="3121" t="s">
        <v>130</v>
      </c>
    </row>
    <row r="26" spans="1:4" ht="18">
      <c r="A26" s="3122"/>
    </row>
    <row r="27" spans="1:4" ht="18.75">
      <c r="A27" s="3122" t="s">
        <v>131</v>
      </c>
    </row>
    <row r="30" spans="1:4" ht="18.75">
      <c r="D30" s="3121" t="s">
        <v>132</v>
      </c>
    </row>
    <row r="31" spans="1:4" ht="13.5" customHeight="1">
      <c r="C31" s="3201">
        <v>42551</v>
      </c>
      <c r="D31" s="32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s>
  <sheetData>
    <row r="1" spans="1:7" s="3092" customFormat="1" ht="18.75">
      <c r="A1" s="3094" t="s">
        <v>134</v>
      </c>
    </row>
    <row r="3" spans="1:7">
      <c r="A3" s="3095" t="s">
        <v>135</v>
      </c>
      <c r="B3" t="s">
        <v>136</v>
      </c>
      <c r="G3" s="289"/>
    </row>
    <row r="4" spans="1:7">
      <c r="G4" s="289"/>
    </row>
    <row r="5" spans="1:7">
      <c r="A5" s="3096" t="s">
        <v>137</v>
      </c>
      <c r="B5" t="s">
        <v>138</v>
      </c>
      <c r="G5" s="289"/>
    </row>
    <row r="6" spans="1:7">
      <c r="G6" s="289"/>
    </row>
    <row r="7" spans="1:7">
      <c r="A7" s="3097" t="s">
        <v>139</v>
      </c>
      <c r="B7" t="s">
        <v>140</v>
      </c>
      <c r="G7" s="289"/>
    </row>
    <row r="8" spans="1:7">
      <c r="G8" s="289"/>
    </row>
    <row r="9" spans="1:7">
      <c r="A9" s="3098" t="s">
        <v>141</v>
      </c>
      <c r="B9" t="s">
        <v>142</v>
      </c>
    </row>
    <row r="11" spans="1:7">
      <c r="A11" s="3099" t="s">
        <v>143</v>
      </c>
      <c r="B11" s="3100" t="s">
        <v>144</v>
      </c>
    </row>
    <row r="13" spans="1:7">
      <c r="A13" s="3101" t="s">
        <v>145</v>
      </c>
    </row>
    <row r="15" spans="1:7" ht="13.5">
      <c r="A15" s="3206" t="s">
        <v>146</v>
      </c>
      <c r="B15" s="3211" t="s">
        <v>147</v>
      </c>
      <c r="C15" s="3205"/>
    </row>
    <row r="16" spans="1:7" ht="13.5">
      <c r="A16" s="3207"/>
      <c r="B16" s="3211" t="s">
        <v>148</v>
      </c>
      <c r="C16" s="3205"/>
    </row>
    <row r="17" spans="1:3" ht="13.5">
      <c r="A17" s="3207"/>
      <c r="B17" s="3210" t="s">
        <v>149</v>
      </c>
      <c r="C17" s="3102" t="s">
        <v>146</v>
      </c>
    </row>
    <row r="18" spans="1:3" ht="13.5">
      <c r="A18" s="3207"/>
      <c r="B18" s="3210"/>
      <c r="C18" s="3102" t="s">
        <v>150</v>
      </c>
    </row>
    <row r="19" spans="1:3" ht="13.5">
      <c r="A19" s="3207"/>
      <c r="B19" s="3210"/>
      <c r="C19" s="3102" t="s">
        <v>151</v>
      </c>
    </row>
    <row r="20" spans="1:3" ht="13.5">
      <c r="A20" s="3208"/>
      <c r="B20" s="3204" t="s">
        <v>152</v>
      </c>
      <c r="C20" s="3205"/>
    </row>
    <row r="21" spans="1:3" ht="13.5">
      <c r="A21" s="3103" t="s">
        <v>153</v>
      </c>
      <c r="B21" s="3104"/>
      <c r="C21" s="3105"/>
    </row>
    <row r="22" spans="1:3" ht="13.5">
      <c r="A22" s="3209" t="s">
        <v>154</v>
      </c>
      <c r="B22" s="3204" t="s">
        <v>155</v>
      </c>
      <c r="C22" s="3205"/>
    </row>
    <row r="23" spans="1:3" ht="13.5">
      <c r="A23" s="3209"/>
      <c r="B23" s="3204" t="s">
        <v>156</v>
      </c>
      <c r="C23" s="3205"/>
    </row>
    <row r="24" spans="1:3" ht="13.5">
      <c r="A24" s="3209"/>
      <c r="B24" s="3204" t="s">
        <v>157</v>
      </c>
      <c r="C24" s="3205"/>
    </row>
    <row r="25" spans="1:3" ht="13.5">
      <c r="A25" s="3209"/>
      <c r="B25" s="3210" t="s">
        <v>158</v>
      </c>
      <c r="C25" s="3102" t="s">
        <v>159</v>
      </c>
    </row>
    <row r="26" spans="1:3" ht="13.5">
      <c r="A26" s="3209"/>
      <c r="B26" s="3210"/>
      <c r="C26" s="3102" t="s">
        <v>160</v>
      </c>
    </row>
    <row r="27" spans="1:3" ht="13.5">
      <c r="A27" s="3209"/>
      <c r="B27" s="3210"/>
      <c r="C27" s="3102" t="s">
        <v>161</v>
      </c>
    </row>
    <row r="28" spans="1:3" ht="13.5">
      <c r="A28" s="3209"/>
      <c r="B28" s="3210"/>
      <c r="C28" s="3102" t="s">
        <v>162</v>
      </c>
    </row>
    <row r="29" spans="1:3" ht="13.5">
      <c r="A29" s="3209"/>
      <c r="B29" s="3210"/>
      <c r="C29" s="3102" t="s">
        <v>163</v>
      </c>
    </row>
    <row r="30" spans="1:3" ht="13.5">
      <c r="A30" s="3209"/>
      <c r="B30" s="3210"/>
      <c r="C30" s="3102" t="s">
        <v>164</v>
      </c>
    </row>
    <row r="31" spans="1:3" ht="13.5">
      <c r="A31" s="3209"/>
      <c r="B31" s="3210"/>
      <c r="C31" s="3102" t="s">
        <v>165</v>
      </c>
    </row>
    <row r="32" spans="1:3" ht="13.5">
      <c r="A32" s="3209"/>
      <c r="B32" s="3210"/>
      <c r="C32" s="3102" t="s">
        <v>166</v>
      </c>
    </row>
    <row r="33" spans="1:3" ht="13.5">
      <c r="A33" s="3209"/>
      <c r="B33" s="3210"/>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45967</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t="str">
        <f ca="1">IF(C4&lt;B2,"已过期",1119970066)</f>
        <v>已过期</v>
      </c>
      <c r="C4" s="3074">
        <v>45937</v>
      </c>
      <c r="D4" s="3075" t="str">
        <f ca="1">A4&amp;"（注册号："&amp;B4&amp;"）"</f>
        <v>梁津（注册号：已过期）</v>
      </c>
      <c r="E4" s="3076" t="s">
        <v>184</v>
      </c>
      <c r="F4" s="3071">
        <f ca="1">IF(G4&lt;B2,"已过期",96010014)</f>
        <v>96010014</v>
      </c>
      <c r="G4" s="3077">
        <v>47118</v>
      </c>
      <c r="H4" s="3078" t="str">
        <f ca="1">E4&amp;"（注册号："&amp;F4&amp;"）"</f>
        <v>梁津（注册号：96010014）</v>
      </c>
    </row>
    <row r="5" spans="1:8" ht="24" customHeight="1">
      <c r="A5" s="3071" t="s">
        <v>185</v>
      </c>
      <c r="B5" s="3071" t="str">
        <f ca="1">IF(C5&lt;B2,"已过期",1119970111)</f>
        <v>已过期</v>
      </c>
      <c r="C5" s="3074">
        <v>45937</v>
      </c>
      <c r="D5" s="3075" t="str">
        <f t="shared" ref="D5:D16" ca="1" si="0">A5&amp;"（注册号："&amp;B5&amp;"）"</f>
        <v>叶凌（注册号：已过期）</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t="str">
        <f ca="1">IF(C7&lt;B2,"已过期",1120000080)</f>
        <v>已过期</v>
      </c>
      <c r="C7" s="3074">
        <v>45937</v>
      </c>
      <c r="D7" s="3075" t="str">
        <f t="shared" ca="1" si="0"/>
        <v>欧红伟（注册号：已过期）</v>
      </c>
      <c r="E7" s="3076" t="s">
        <v>187</v>
      </c>
      <c r="F7" s="3071">
        <f ca="1">IF(G7&lt;B2,"已过期",2000110082)</f>
        <v>2000110082</v>
      </c>
      <c r="G7" s="3077">
        <v>46387</v>
      </c>
      <c r="H7" s="3078" t="str">
        <f t="shared" ca="1" si="1"/>
        <v>欧红伟（注册号：2000110082）</v>
      </c>
    </row>
    <row r="8" spans="1:8" ht="24" customHeight="1">
      <c r="A8" s="3071" t="s">
        <v>188</v>
      </c>
      <c r="B8" s="3071" t="str">
        <f ca="1">IF(C8&lt;B2,"已过期",1419970001)</f>
        <v>已过期</v>
      </c>
      <c r="C8" s="3074">
        <v>45937</v>
      </c>
      <c r="D8" s="3075" t="str">
        <f t="shared" ca="1" si="0"/>
        <v>吴薇（注册号：已过期）</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t="str">
        <f ca="1">IF(C11&lt;B2,"已过期",1120070131)</f>
        <v>已过期</v>
      </c>
      <c r="C11" s="3074">
        <v>45937</v>
      </c>
      <c r="D11" s="3075" t="str">
        <f t="shared" ca="1" si="0"/>
        <v>郑燚（注册号：已过期）</v>
      </c>
      <c r="E11" s="3076" t="s">
        <v>191</v>
      </c>
      <c r="F11" s="3071">
        <f ca="1">IF(G11&lt;B2,"已过期",2014110011)</f>
        <v>2014110011</v>
      </c>
      <c r="G11" s="3077">
        <v>49302</v>
      </c>
      <c r="H11" s="3078" t="str">
        <f t="shared" ca="1" si="1"/>
        <v>郑燚（注册号：2014110011）</v>
      </c>
    </row>
    <row r="12" spans="1:8" ht="24" customHeight="1">
      <c r="A12" s="3071" t="s">
        <v>192</v>
      </c>
      <c r="B12" s="3071" t="str">
        <f ca="1">IF(C12&lt;B2,"已过期",1120040230)</f>
        <v>已过期</v>
      </c>
      <c r="C12" s="3079">
        <v>45937</v>
      </c>
      <c r="D12" s="3075" t="str">
        <f t="shared" ca="1" si="0"/>
        <v>苏海（注册号：已过期）</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72"/>
      <c r="E18" s="3214" t="s">
        <v>199</v>
      </c>
      <c r="F18" s="3213"/>
      <c r="G18" s="3213"/>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2025-11-06T05:36:00Z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