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5-1-0490北京市顺义区瑞兆街1号院3号楼9层2单元904\"/>
    </mc:Choice>
  </mc:AlternateContent>
  <bookViews>
    <workbookView xWindow="0" yWindow="0" windowWidth="16056" windowHeight="13284"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2" r:id="rId42"/>
    <sheet name="租金" sheetId="83"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4" i="21" l="1"/>
  <c r="G44" i="21"/>
  <c r="I5" i="21"/>
  <c r="G5" i="21"/>
  <c r="Y18" i="1"/>
  <c r="B4" i="83" l="1"/>
  <c r="B3" i="83"/>
  <c r="K59" i="21" l="1"/>
  <c r="J59" i="21"/>
  <c r="H59" i="21"/>
  <c r="G59" i="21"/>
  <c r="I37" i="21"/>
  <c r="G37" i="21"/>
  <c r="E37" i="21"/>
  <c r="F90" i="21" l="1"/>
  <c r="E90" i="21"/>
  <c r="D90" i="21"/>
  <c r="C90" i="21"/>
  <c r="D5" i="9"/>
  <c r="F19" i="6"/>
  <c r="AH6" i="1" s="1"/>
  <c r="C33" i="21" l="1"/>
  <c r="B14" i="74"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M28" i="67"/>
  <c r="E2" i="68"/>
  <c r="E9" i="76"/>
  <c r="F13" i="67"/>
  <c r="F16" i="67"/>
  <c r="M22" i="67"/>
  <c r="F9" i="67"/>
  <c r="F37" i="67"/>
  <c r="F7" i="73"/>
  <c r="E8" i="76"/>
  <c r="F4" i="73"/>
  <c r="D34" i="9"/>
  <c r="AO13" i="1"/>
  <c r="B7" i="76"/>
  <c r="F8" i="67"/>
  <c r="M24" i="67"/>
  <c r="F20" i="31"/>
  <c r="M8" i="67"/>
  <c r="M22" i="15"/>
  <c r="D35" i="9"/>
  <c r="F26" i="15"/>
  <c r="L48" i="67"/>
  <c r="J15" i="67"/>
  <c r="E13" i="76"/>
  <c r="B8" i="76"/>
  <c r="F6" i="73"/>
  <c r="F26" i="67"/>
  <c r="B12" i="76"/>
  <c r="F7" i="67"/>
  <c r="F9" i="15"/>
  <c r="M9" i="15"/>
  <c r="M23" i="67"/>
  <c r="E10" i="76"/>
  <c r="M6" i="67"/>
  <c r="F42" i="15"/>
  <c r="F43" i="67"/>
  <c r="D6" i="73"/>
  <c r="E11" i="76"/>
  <c r="F42" i="67"/>
  <c r="E2" i="69"/>
  <c r="B9" i="76"/>
  <c r="E7" i="76"/>
  <c r="M9" i="67"/>
  <c r="M26" i="15"/>
  <c r="M29" i="67"/>
  <c r="B13" i="76"/>
  <c r="B11" i="76"/>
  <c r="F43" i="15"/>
  <c r="E12" i="76"/>
  <c r="F38" i="67"/>
  <c r="F8" i="15"/>
  <c r="F3" i="73"/>
  <c r="F5" i="73"/>
  <c r="M8" i="15"/>
  <c r="L47" i="67"/>
  <c r="M23" i="15"/>
  <c r="B10" i="76"/>
  <c r="F36" i="67"/>
  <c r="J15" i="15"/>
  <c r="F40" i="67"/>
  <c r="C76" i="67"/>
  <c r="AB44" i="21" l="1"/>
  <c r="BA16" i="3"/>
  <c r="AZ16" i="3"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27" i="21"/>
  <c r="H27" i="21"/>
  <c r="W27" i="21"/>
  <c r="AC27" i="21"/>
  <c r="AA26" i="21"/>
  <c r="AC26"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38" i="15"/>
  <c r="C76" i="15"/>
  <c r="D5" i="73"/>
  <c r="D3" i="73"/>
  <c r="F36" i="15"/>
  <c r="F13" i="15"/>
  <c r="M6" i="15"/>
  <c r="D4" i="73"/>
  <c r="L48" i="15"/>
  <c r="M28" i="15"/>
  <c r="F40" i="15"/>
  <c r="D7" i="73"/>
  <c r="F7" i="15"/>
  <c r="M29" i="15"/>
  <c r="M26" i="67"/>
  <c r="F6" i="15"/>
  <c r="F16" i="15"/>
  <c r="L47" i="15"/>
  <c r="M24" i="15"/>
  <c r="C16" i="67"/>
  <c r="F6" i="67"/>
  <c r="S32" i="21" l="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AC7" i="36" s="1"/>
  <c r="V36" i="36" s="1"/>
  <c r="I36" i="36" s="1"/>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AE6" i="1"/>
  <c r="AA7" i="36" l="1"/>
  <c r="R36" i="36" s="1"/>
  <c r="E91" i="3"/>
  <c r="E385" i="3"/>
  <c r="E585" i="3"/>
  <c r="E311" i="3"/>
  <c r="E415" i="3"/>
  <c r="E345" i="3"/>
  <c r="Q6" i="3"/>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F41" i="67"/>
  <c r="M27" i="15"/>
  <c r="U10" i="40" l="1"/>
  <c r="I46" i="37"/>
  <c r="J46" i="37" s="1"/>
  <c r="C47" i="11"/>
  <c r="D45" i="11" s="1"/>
  <c r="W10" i="40"/>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68" l="1"/>
  <c r="D41" i="68"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L51" i="15"/>
  <c r="D2" i="35"/>
  <c r="D19" i="9"/>
  <c r="D2" i="34"/>
  <c r="D2" i="37"/>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10" i="1"/>
  <c r="AO6" i="1"/>
  <c r="AO7" i="1"/>
  <c r="AO11" i="1"/>
  <c r="AO12" i="1"/>
  <c r="AO9"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1" i="9"/>
  <c r="N60" i="9"/>
  <c r="B49" i="72"/>
  <c r="M48" i="9"/>
  <c r="C104" i="9"/>
  <c r="H4" i="52"/>
  <c r="D53" i="9"/>
  <c r="D52" i="9"/>
  <c r="C105" i="9"/>
  <c r="I4" i="52"/>
  <c r="N58" i="9"/>
  <c r="P57" i="9"/>
  <c r="N59" i="9"/>
  <c r="C5" i="74"/>
  <c r="B20" i="72"/>
  <c r="B53" i="72"/>
  <c r="D8" i="52"/>
  <c r="C93" i="9"/>
  <c r="C86" i="9"/>
  <c r="D122" i="9"/>
  <c r="D123" i="9"/>
  <c r="D9" i="52"/>
  <c r="H102" i="9"/>
  <c r="D7" i="53"/>
  <c r="B21" i="72"/>
  <c r="B30" i="72"/>
  <c r="C6" i="74"/>
  <c r="B52" i="72"/>
  <c r="H119" i="9"/>
  <c r="H5" i="52"/>
  <c r="F119" i="9"/>
  <c r="F5" i="52"/>
  <c r="D5" i="53"/>
  <c r="D6" i="53"/>
  <c r="B22" i="72"/>
  <c r="C81" i="9"/>
  <c r="F4" i="52"/>
  <c r="B51" i="72"/>
  <c r="C80" i="9"/>
  <c r="E80" i="9"/>
  <c r="E81" i="9"/>
  <c r="F118" i="9"/>
  <c r="G118" i="9"/>
  <c r="G4" i="52"/>
  <c r="C72" i="9"/>
  <c r="C79" i="9"/>
  <c r="D55" i="9"/>
  <c r="M53" i="9"/>
  <c r="N57" i="9"/>
  <c r="E4" i="52"/>
  <c r="B48" i="72"/>
  <c r="H108" i="9"/>
  <c r="D15" i="53"/>
  <c r="B31" i="72"/>
  <c r="C97" i="9"/>
  <c r="D58" i="9"/>
  <c r="D56" i="9"/>
  <c r="M54" i="9"/>
  <c r="D119" i="9"/>
  <c r="D5" i="52"/>
  <c r="C85" i="9"/>
  <c r="C95" i="9"/>
  <c r="C96" i="9"/>
  <c r="E96" i="9"/>
  <c r="E97" i="9"/>
  <c r="D59" i="9"/>
  <c r="M55" i="9"/>
  <c r="H107" i="9"/>
  <c r="D13" i="53"/>
  <c r="D14" i="53"/>
  <c r="B32" i="72"/>
  <c r="E118" i="9"/>
  <c r="D118" i="9"/>
  <c r="D4" i="52"/>
  <c r="B47" i="72"/>
  <c r="C78" i="9"/>
  <c r="C73"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<sst xmlns="http://schemas.openxmlformats.org/spreadsheetml/2006/main" count="7908" uniqueCount="3461">
  <si>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</si>
  <si>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</si>
  <si>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</si>
  <si>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</si>
  <si>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</si>
  <si>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</si>
  <si>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</si>
  <si>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</si>
  <si>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</si>
  <si>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</si>
  <si>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</si>
  <si>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</si>
  <si>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</si>
  <si>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</si>
  <si>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</si>
  <si>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</si>
  <si>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</si>
  <si>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</si>
  <si>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</si>
  <si>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</si>
  <si>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</si>
  <si>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</si>
  <si>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</si>
  <si>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</si>
  <si>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</si>
  <si>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</si>
  <si>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</si>
  <si>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</si>
  <si>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</si>
  <si>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</si>
  <si>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</si>
  <si>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</si>
  <si>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</si>
  <si>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</si>
  <si>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</si>
  <si>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</si>
  <si>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</si>
  <si>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</si>
  <si>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</si>
  <si>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</si>
  <si>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</si>
  <si>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</si>
  <si>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</si>
  <si>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</si>
  <si>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</si>
  <si>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</si>
  <si>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</si>
  <si>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</si>
  <si>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</si>
  <si>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</si>
  <si>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</si>
  <si>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</si>
  <si>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</si>
  <si>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</si>
  <si>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</si>
  <si>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</si>
  <si>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</si>
  <si>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</si>
  <si>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</si>
  <si>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</si>
  <si>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</si>
  <si>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</si>
  <si>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</si>
  <si>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</si>
  <si>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</si>
  <si>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</si>
  <si>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</si>
  <si>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</si>
  <si>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</si>
  <si>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</si>
  <si>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</si>
  <si>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</si>
  <si>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</si>
  <si>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</si>
  <si>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</si>
  <si>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</si>
  <si>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</si>
  <si>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</si>
  <si>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</si>
  <si>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</si>
  <si>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</si>
  <si>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</si>
  <si>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</si>
  <si>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</si>
  <si>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</si>
  <si>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</si>
  <si>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</si>
  <si>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</si>
  <si>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</si>
  <si>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</si>
  <si>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</si>
  <si>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</si>
  <si>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</si>
  <si>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</si>
  <si>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</si>
  <si>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</si>
  <si>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</si>
  <si>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</si>
  <si>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</si>
  <si>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</si>
  <si>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</si>
  <si>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</si>
  <si>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</si>
  <si>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</si>
  <si>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</si>
  <si>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</si>
  <si>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</si>
  <si>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</si>
  <si>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</si>
  <si>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</si>
  <si>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</si>
  <si>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</si>
  <si>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</si>
  <si>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</si>
  <si>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</si>
  <si>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</si>
  <si>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</si>
  <si>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</si>
  <si>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</si>
  <si>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</si>
  <si>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</si>
  <si>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</si>
  <si>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</si>
  <si>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</si>
  <si>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</si>
  <si>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</si>
  <si>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</si>
  <si>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</si>
  <si>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</si>
  <si>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</si>
  <si>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</si>
  <si>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</si>
  <si>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</si>
  <si>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</si>
  <si>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</si>
  <si>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</si>
  <si>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</si>
  <si>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</si>
  <si>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</si>
  <si>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</si>
  <si>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</si>
  <si>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</si>
  <si>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</si>
  <si>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</si>
  <si>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</si>
  <si>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</si>
  <si>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</si>
  <si>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</si>
  <si>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</si>
  <si>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</si>
  <si>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</si>
  <si>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</si>
  <si>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</si>
  <si>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</si>
  <si>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</si>
  <si>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</si>
  <si>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</si>
  <si>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</si>
  <si>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</si>
  <si>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</si>
  <si>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</si>
  <si>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</si>
  <si>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</si>
  <si>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</si>
  <si>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</si>
  <si>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</si>
  <si>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</si>
  <si>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</si>
  <si>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</si>
  <si>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</si>
  <si>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</si>
  <si>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</si>
  <si>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</si>
  <si>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</si>
  <si>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</si>
  <si>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</si>
  <si>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</si>
  <si>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</si>
  <si>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</si>
  <si>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</si>
  <si>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</si>
  <si>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</si>
  <si>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</si>
  <si>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</si>
  <si>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</si>
  <si>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</si>
  <si>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</si>
  <si>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</si>
  <si>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</si>
  <si>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</si>
  <si>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</si>
  <si>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</si>
  <si>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</si>
  <si>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</si>
  <si>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</si>
  <si>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</si>
  <si>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</si>
  <si>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</si>
  <si>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</si>
  <si>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</si>
  <si>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</si>
  <si>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</si>
  <si>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</si>
  <si>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</si>
  <si>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</si>
  <si>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</si>
  <si>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</si>
  <si>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</si>
  <si>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</si>
  <si>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</si>
  <si>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</si>
  <si>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</si>
  <si>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</si>
  <si>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</si>
  <si>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</si>
  <si>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</si>
  <si>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</si>
  <si>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</si>
  <si>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</si>
  <si>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</si>
  <si>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</si>
  <si>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</si>
  <si>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</si>
  <si>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</si>
  <si>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</si>
  <si>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</si>
  <si>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</si>
  <si>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</si>
  <si>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</si>
  <si>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</si>
  <si>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</si>
  <si>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</si>
  <si>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</si>
  <si>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</si>
  <si>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</si>
  <si>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</si>
  <si>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</si>
  <si>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</si>
  <si>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</si>
  <si>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</si>
  <si>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</si>
  <si>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</si>
  <si>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</si>
  <si>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</si>
  <si>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</si>
  <si>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</si>
  <si>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</si>
  <si>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</si>
  <si>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</si>
  <si>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</si>
  <si>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</si>
  <si>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</si>
  <si>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</si>
  <si>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</si>
  <si>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</si>
  <si>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</si>
  <si>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</si>
  <si>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</si>
  <si>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</si>
  <si>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</si>
  <si>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</si>
  <si>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</si>
  <si>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</si>
  <si>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</si>
  <si>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</si>
  <si>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</si>
  <si>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</si>
  <si>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</si>
  <si>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</si>
  <si>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</si>
  <si>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</si>
  <si>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</si>
  <si>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</si>
  <si>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</si>
  <si>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</si>
  <si>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</si>
  <si>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</si>
  <si>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</si>
  <si>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</si>
  <si>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</si>
  <si>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</si>
  <si>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</si>
  <si>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</si>
  <si>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</si>
  <si>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</si>
  <si>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</si>
  <si>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</si>
  <si>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</si>
  <si>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</si>
  <si>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</si>
  <si>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</si>
  <si>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</si>
  <si>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</si>
  <si>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</si>
  <si>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</si>
  <si>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</si>
  <si>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</si>
  <si>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</si>
  <si>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</si>
  <si>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</si>
  <si>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</si>
  <si>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</si>
  <si>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</si>
  <si>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</si>
  <si>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</si>
  <si>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</si>
  <si>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</si>
  <si>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</si>
  <si>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</si>
  <si>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</si>
  <si>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</si>
  <si>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</si>
  <si>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</si>
  <si>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</si>
  <si>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</si>
  <si>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</si>
  <si>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</si>
  <si>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</si>
  <si>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</si>
  <si>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</si>
  <si>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</si>
  <si>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</si>
  <si>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</si>
  <si>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</si>
  <si>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</si>
  <si>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</si>
  <si>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</si>
  <si>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</si>
  <si>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</si>
  <si>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</si>
  <si>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</si>
  <si>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</si>
  <si>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</si>
  <si>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</si>
  <si>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</si>
  <si>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</si>
  <si>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</si>
  <si>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</si>
  <si>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</si>
  <si>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</si>
  <si>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</si>
  <si>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</si>
  <si>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</si>
  <si>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</si>
  <si>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</si>
  <si>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</si>
  <si>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</si>
  <si>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</si>
  <si>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</si>
  <si>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</si>
  <si>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</si>
  <si>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</si>
  <si>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</si>
  <si>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</si>
  <si>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</si>
  <si>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</si>
  <si>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</si>
  <si>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</si>
  <si>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</si>
  <si>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</si>
  <si>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</si>
  <si>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</si>
  <si>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</si>
  <si>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</si>
  <si>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</si>
  <si>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</si>
  <si>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</si>
  <si>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</si>
  <si>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</si>
  <si>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</si>
  <si>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</si>
  <si>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</si>
  <si>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</si>
  <si>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</si>
  <si>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</si>
  <si>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</si>
  <si>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</si>
  <si>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</si>
  <si>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</si>
  <si>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</si>
  <si>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</si>
  <si>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</si>
  <si>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</si>
  <si>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</si>
  <si>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</si>
  <si>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</si>
  <si>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</si>
  <si>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</si>
  <si>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</si>
  <si>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</si>
  <si>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</si>
  <si>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</si>
  <si>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</si>
  <si>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</si>
  <si>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</si>
  <si>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</si>
  <si>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</si>
  <si>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</si>
  <si>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</si>
  <si>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</si>
  <si>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</si>
  <si>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</si>
  <si>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</si>
  <si>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</si>
  <si>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</si>
  <si>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</si>
  <si>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</si>
  <si>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</si>
  <si>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</si>
  <si>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</si>
  <si>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</si>
  <si>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</si>
  <si>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</si>
  <si>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</si>
  <si>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</si>
  <si>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</si>
  <si>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</si>
  <si>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</si>
  <si>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</si>
  <si>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</si>
  <si>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</si>
  <si>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</si>
  <si>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</si>
  <si>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</si>
  <si>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</si>
  <si>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</si>
  <si>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</si>
  <si>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</si>
  <si>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</si>
  <si>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</si>
  <si>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</si>
  <si>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</si>
  <si>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</si>
  <si>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</si>
  <si>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</si>
  <si>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</si>
  <si>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</si>
  <si>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</si>
  <si>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</si>
  <si>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</si>
  <si>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</si>
  <si>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</si>
  <si>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</si>
  <si>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</si>
  <si>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</si>
  <si>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</si>
  <si>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</si>
  <si>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</si>
  <si>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</si>
  <si>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</si>
  <si>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</si>
  <si>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</si>
  <si>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</si>
  <si>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</si>
  <si>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</si>
  <si>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</si>
  <si>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</si>
  <si>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</si>
  <si>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</si>
  <si>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</si>
  <si>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</si>
  <si>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</si>
  <si>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</si>
  <si>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</si>
  <si>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</si>
  <si>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</si>
  <si>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</si>
  <si>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</si>
  <si>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</si>
  <si>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</si>
  <si>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</si>
  <si>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</si>
  <si>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</si>
  <si>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</si>
  <si>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</si>
  <si>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</si>
  <si>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</si>
  <si>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</si>
  <si>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</si>
  <si>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</si>
  <si>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</si>
  <si>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</si>
  <si>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</si>
  <si>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</si>
  <si>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</si>
  <si>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</si>
  <si>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</si>
  <si>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</si>
  <si>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</si>
  <si>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</si>
  <si>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</si>
  <si>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</si>
  <si>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</si>
  <si>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</si>
  <si>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</si>
  <si>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</si>
  <si>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</si>
  <si>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</si>
  <si>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</si>
  <si>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</si>
  <si>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</si>
  <si>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</si>
  <si>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</si>
  <si>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</si>
  <si>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</si>
  <si>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</si>
  <si>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</si>
  <si>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</si>
  <si>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</si>
  <si>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</si>
  <si>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</si>
  <si>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</si>
  <si>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</si>
  <si>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</si>
  <si>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</si>
  <si>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</si>
  <si>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</si>
  <si>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</si>
  <si>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</si>
  <si>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</si>
  <si>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</si>
  <si>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</si>
  <si>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</si>
  <si>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</si>
  <si>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</si>
  <si>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</si>
  <si>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</si>
  <si>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</si>
  <si>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</si>
  <si>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</si>
  <si>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</si>
  <si>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</si>
  <si>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</si>
  <si>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</si>
  <si>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</si>
  <si>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</si>
  <si>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</si>
  <si>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</si>
  <si>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</si>
  <si>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</si>
  <si>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</si>
  <si>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</si>
  <si>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</si>
  <si>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</si>
  <si>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</si>
  <si>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</si>
  <si>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</si>
  <si>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</si>
  <si>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</si>
  <si>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</si>
  <si>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</si>
  <si>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</si>
  <si>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</si>
  <si>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</si>
  <si>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</si>
  <si>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</si>
  <si>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</si>
  <si>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</si>
  <si>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</si>
  <si>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</si>
  <si>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</si>
  <si>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</si>
  <si>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</si>
  <si>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</si>
  <si>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</si>
  <si>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</si>
  <si>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</si>
  <si>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</si>
  <si>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</si>
  <si>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</si>
  <si>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</si>
  <si>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</si>
  <si>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</si>
  <si>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</si>
  <si>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</si>
  <si>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</si>
  <si>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</si>
  <si>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</si>
  <si>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</si>
  <si>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</si>
  <si>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</si>
  <si>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</si>
  <si>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</si>
  <si>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</si>
  <si>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</si>
  <si>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</si>
  <si>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</si>
  <si>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</si>
  <si>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</si>
  <si>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</si>
  <si>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</si>
  <si>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</si>
  <si>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</si>
  <si>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</si>
  <si>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</si>
  <si>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</si>
  <si>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</si>
  <si>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</si>
  <si>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</si>
  <si>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</si>
  <si>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</si>
  <si>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</si>
  <si>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</si>
  <si>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</si>
  <si>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</si>
  <si>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</si>
  <si>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</si>
  <si>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</si>
  <si>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</si>
  <si>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</si>
  <si>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</si>
  <si>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</si>
  <si>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</si>
  <si>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</si>
  <si>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</si>
  <si>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</si>
  <si>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</si>
  <si>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</si>
  <si>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</si>
  <si>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</si>
  <si>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</si>
  <si>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</si>
  <si>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</si>
  <si>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</si>
  <si>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</si>
  <si>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</si>
  <si>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</si>
  <si>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</si>
  <si>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</si>
  <si>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</si>
  <si>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</si>
  <si>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</si>
  <si>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</si>
  <si>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</si>
  <si>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</si>
  <si>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</si>
  <si>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</si>
  <si>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</si>
  <si>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</si>
  <si>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</si>
  <si>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</si>
  <si>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</si>
  <si>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</si>
  <si>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</si>
  <si>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</si>
  <si>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</si>
  <si>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</si>
  <si>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</si>
  <si>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</si>
  <si>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</si>
  <si>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</si>
  <si>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</si>
  <si>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</si>
  <si>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</si>
  <si>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</si>
  <si>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</si>
  <si>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</si>
  <si>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</si>
  <si>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</si>
  <si>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</si>
  <si>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</si>
  <si>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</si>
  <si>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</si>
  <si>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</si>
  <si>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</si>
  <si>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</si>
  <si>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</si>
  <si>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</si>
  <si>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</si>
  <si>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</si>
  <si>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</si>
  <si>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</si>
  <si>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</si>
  <si>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</si>
  <si>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</si>
  <si>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</si>
  <si>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</si>
  <si>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</si>
  <si>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</si>
  <si>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</si>
  <si>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</si>
  <si>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</si>
  <si>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</si>
  <si>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</si>
  <si>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</si>
  <si>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</si>
  <si>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</si>
  <si>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</si>
  <si>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</si>
  <si>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</si>
  <si>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</si>
  <si>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</si>
  <si>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</si>
  <si>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</si>
  <si>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</si>
  <si>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</si>
  <si>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</si>
  <si>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</si>
  <si>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</si>
  <si>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</si>
  <si>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</si>
  <si>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</si>
  <si>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</si>
  <si>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</si>
  <si>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</si>
  <si>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</si>
  <si>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</si>
  <si>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</si>
  <si>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</si>
  <si>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</si>
  <si>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</si>
  <si>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</si>
  <si>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</si>
  <si>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</si>
  <si>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</si>
  <si>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</si>
  <si>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</si>
  <si>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</si>
  <si>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</si>
  <si>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</si>
  <si>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</si>
  <si>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</si>
  <si>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</si>
  <si>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</si>
  <si>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</si>
  <si>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</si>
  <si>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</si>
  <si>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</si>
  <si>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</si>
  <si>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</si>
  <si>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</si>
  <si>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</si>
  <si>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</si>
  <si>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</si>
  <si>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</si>
  <si>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</si>
  <si>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</si>
  <si>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</si>
  <si>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</si>
  <si>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</si>
  <si>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</si>
  <si>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</si>
  <si>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</si>
  <si>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</si>
  <si>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</si>
  <si>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</si>
  <si>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</si>
  <si>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</si>
  <si>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</si>
  <si>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</si>
  <si>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</si>
  <si>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</si>
  <si>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</si>
  <si>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</si>
  <si>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</si>
  <si>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</si>
  <si>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</si>
  <si>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</si>
  <si>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</si>
  <si>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</si>
  <si>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</si>
  <si>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</si>
  <si>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</si>
  <si>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</si>
  <si>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</si>
  <si>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</si>
  <si>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</si>
  <si>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</si>
  <si>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</si>
  <si>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</si>
  <si>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</si>
  <si>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</si>
  <si>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</si>
  <si>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</si>
  <si>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</si>
  <si>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</si>
  <si>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</si>
  <si>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</si>
  <si>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</si>
  <si>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</si>
  <si>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</si>
  <si>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</si>
  <si>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</si>
  <si>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</si>
  <si>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</si>
  <si>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</si>
  <si>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</si>
  <si>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</si>
  <si>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</si>
  <si>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</si>
  <si>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</si>
  <si>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</si>
  <si>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</si>
  <si>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</si>
  <si>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</si>
  <si>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</si>
  <si>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</si>
  <si>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</si>
  <si>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</si>
  <si>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</si>
  <si>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</si>
  <si>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</si>
  <si>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</si>
  <si>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</si>
  <si>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</si>
  <si>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</si>
  <si>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</si>
  <si>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</si>
  <si>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</si>
  <si>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</si>
  <si>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</si>
  <si>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</si>
  <si>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</si>
  <si>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</si>
  <si>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</si>
  <si>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</si>
  <si>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</si>
  <si>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</si>
  <si>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</si>
  <si>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</si>
  <si>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</si>
  <si>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</si>
  <si>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</si>
  <si>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</si>
  <si>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</si>
  <si>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</si>
  <si>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</si>
  <si>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</si>
  <si>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</si>
  <si>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</si>
  <si>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</si>
  <si>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</si>
  <si>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</si>
  <si>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</si>
  <si>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</si>
  <si>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</si>
  <si>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</si>
  <si>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</si>
  <si>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</si>
  <si>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</si>
  <si>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</si>
  <si>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</si>
  <si>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</si>
  <si>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</si>
  <si>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</si>
  <si>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</si>
  <si>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</si>
  <si>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</si>
  <si>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</si>
  <si>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</si>
  <si>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</si>
  <si>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</si>
  <si>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</si>
  <si>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</si>
  <si>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</si>
  <si>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</si>
  <si>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</si>
  <si>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</si>
  <si>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</si>
  <si>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</si>
  <si>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</si>
  <si>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</si>
  <si>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</si>
  <si>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</si>
  <si>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</si>
  <si>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</si>
  <si>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</si>
  <si>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</si>
  <si>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</si>
  <si>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</si>
  <si>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</si>
  <si>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</si>
  <si>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</si>
  <si>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</si>
  <si>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</si>
  <si>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</si>
  <si>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</si>
  <si>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</si>
  <si>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</si>
  <si>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</si>
  <si>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</si>
  <si>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</si>
  <si>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</si>
  <si>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</si>
  <si>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</si>
  <si>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</si>
  <si>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</si>
  <si>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</si>
  <si>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</si>
  <si>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</si>
  <si>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</si>
  <si>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</si>
  <si>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</si>
  <si>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</si>
  <si>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</si>
  <si>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</si>
  <si>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</si>
  <si>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</si>
  <si>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</si>
  <si>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</si>
  <si>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</si>
  <si>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</si>
  <si>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</si>
  <si>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</si>
  <si>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</si>
  <si>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</si>
  <si>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</si>
  <si>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</si>
  <si>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</si>
  <si>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</si>
  <si>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</si>
  <si>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</si>
  <si>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</si>
  <si>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</si>
  <si>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</si>
  <si>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</si>
  <si>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</si>
  <si>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</si>
  <si>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</si>
  <si>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</si>
  <si>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</si>
  <si>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</si>
  <si>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</si>
  <si>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</si>
  <si>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</si>
  <si>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</si>
  <si>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</si>
  <si>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</si>
  <si>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</si>
  <si>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</si>
  <si>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</si>
  <si>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</si>
  <si>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</si>
  <si>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</si>
  <si>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</si>
  <si>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</si>
  <si>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</si>
  <si>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</si>
  <si>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</si>
  <si>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</si>
  <si>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</si>
  <si>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</si>
  <si>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</si>
  <si>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</si>
  <si>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</si>
  <si>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</si>
  <si>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</si>
  <si>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</si>
  <si>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</si>
  <si>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</si>
  <si>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</si>
  <si>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</si>
  <si>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</si>
  <si>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</si>
  <si>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</si>
  <si>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</si>
  <si>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</si>
  <si>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</si>
  <si>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</si>
  <si>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</si>
  <si>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</si>
  <si>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</si>
  <si>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</si>
  <si>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</si>
  <si>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</si>
  <si>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</si>
  <si>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</si>
  <si>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</si>
  <si>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</si>
  <si>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</si>
  <si>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</si>
  <si>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</si>
  <si>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</si>
  <si>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</si>
  <si>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</si>
  <si>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</si>
  <si>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</si>
  <si>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</si>
  <si>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</si>
  <si>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</si>
  <si>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</si>
  <si>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</si>
  <si>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</si>
  <si>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</si>
  <si>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</si>
  <si>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</si>
  <si>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</si>
  <si>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</si>
  <si>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</si>
  <si>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</si>
  <si>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</si>
  <si>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</si>
  <si>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</si>
  <si>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</si>
  <si>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</si>
  <si>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</si>
  <si>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</si>
  <si>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</si>
  <si>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</si>
  <si>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</si>
  <si>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</si>
  <si>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</si>
  <si>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</si>
  <si>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</si>
  <si>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</si>
  <si>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</si>
  <si>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</si>
  <si>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</si>
  <si>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</si>
  <si>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</si>
  <si>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</si>
  <si>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</si>
  <si>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</si>
  <si>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</si>
  <si>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</si>
  <si>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</si>
  <si>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</si>
  <si>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</si>
  <si>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</si>
  <si>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</si>
  <si>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</si>
  <si>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</si>
  <si>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</si>
  <si>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</si>
  <si>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</si>
  <si>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</si>
  <si>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</si>
  <si>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</si>
  <si>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</si>
  <si>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</si>
  <si>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</si>
  <si>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</si>
  <si>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</si>
  <si>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</si>
  <si>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</si>
  <si>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</si>
  <si>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</si>
  <si>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</si>
  <si>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</si>
  <si>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</si>
  <si>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</si>
  <si>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</si>
  <si>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</si>
  <si>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</si>
  <si>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</si>
  <si>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</si>
  <si>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</si>
  <si>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</si>
  <si>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</si>
  <si>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</si>
  <si>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</si>
  <si>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</si>
  <si>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</si>
  <si>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</si>
  <si>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</si>
  <si>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</si>
  <si>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</si>
  <si>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</si>
  <si>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</si>
  <si>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</si>
  <si>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</si>
  <si>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</si>
  <si>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</si>
  <si>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</si>
  <si>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</si>
  <si>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</si>
  <si>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</si>
  <si>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</si>
  <si>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</si>
  <si>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</si>
  <si>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</si>
  <si>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</si>
  <si>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</si>
  <si>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</si>
  <si>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</si>
  <si>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</si>
  <si>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</si>
  <si>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</si>
  <si>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</si>
  <si>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</si>
  <si>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</si>
  <si>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</si>
  <si>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</si>
  <si>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</si>
  <si>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</si>
  <si>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</si>
  <si>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</si>
  <si>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</si>
  <si>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</si>
  <si>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</si>
  <si>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</si>
  <si>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</si>
  <si>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</si>
  <si>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</si>
  <si>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</si>
  <si>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</si>
  <si>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</si>
  <si>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</si>
  <si>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</si>
  <si>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</si>
  <si>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</si>
  <si>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</si>
  <si>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</si>
  <si>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</si>
  <si>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</si>
  <si>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</si>
  <si>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</si>
  <si>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</si>
  <si>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</si>
  <si>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</si>
  <si>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</si>
  <si>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</si>
  <si>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</si>
  <si>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</si>
  <si>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</si>
  <si>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</si>
  <si>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</si>
  <si>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</si>
  <si>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</si>
  <si>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</si>
  <si>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</si>
  <si>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</si>
  <si>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</si>
  <si>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</si>
  <si>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</si>
  <si>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</si>
  <si>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</si>
  <si>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</si>
  <si>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</si>
  <si>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</si>
  <si>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</si>
  <si>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</si>
  <si>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</si>
  <si>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</si>
  <si>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</si>
  <si>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</si>
  <si>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</si>
  <si>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</si>
  <si>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</si>
  <si>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</si>
  <si>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</si>
  <si>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</si>
  <si>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</si>
  <si>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</si>
  <si>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</si>
  <si>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</si>
  <si>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</si>
  <si>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</si>
  <si>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</si>
  <si>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</si>
  <si>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</si>
  <si>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</si>
  <si>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</si>
  <si>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</si>
  <si>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</si>
  <si>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</si>
  <si>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</si>
  <si>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</si>
  <si>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</si>
  <si>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</si>
  <si>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</si>
  <si>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</si>
  <si>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</si>
  <si>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</si>
  <si>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</si>
  <si>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</si>
  <si>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</si>
  <si>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</si>
  <si>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</si>
  <si>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</si>
  <si>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</si>
  <si>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</si>
  <si>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</si>
  <si>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</si>
  <si>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</si>
  <si>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</si>
  <si>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</si>
  <si>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</si>
  <si>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</si>
  <si>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</si>
  <si>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</si>
  <si>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</si>
  <si>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</si>
  <si>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</si>
  <si>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</si>
  <si>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</si>
  <si>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</si>
  <si>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</si>
  <si>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</si>
  <si>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</si>
  <si>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</si>
  <si>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</si>
  <si>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</si>
  <si>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</si>
  <si>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</si>
  <si>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</si>
  <si>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</si>
  <si>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</si>
  <si>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</si>
  <si>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</si>
  <si>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</si>
  <si>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</si>
  <si>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</si>
  <si>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</si>
  <si>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</si>
  <si>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</si>
  <si>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</si>
  <si>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</si>
  <si>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</si>
  <si>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</si>
  <si>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</si>
  <si>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</si>
  <si>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</si>
  <si>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</si>
  <si>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</si>
  <si>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</si>
  <si>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</si>
  <si>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</si>
  <si>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</si>
  <si>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</si>
  <si>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</si>
  <si>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</si>
  <si>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</si>
  <si>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</si>
  <si>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</si>
  <si>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</si>
  <si>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</si>
  <si>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</si>
  <si>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</si>
  <si>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</si>
  <si>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</si>
  <si>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</si>
  <si>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</si>
  <si>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</si>
  <si>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</si>
  <si>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</si>
  <si>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</si>
  <si>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</si>
  <si>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</si>
  <si>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</si>
  <si>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</si>
  <si>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</si>
  <si>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</si>
  <si>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</si>
  <si>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</si>
  <si>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</si>
  <si>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</si>
  <si>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</si>
  <si>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</si>
  <si>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</si>
  <si>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</si>
  <si>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</si>
  <si>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</si>
  <si>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</si>
  <si>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</si>
  <si>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</si>
  <si>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</si>
  <si>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</si>
  <si>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</si>
  <si>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</si>
  <si>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</si>
  <si>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</si>
  <si>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</si>
  <si>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</si>
  <si>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</si>
  <si>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</si>
  <si>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</si>
  <si>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</si>
  <si>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</si>
  <si>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</si>
  <si>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</si>
  <si>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</si>
  <si>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</si>
  <si>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</si>
  <si>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</si>
  <si>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</si>
  <si>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</si>
  <si>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</si>
  <si>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</si>
  <si>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</si>
  <si>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</si>
  <si>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</si>
  <si>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</si>
  <si>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</si>
  <si>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</si>
  <si>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</si>
  <si>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</si>
  <si>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</si>
  <si>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</si>
  <si>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</si>
  <si>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</si>
  <si>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</si>
  <si>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</si>
  <si>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</si>
  <si>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</si>
  <si>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</si>
  <si>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</si>
  <si>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</si>
  <si>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</si>
  <si>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</si>
  <si>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</si>
  <si>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</si>
  <si>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</si>
  <si>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</si>
  <si>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</si>
  <si>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</si>
  <si>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</si>
  <si>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</si>
  <si>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</si>
  <si>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</si>
  <si>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</si>
  <si>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</si>
  <si>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</si>
  <si>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</si>
  <si>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</si>
  <si>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</si>
  <si>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</si>
  <si>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</si>
  <si>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</si>
  <si>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</si>
  <si>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</si>
  <si>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</si>
  <si>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</si>
  <si>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</si>
  <si>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</si>
  <si>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</si>
  <si>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</si>
  <si>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</si>
  <si>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</si>
  <si>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</si>
  <si>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</si>
  <si>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</si>
  <si>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</si>
  <si>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</si>
  <si>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</si>
  <si>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</si>
  <si>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</si>
  <si>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</si>
  <si>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</si>
  <si>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</si>
  <si>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</si>
  <si>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</si>
  <si>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</si>
  <si>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</si>
  <si>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</si>
  <si>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</si>
  <si>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</si>
  <si>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</si>
  <si>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</si>
  <si>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</si>
  <si>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</si>
  <si>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</si>
  <si>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</si>
  <si>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</si>
  <si>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</si>
  <si>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</si>
  <si>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</si>
  <si>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</si>
  <si>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</si>
  <si>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</si>
  <si>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</si>
  <si>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</si>
  <si>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</si>
  <si>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</si>
  <si>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</si>
  <si>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</si>
  <si>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</si>
  <si>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</si>
  <si>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</si>
  <si>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</si>
  <si>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</si>
  <si>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</si>
  <si>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</si>
  <si>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</si>
  <si>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</si>
  <si>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</si>
  <si>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</si>
  <si>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</si>
  <si>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</si>
  <si>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</si>
  <si>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</si>
  <si>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</si>
  <si>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</si>
  <si>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</si>
  <si>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</si>
  <si>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</si>
  <si>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</si>
  <si>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</si>
  <si>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</si>
  <si>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</si>
  <si>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</si>
  <si>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</si>
  <si>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</si>
  <si>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</si>
  <si>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</si>
  <si>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</si>
  <si>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</si>
  <si>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</si>
  <si>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</si>
  <si>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</si>
  <si>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</si>
  <si>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</si>
  <si>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</si>
  <si>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</si>
  <si>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</si>
  <si>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</si>
  <si>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</si>
  <si>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</si>
  <si>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</si>
  <si>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</si>
  <si>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</si>
  <si>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</si>
  <si>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</si>
  <si>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</si>
  <si>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</si>
  <si>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</si>
  <si>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</si>
  <si>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</si>
  <si>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</si>
  <si>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</si>
  <si>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</si>
  <si>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</si>
  <si>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</si>
  <si>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</si>
  <si>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</si>
  <si>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</si>
  <si>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</si>
  <si>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</si>
  <si>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</si>
  <si>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</si>
  <si>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</si>
  <si>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</si>
  <si>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</si>
  <si>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</si>
  <si>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</si>
  <si>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</si>
  <si>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</si>
  <si>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</si>
  <si>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</si>
  <si>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</si>
  <si>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</si>
  <si>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</si>
  <si>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</si>
  <si>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</si>
  <si>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</si>
  <si>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</si>
  <si>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</si>
  <si>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</si>
  <si>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</si>
  <si>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</si>
  <si>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</si>
  <si>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</si>
  <si>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</si>
  <si>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</si>
  <si>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</si>
  <si>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</si>
  <si>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</si>
  <si>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</si>
  <si>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</si>
  <si>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</si>
  <si>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</si>
  <si>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</si>
  <si>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</si>
  <si>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</si>
  <si>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</si>
  <si>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</si>
  <si>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</si>
  <si>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</si>
  <si>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</si>
  <si>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</si>
  <si>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</si>
  <si>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</si>
  <si>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</si>
  <si>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</si>
  <si>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</si>
  <si>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</si>
  <si>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</si>
  <si>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</si>
  <si>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</si>
  <si>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</si>
  <si>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</si>
  <si>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</si>
  <si>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</si>
  <si>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</si>
  <si>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</si>
  <si>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</si>
  <si>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</si>
  <si>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</si>
  <si>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</si>
  <si>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</si>
  <si>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</si>
  <si>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</si>
  <si>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</si>
  <si>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</si>
  <si>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</si>
  <si>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</si>
  <si>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</si>
  <si>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</si>
  <si>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</si>
  <si>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</si>
  <si>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</si>
  <si>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</si>
  <si>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</si>
  <si>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</si>
  <si>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</si>
  <si>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</si>
  <si>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</si>
  <si>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</si>
  <si>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</si>
  <si>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</si>
  <si>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</si>
  <si>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</si>
  <si>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</si>
  <si>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</si>
  <si>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</si>
  <si>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</si>
  <si>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</si>
  <si>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</si>
  <si>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</si>
  <si>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</si>
  <si>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</si>
  <si>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</si>
  <si>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</si>
  <si>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</si>
  <si>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</si>
  <si>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</si>
  <si>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</si>
  <si>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</si>
  <si>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</si>
  <si>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</si>
  <si>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</si>
  <si>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</si>
  <si>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</si>
  <si>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</si>
  <si>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</si>
  <si>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</si>
  <si>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</si>
  <si>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</si>
  <si>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</si>
  <si>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</si>
  <si>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</si>
  <si>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</si>
  <si>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</si>
  <si>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</si>
  <si>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</si>
  <si>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</si>
  <si>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</si>
  <si>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</si>
  <si>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</si>
  <si>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</si>
  <si>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</si>
  <si>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</si>
  <si>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</si>
  <si>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</si>
  <si>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</si>
  <si>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</si>
  <si>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</si>
  <si>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</si>
  <si>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</si>
  <si>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</si>
  <si>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</si>
  <si>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</si>
  <si>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</si>
  <si>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</si>
  <si>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</si>
  <si>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</si>
  <si>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</si>
  <si>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</si>
  <si>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</si>
  <si>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</si>
  <si>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</si>
  <si>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</si>
  <si>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</si>
  <si>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</si>
  <si>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</si>
  <si>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</si>
  <si>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</si>
  <si>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</si>
  <si>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</si>
  <si>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</si>
  <si>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</si>
  <si>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</si>
  <si>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</si>
  <si>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</si>
  <si>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</si>
  <si>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</si>
  <si>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</si>
  <si>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</si>
  <si>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</si>
  <si>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</si>
  <si>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</si>
  <si>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</si>
  <si>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</si>
  <si>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</si>
  <si>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</si>
  <si>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</si>
  <si>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</si>
  <si>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</si>
  <si>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</si>
  <si>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</si>
  <si>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</si>
  <si>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</si>
  <si>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</si>
  <si>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</si>
  <si>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</si>
  <si>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</si>
  <si>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</si>
  <si>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</si>
  <si>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</si>
  <si>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</si>
  <si>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</si>
  <si>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</si>
  <si>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</si>
  <si>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</si>
  <si>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</si>
  <si>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</si>
  <si>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</si>
  <si>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</si>
  <si>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</si>
  <si>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</si>
  <si>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</si>
  <si>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</si>
  <si>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</si>
  <si>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</si>
  <si>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</si>
  <si>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</si>
  <si>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</si>
  <si>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</si>
  <si>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</si>
  <si>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</si>
  <si>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</si>
  <si>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</si>
  <si>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</si>
  <si>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</si>
  <si>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</si>
  <si>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</si>
  <si>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</si>
  <si>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</si>
  <si>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</si>
  <si>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</si>
  <si>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</si>
  <si>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</si>
  <si>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</si>
  <si>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</si>
  <si>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</si>
  <si>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</si>
  <si>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</si>
  <si>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</si>
  <si>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</si>
  <si>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</si>
  <si>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</si>
  <si>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</si>
  <si>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</si>
  <si>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</si>
  <si>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</si>
  <si>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</si>
  <si>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</si>
  <si>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</si>
  <si>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</si>
  <si>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</si>
  <si>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</si>
  <si>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</si>
  <si>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</si>
  <si>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</si>
  <si>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</si>
  <si>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</si>
  <si>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</si>
  <si>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</si>
  <si>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</si>
  <si>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</si>
  <si>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</si>
  <si>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</si>
  <si>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</si>
  <si>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</si>
  <si>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</si>
  <si>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</si>
  <si>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</si>
  <si>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</si>
  <si>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</si>
  <si>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</si>
  <si>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</si>
  <si>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</si>
  <si>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</si>
  <si>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</si>
  <si>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</si>
  <si>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</si>
  <si>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</si>
  <si>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</si>
  <si>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</si>
  <si>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</si>
  <si>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</si>
  <si>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</si>
  <si>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</si>
  <si>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</si>
  <si>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</si>
  <si>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</si>
  <si>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</si>
  <si>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</si>
  <si>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</si>
  <si>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</si>
  <si>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</si>
  <si>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</si>
  <si>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</si>
  <si>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</si>
  <si>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</si>
  <si>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</si>
  <si>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</si>
  <si>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</si>
  <si>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</si>
  <si>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</si>
  <si>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</si>
  <si>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</si>
  <si>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</si>
  <si>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</si>
  <si>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</si>
  <si>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</si>
  <si>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</si>
  <si>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</si>
  <si>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</si>
  <si>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</si>
  <si>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</si>
  <si>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</si>
  <si>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</si>
  <si>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</si>
  <si>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</si>
  <si>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</si>
  <si>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</si>
  <si>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</si>
  <si>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</si>
  <si>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</si>
  <si>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</si>
  <si>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</si>
  <si>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</si>
  <si>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</si>
  <si>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</si>
  <si>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</si>
  <si>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</si>
  <si>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</si>
  <si>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</si>
  <si>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</si>
  <si>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</si>
  <si>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</si>
  <si>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</si>
  <si>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</si>
  <si>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</si>
  <si>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</si>
  <si>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</si>
  <si>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</si>
  <si>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</si>
  <si>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</si>
  <si>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</si>
  <si>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</si>
  <si>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</si>
  <si>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</si>
  <si>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</si>
  <si>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</si>
  <si>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</si>
  <si>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</si>
  <si>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</si>
  <si>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</si>
  <si>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</si>
  <si>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</si>
  <si>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</si>
  <si>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</si>
  <si>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</si>
  <si>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</si>
  <si>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</si>
  <si>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</si>
  <si>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</si>
  <si>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</si>
  <si>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</si>
  <si>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</si>
  <si>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</si>
  <si>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</si>
  <si>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</si>
  <si>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</si>
  <si>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</si>
  <si>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</si>
  <si>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</si>
  <si>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</si>
  <si>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</si>
  <si>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</si>
  <si>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</si>
  <si>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</si>
  <si>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</si>
  <si>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</si>
  <si>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</si>
  <si>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</si>
  <si>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</si>
  <si>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</si>
  <si>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</si>
  <si>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</si>
  <si>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</si>
  <si>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</si>
  <si>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</si>
  <si>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</si>
  <si>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</si>
  <si>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</si>
  <si>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</si>
  <si>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</si>
  <si>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</si>
  <si>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</si>
  <si>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</si>
  <si>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</si>
  <si>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</si>
  <si>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</si>
  <si>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</si>
  <si>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</si>
  <si>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</si>
  <si>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</si>
  <si>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</si>
  <si>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</si>
  <si>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</si>
  <si>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</si>
  <si>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</si>
  <si>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</si>
  <si>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</si>
  <si>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</si>
  <si>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</si>
  <si>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</si>
  <si>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</si>
  <si>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</si>
  <si>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</si>
  <si>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</si>
  <si>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</si>
  <si>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</si>
  <si>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</si>
  <si>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</si>
  <si>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</si>
  <si>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</si>
  <si>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</si>
  <si>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</si>
  <si>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</si>
  <si>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</si>
  <si>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</si>
  <si>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</si>
  <si>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</si>
  <si>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</si>
  <si>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</si>
  <si>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</si>
  <si>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</si>
  <si>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</si>
  <si>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</si>
  <si>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</si>
  <si>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</si>
  <si>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</si>
  <si>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</si>
  <si>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</si>
  <si>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</si>
  <si>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</si>
  <si>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</si>
  <si>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</si>
  <si>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</si>
  <si>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</si>
  <si>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</si>
  <si>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</si>
  <si>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</si>
  <si>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</si>
  <si>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</si>
  <si>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</si>
  <si>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</si>
  <si>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</si>
  <si>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</si>
  <si>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</si>
  <si>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</si>
  <si>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</si>
  <si>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</si>
  <si>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</si>
  <si>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</si>
  <si>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</si>
  <si>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</si>
  <si>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</si>
  <si>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</si>
  <si>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</si>
  <si>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</si>
  <si>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</si>
  <si>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</si>
  <si>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</si>
  <si>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</si>
  <si>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</si>
  <si>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</si>
  <si>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</si>
  <si>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</si>
  <si>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</si>
  <si>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</si>
  <si>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</si>
  <si>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</si>
  <si>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</si>
  <si>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</si>
  <si>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</si>
  <si>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</si>
  <si>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</si>
  <si>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</si>
  <si>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</si>
  <si>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</si>
  <si>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</si>
  <si>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</si>
  <si>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</si>
  <si>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</si>
  <si>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</si>
  <si>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</si>
  <si>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</si>
  <si>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</si>
  <si>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</si>
  <si>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</si>
  <si>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</si>
  <si>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</si>
  <si>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</si>
  <si>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</si>
  <si>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</si>
  <si>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</si>
  <si>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</si>
  <si>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</si>
  <si>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</si>
  <si>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</si>
  <si>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</si>
  <si>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</si>
  <si>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</si>
  <si>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</si>
  <si>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</si>
  <si>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</si>
  <si>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</si>
  <si>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</si>
  <si>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</si>
  <si>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</si>
  <si>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</si>
  <si>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</si>
  <si>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</si>
  <si>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</si>
  <si>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</si>
  <si>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</si>
  <si>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</si>
  <si>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</si>
  <si>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</si>
  <si>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</si>
  <si>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</si>
  <si>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</si>
  <si>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</si>
  <si>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</si>
  <si>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</si>
  <si>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</si>
  <si>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</si>
  <si>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</si>
  <si>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</si>
  <si>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</si>
  <si>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</si>
  <si>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</si>
  <si>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</si>
  <si>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</si>
  <si>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</si>
  <si>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</si>
  <si>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</si>
  <si>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</si>
  <si>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</si>
  <si>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</si>
  <si>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</si>
  <si>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</si>
  <si>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</si>
  <si>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</si>
  <si>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</si>
  <si>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</si>
  <si>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</si>
  <si>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</si>
  <si>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</si>
  <si>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</si>
  <si>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</si>
  <si>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</si>
  <si>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</si>
  <si>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</si>
  <si>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</si>
  <si>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</si>
  <si>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</si>
  <si>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</si>
  <si>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</si>
  <si>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</si>
  <si>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</si>
  <si>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</si>
  <si>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</si>
  <si>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</si>
  <si>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</si>
  <si>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</si>
  <si>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</si>
  <si>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</si>
  <si>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</si>
  <si>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</si>
  <si>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</si>
  <si>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</si>
  <si>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</si>
  <si>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</si>
  <si>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</si>
  <si>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</si>
  <si>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</si>
  <si>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</si>
  <si>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</si>
  <si>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</si>
  <si>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</si>
  <si>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</si>
  <si>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</si>
  <si>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</si>
  <si>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</si>
  <si>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</si>
  <si>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</si>
  <si>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</si>
  <si>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</si>
  <si>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</si>
  <si>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</si>
  <si>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</si>
  <si>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</si>
  <si>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</si>
  <si>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</si>
  <si>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</si>
  <si>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</si>
  <si>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</si>
  <si>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</si>
  <si>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</si>
  <si>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</si>
  <si>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</si>
  <si>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</si>
  <si>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</si>
  <si>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</si>
  <si>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</si>
  <si>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</si>
  <si>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</si>
  <si>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</si>
  <si>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</si>
  <si>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</si>
  <si>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</si>
  <si>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</si>
  <si>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</si>
  <si>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</si>
  <si>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</si>
  <si>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</si>
  <si>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</si>
  <si>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</si>
  <si>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</si>
  <si>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</si>
  <si>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</si>
  <si>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</si>
  <si>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</si>
  <si>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</si>
  <si>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</si>
  <si>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</si>
  <si>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</si>
  <si>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</si>
  <si>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</si>
  <si>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</si>
  <si>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</si>
  <si>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</si>
  <si>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</si>
  <si>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</si>
  <si>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</si>
  <si>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</si>
  <si>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</si>
  <si>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</si>
  <si>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</si>
  <si>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</si>
  <si>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</si>
  <si>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</si>
  <si>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</si>
  <si>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</si>
  <si>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</si>
  <si>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</si>
  <si>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</si>
  <si>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</si>
  <si>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</si>
  <si>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</si>
  <si>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</si>
  <si>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</si>
  <si>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</si>
  <si>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</si>
  <si>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</si>
  <si>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</si>
  <si>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</si>
  <si>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</si>
  <si>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</si>
  <si>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</si>
  <si>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</si>
  <si>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</si>
  <si>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</si>
  <si>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</si>
  <si>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</si>
  <si>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</si>
  <si>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</si>
  <si>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</si>
  <si>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</si>
  <si>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</si>
  <si>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</si>
  <si>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</si>
  <si>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</si>
  <si>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</si>
  <si>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</si>
  <si>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</si>
  <si>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</si>
  <si>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</si>
  <si>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</si>
  <si>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</si>
  <si>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</si>
  <si>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</si>
  <si>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</si>
  <si>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</si>
  <si>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</si>
  <si>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</si>
  <si>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</si>
  <si>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</si>
  <si>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</si>
  <si>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</si>
  <si>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</si>
  <si>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</si>
  <si>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</si>
  <si>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</si>
  <si>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</si>
  <si>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</si>
  <si>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</si>
  <si>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</si>
  <si>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</si>
  <si>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</si>
  <si>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</si>
  <si>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</si>
  <si>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</si>
  <si>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</si>
  <si>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</si>
  <si>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</si>
  <si>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</si>
  <si>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</si>
  <si>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</si>
  <si>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</si>
  <si>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</si>
  <si>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</si>
  <si>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</si>
  <si>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</si>
  <si>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</si>
  <si>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</si>
  <si>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</si>
  <si>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</si>
  <si>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</si>
  <si>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</si>
  <si>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</si>
  <si>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</si>
  <si>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</si>
  <si>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</si>
  <si>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</si>
  <si>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</si>
  <si>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</si>
  <si>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</si>
  <si>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</si>
  <si>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</si>
  <si>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</si>
  <si>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</si>
  <si>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</si>
  <si>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</si>
  <si>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</si>
  <si>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</si>
  <si>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</si>
  <si>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</si>
  <si>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</si>
  <si>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</si>
  <si>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</si>
  <si>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</si>
  <si>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</si>
  <si>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</si>
  <si>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</si>
  <si>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</si>
  <si>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</si>
  <si>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</si>
  <si>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</si>
  <si>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</si>
  <si>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</si>
  <si>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</si>
  <si>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</si>
  <si>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</si>
  <si>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</si>
  <si>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</si>
  <si>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</si>
  <si>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</si>
  <si>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</si>
  <si>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</si>
  <si>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</si>
  <si>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</si>
  <si>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</si>
  <si>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</si>
  <si>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</si>
  <si>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</si>
  <si>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</si>
  <si>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</si>
  <si>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</si>
  <si>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</si>
  <si>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</si>
  <si>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</si>
  <si>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</si>
  <si>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</si>
  <si>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</si>
  <si>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</si>
  <si>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</si>
  <si>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</si>
  <si>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</si>
  <si>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</si>
  <si>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</si>
  <si>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</si>
  <si>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</si>
  <si>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</si>
  <si>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</si>
  <si>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</si>
  <si>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</si>
  <si>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</si>
  <si>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</si>
  <si>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</si>
  <si>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</si>
  <si>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</si>
  <si>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</si>
  <si>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</si>
  <si>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</si>
  <si>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</si>
  <si>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</si>
  <si>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</si>
  <si>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</si>
  <si>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</si>
  <si>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</si>
  <si>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</si>
  <si>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</si>
  <si>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</si>
  <si>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</si>
  <si>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</si>
  <si>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</si>
  <si>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</si>
  <si>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</si>
  <si>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</si>
  <si>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</si>
  <si>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</si>
  <si>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</si>
  <si>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</si>
  <si>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</si>
  <si>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</si>
  <si>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</si>
  <si>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</si>
  <si>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</si>
  <si>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</si>
  <si>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</si>
  <si>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</si>
  <si>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</si>
  <si>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</si>
  <si>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</si>
  <si>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</si>
  <si>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</si>
  <si>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</si>
  <si>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</si>
  <si>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</si>
  <si>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</si>
  <si>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</si>
  <si>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</si>
  <si>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</si>
  <si>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</si>
  <si>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</si>
  <si>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</si>
  <si>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</si>
  <si>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</si>
  <si>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</si>
  <si>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</si>
  <si>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</si>
  <si>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</si>
  <si>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</si>
  <si>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</si>
  <si>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</si>
  <si>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</si>
  <si>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</si>
  <si>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</si>
  <si>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</si>
  <si>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</si>
  <si>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</si>
  <si>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</si>
  <si>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</si>
  <si>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</si>
  <si>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</si>
  <si>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</si>
  <si>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</si>
  <si>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</si>
  <si>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</si>
  <si>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</si>
  <si>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</si>
  <si>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</si>
  <si>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</si>
  <si>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</si>
  <si>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</si>
  <si>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</si>
  <si>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</si>
  <si>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</si>
  <si>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</si>
  <si>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</si>
  <si>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</si>
  <si>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</si>
  <si>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</si>
  <si>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</si>
  <si>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</si>
  <si>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</si>
  <si>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</si>
  <si>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</si>
  <si>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</si>
  <si>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</si>
  <si>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</si>
  <si>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</si>
  <si>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</si>
  <si>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</si>
  <si>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</si>
  <si>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</si>
  <si>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</si>
  <si>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</si>
  <si>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</si>
  <si>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</si>
  <si>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</si>
  <si>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</si>
  <si>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</si>
  <si>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</si>
  <si>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</si>
  <si>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</si>
  <si>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</si>
  <si>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</si>
  <si>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</si>
  <si>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</si>
  <si>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</si>
  <si>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</si>
  <si>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</si>
  <si>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</si>
  <si>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</si>
  <si>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</si>
  <si>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</si>
  <si>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</si>
  <si>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</si>
  <si>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</si>
  <si>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</si>
  <si>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</si>
  <si>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</si>
  <si>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</si>
  <si>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</si>
  <si>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</si>
  <si>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</si>
  <si>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</si>
  <si>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</si>
  <si>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</si>
  <si>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</si>
  <si>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</si>
  <si>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</si>
  <si>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</si>
  <si>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</si>
  <si>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</si>
  <si>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</si>
  <si>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</si>
  <si>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</si>
  <si>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</si>
  <si>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</si>
  <si>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</si>
  <si>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</si>
  <si>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</si>
  <si>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</si>
  <si>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</si>
  <si>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</si>
  <si>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</si>
  <si>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</si>
  <si>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</si>
  <si>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</si>
  <si>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</si>
  <si>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</si>
  <si>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</si>
  <si>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</si>
  <si>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</si>
  <si>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</si>
  <si>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</si>
  <si>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</si>
  <si>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</si>
  <si>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</si>
  <si>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</si>
  <si>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</si>
  <si>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</si>
  <si>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</si>
  <si>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</si>
  <si>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</si>
  <si>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</si>
  <si>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</si>
  <si>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</si>
  <si>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</si>
  <si>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</si>
  <si>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</si>
  <si>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</si>
  <si>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</si>
  <si>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</si>
  <si>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</si>
  <si>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</si>
  <si>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</si>
  <si>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</si>
  <si>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</si>
  <si>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</si>
  <si>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</si>
  <si>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</si>
  <si>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</si>
  <si>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</si>
  <si>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</si>
  <si>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</si>
  <si>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</si>
  <si>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</si>
  <si>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</si>
  <si>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</si>
  <si>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</si>
  <si>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</si>
  <si>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</si>
  <si>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</si>
  <si>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</si>
  <si>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</si>
  <si>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</si>
  <si>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</si>
  <si>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</si>
  <si>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</si>
  <si>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</si>
  <si>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</si>
  <si>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</si>
  <si>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</si>
  <si>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</si>
  <si>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</si>
  <si>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</si>
  <si>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</si>
  <si>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</si>
  <si>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</si>
  <si>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</si>
  <si>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</si>
  <si>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</si>
  <si>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</si>
  <si>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</si>
  <si>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</si>
  <si>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</si>
  <si>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</si>
  <si>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</si>
  <si>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</si>
  <si>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</si>
  <si>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</si>
  <si>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</si>
  <si>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</si>
  <si>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</si>
  <si>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</si>
  <si>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</si>
  <si>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</si>
  <si>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</si>
  <si>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</si>
  <si>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</si>
  <si>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</si>
  <si>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</si>
  <si>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</si>
  <si>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</si>
  <si>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</si>
  <si>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</si>
  <si>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</si>
  <si>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</si>
  <si>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</si>
  <si>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</si>
  <si>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</si>
  <si>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</si>
  <si>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</si>
  <si>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</si>
  <si>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</si>
  <si>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</si>
  <si>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</si>
  <si>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</si>
  <si>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</si>
  <si>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</si>
  <si>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</si>
  <si>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</si>
  <si>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</si>
  <si>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</si>
  <si>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</si>
  <si>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</si>
  <si>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</si>
  <si>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</si>
  <si>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</si>
  <si>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</si>
  <si>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</si>
  <si>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</si>
  <si>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</si>
  <si>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</si>
  <si>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</si>
  <si>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</si>
  <si>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</si>
  <si>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</si>
  <si>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</si>
  <si>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</si>
  <si>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</si>
  <si>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</si>
  <si>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</si>
  <si>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</si>
  <si>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</si>
  <si>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</si>
  <si>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</si>
  <si>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</si>
  <si>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</si>
  <si>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</si>
  <si>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</si>
  <si>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</si>
  <si>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</si>
  <si>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</si>
  <si>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</si>
  <si>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</si>
  <si>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</si>
  <si>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</si>
  <si>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</si>
  <si>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</si>
  <si>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</si>
  <si>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</si>
  <si>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</si>
  <si>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</si>
  <si>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</si>
  <si>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</si>
  <si>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</si>
  <si>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</si>
  <si>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</si>
  <si>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</si>
  <si>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</si>
  <si>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</si>
  <si>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</si>
  <si>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</si>
  <si>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</si>
  <si>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</si>
  <si>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</si>
  <si>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</si>
  <si>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</si>
  <si>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</si>
  <si>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</si>
  <si>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</si>
  <si>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</si>
  <si>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</si>
  <si>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</si>
  <si>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</si>
  <si>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</si>
  <si>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</si>
  <si>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</si>
  <si>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</si>
  <si>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</si>
  <si>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</si>
  <si>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</si>
  <si>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</si>
  <si>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</si>
  <si>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</si>
  <si>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</si>
  <si>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</si>
  <si>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</si>
  <si>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</si>
  <si>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</si>
  <si>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</si>
  <si>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</si>
  <si>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</si>
  <si>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</si>
  <si>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</si>
  <si>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</si>
  <si>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</si>
  <si>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</si>
  <si>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</si>
  <si>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</si>
  <si>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</si>
  <si>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</si>
  <si>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</si>
  <si>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</si>
  <si>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</si>
  <si>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</si>
  <si>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</si>
  <si>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</si>
  <si>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</si>
  <si>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</si>
  <si>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</si>
  <si>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</si>
  <si>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</si>
  <si>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</si>
  <si>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</si>
  <si>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</si>
  <si>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</si>
  <si>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</si>
  <si>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</si>
  <si>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</si>
  <si>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</si>
  <si>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</si>
  <si>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</si>
  <si>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</si>
  <si>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</si>
  <si>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</si>
  <si>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</si>
  <si>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</si>
  <si>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</si>
  <si>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</si>
  <si>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</si>
  <si>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</si>
  <si>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</si>
  <si>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</si>
  <si>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</si>
  <si>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</si>
  <si>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</si>
  <si>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</si>
  <si>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</si>
  <si>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</si>
  <si>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</si>
  <si>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</si>
  <si>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</si>
  <si>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</si>
  <si>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</si>
  <si>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</si>
  <si>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</si>
  <si>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</si>
  <si>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</si>
  <si>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</si>
  <si>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</si>
  <si>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</si>
  <si>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</si>
  <si>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</si>
  <si>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</si>
  <si>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</si>
  <si>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</si>
  <si>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</si>
  <si>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</si>
  <si>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</si>
  <si>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</si>
  <si>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</si>
  <si>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</si>
  <si>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</si>
  <si>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</si>
  <si>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</si>
  <si>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</si>
  <si>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</si>
  <si>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</si>
  <si>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</si>
  <si>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</si>
  <si>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</si>
  <si>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</si>
  <si>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</si>
  <si>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</si>
  <si>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</si>
  <si>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</si>
  <si>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</si>
  <si>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</si>
  <si>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</si>
  <si>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</si>
  <si>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</si>
  <si>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</si>
  <si>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</si>
  <si>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</si>
  <si>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</si>
  <si>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</si>
  <si>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</si>
  <si>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</si>
  <si>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</si>
  <si>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</si>
  <si>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</si>
  <si>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</si>
  <si>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</si>
  <si>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</si>
  <si>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</si>
  <si>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</si>
  <si>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</si>
  <si>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</si>
  <si>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</si>
  <si>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</si>
  <si>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</si>
  <si>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</si>
  <si>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</si>
  <si>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</si>
  <si>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</si>
  <si>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</si>
  <si>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</si>
  <si>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</si>
  <si>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</si>
  <si>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</si>
  <si>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</si>
  <si>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</si>
  <si>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</si>
  <si>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</si>
  <si>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</si>
  <si>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</si>
  <si>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</si>
  <si>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</si>
  <si>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</si>
  <si>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</si>
  <si>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</si>
  <si>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</si>
  <si>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</si>
  <si>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</si>
  <si>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</si>
  <si>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</si>
  <si>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</si>
  <si>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</si>
  <si>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</si>
  <si>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</si>
  <si>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</si>
  <si>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</si>
  <si>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</si>
  <si>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</si>
  <si>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</si>
  <si>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</si>
  <si>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</si>
  <si>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</si>
  <si>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</si>
  <si>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</si>
  <si>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</si>
  <si>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</si>
  <si>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</si>
  <si>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</si>
  <si>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</si>
  <si>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</si>
  <si>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</si>
  <si>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</si>
  <si>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</si>
  <si>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</si>
  <si>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</si>
  <si>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</si>
  <si>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</si>
  <si>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</si>
  <si>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</si>
  <si>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</si>
  <si>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</si>
  <si>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</si>
  <si>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</si>
  <si>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</si>
  <si>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</si>
  <si>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</si>
  <si>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</si>
  <si>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</si>
  <si>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</si>
  <si>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</si>
  <si>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</si>
  <si>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</si>
  <si>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</si>
  <si>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</si>
  <si>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</si>
  <si>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</si>
  <si>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</si>
  <si>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</si>
  <si>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</si>
  <si>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</si>
  <si>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</si>
  <si>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</si>
  <si>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</si>
  <si>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</si>
  <si>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</si>
  <si>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</si>
  <si>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</si>
  <si>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</si>
  <si>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</si>
  <si>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</si>
  <si>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</si>
  <si>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</si>
  <si>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</si>
  <si>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</si>
  <si>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</si>
  <si>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</si>
  <si>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</si>
  <si>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</si>
  <si>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</si>
  <si>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</si>
  <si>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</si>
  <si>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</si>
  <si>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</si>
  <si>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</si>
  <si>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</si>
  <si>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</si>
  <si>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</si>
  <si>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</si>
  <si>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</si>
  <si>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</si>
  <si>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</si>
  <si>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</si>
  <si>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</si>
  <si>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</si>
  <si>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</si>
  <si>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</si>
  <si>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</si>
  <si>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</si>
  <si>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</si>
  <si>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</si>
  <si>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</si>
  <si>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</si>
  <si>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</si>
  <si>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</si>
  <si>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</si>
  <si>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</si>
  <si>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</si>
  <si>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</si>
  <si>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</si>
  <si>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</si>
  <si>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</si>
  <si>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</si>
  <si>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</si>
  <si>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</si>
  <si>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</si>
  <si>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</si>
  <si>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</si>
  <si>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</si>
  <si>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</si>
  <si>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</si>
  <si>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</si>
  <si>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</si>
  <si>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</si>
  <si>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</si>
  <si>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</si>
  <si>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</si>
  <si>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</si>
  <si>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</si>
  <si>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</si>
  <si>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</si>
  <si>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</si>
  <si>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</si>
  <si>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</si>
  <si>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</si>
  <si>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</si>
  <si>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</si>
  <si>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</si>
  <si>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</si>
  <si>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</si>
  <si>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</si>
  <si>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</si>
  <si>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</si>
  <si>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</si>
  <si>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</si>
  <si>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</si>
  <si>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</si>
  <si>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</si>
  <si>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</si>
  <si>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</si>
  <si>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</si>
  <si>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</si>
  <si>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</si>
  <si>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</si>
  <si>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</si>
  <si>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</si>
  <si>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</si>
  <si>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</si>
  <si>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</si>
  <si>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</si>
  <si>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</si>
  <si>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</si>
  <si>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</si>
  <si>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</si>
  <si>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</si>
  <si>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</si>
  <si>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</si>
  <si>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</si>
  <si>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</si>
  <si>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</si>
  <si>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</si>
  <si>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</si>
  <si>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</si>
  <si>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</si>
  <si>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</si>
  <si>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</si>
  <si>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</si>
  <si>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</si>
  <si>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</si>
  <si>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</si>
  <si>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</si>
  <si>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</si>
  <si>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</si>
  <si>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</si>
  <si>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</si>
  <si>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</si>
  <si>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</si>
  <si>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</si>
  <si>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</si>
  <si>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</si>
  <si>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</si>
  <si>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</si>
  <si>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</si>
  <si>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</si>
  <si>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</si>
  <si>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</si>
  <si>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</si>
  <si>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</si>
  <si>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</si>
  <si>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</si>
  <si>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</si>
  <si>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</si>
  <si>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</si>
  <si>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</si>
  <si>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</si>
  <si>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</si>
  <si>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</si>
  <si>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</si>
  <si>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</si>
  <si>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</si>
  <si>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</si>
  <si>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</si>
  <si>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</si>
  <si>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</si>
  <si>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</si>
  <si>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</si>
  <si>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</si>
  <si>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</si>
  <si>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</si>
  <si>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</si>
  <si>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</si>
  <si>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</si>
  <si>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</si>
  <si>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</si>
  <si>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</si>
  <si>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</si>
  <si>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</si>
  <si>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</si>
  <si>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</si>
  <si>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</si>
  <si>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</si>
  <si>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</si>
  <si>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</si>
  <si>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</si>
  <si>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</si>
  <si>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</si>
  <si>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</si>
  <si>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</si>
  <si>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</si>
  <si>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</si>
  <si>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</si>
  <si>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</si>
  <si>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</si>
  <si>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</si>
  <si>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</si>
  <si>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</si>
  <si>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</si>
  <si>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</si>
  <si>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</si>
  <si>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</si>
  <si>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</si>
  <si>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</si>
  <si>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</si>
  <si>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</si>
  <si>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</si>
  <si>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</si>
  <si>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</si>
  <si>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</si>
  <si>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</si>
  <si>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</si>
  <si>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</si>
  <si>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</si>
  <si>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</si>
  <si>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</si>
  <si>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</si>
  <si>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</si>
  <si>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</si>
  <si>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</si>
  <si>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</si>
  <si>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</si>
  <si>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</si>
  <si>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</si>
  <si>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</si>
  <si>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</si>
  <si>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</si>
  <si>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</si>
  <si>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</si>
  <si>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</si>
  <si>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</si>
  <si>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</si>
  <si>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</si>
  <si>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</si>
  <si>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</si>
  <si>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</si>
  <si>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</si>
  <si>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</si>
  <si>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</si>
  <si>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</si>
  <si>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</si>
  <si>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</si>
  <si>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</si>
  <si>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</si>
  <si>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</si>
  <si>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</si>
  <si>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</si>
  <si>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</si>
  <si>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</si>
  <si>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</si>
  <si>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</si>
  <si>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</si>
  <si>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</si>
  <si>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</si>
  <si>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</si>
  <si>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</si>
  <si>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</si>
  <si>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</si>
  <si>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</si>
  <si>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</si>
  <si>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</si>
  <si>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</si>
  <si>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</si>
  <si>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</si>
  <si>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</si>
  <si>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</si>
  <si>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</si>
  <si>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</si>
  <si>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</si>
  <si>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</si>
  <si>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</si>
  <si>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</si>
  <si>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</si>
  <si>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</si>
  <si>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</si>
  <si>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</si>
  <si>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</si>
  <si>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</si>
  <si>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</si>
  <si>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</si>
  <si>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</si>
  <si>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</si>
  <si>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</si>
  <si>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</si>
  <si>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</si>
  <si>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</si>
  <si>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</si>
  <si>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</si>
  <si>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</si>
  <si>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</si>
  <si>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</si>
  <si>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</si>
  <si>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</si>
  <si>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</si>
  <si>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</si>
  <si>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</si>
  <si>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</si>
  <si>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</si>
  <si>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</si>
  <si>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</si>
  <si>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</si>
  <si>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</si>
  <si>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</si>
  <si>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</si>
  <si>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</si>
  <si>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</si>
  <si>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</si>
  <si>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</si>
  <si>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</si>
  <si>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</si>
  <si>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</si>
  <si>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</si>
  <si>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</si>
  <si>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</si>
  <si>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</si>
  <si>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</si>
  <si>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</si>
  <si>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</si>
  <si>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</si>
  <si>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</si>
  <si>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</si>
  <si>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</si>
  <si>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</si>
  <si>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</si>
  <si>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</si>
  <si>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</si>
  <si>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</si>
  <si>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</si>
  <si>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</si>
  <si>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</si>
  <si>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</si>
  <si>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</si>
  <si>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</si>
  <si>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</si>
  <si>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</si>
  <si>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</si>
  <si>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</si>
  <si>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</si>
  <si>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</si>
  <si>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</si>
  <si>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</si>
  <si>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</si>
  <si>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</si>
  <si>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</si>
  <si>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</si>
  <si>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</si>
  <si>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</si>
  <si>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</si>
  <si>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</si>
  <si>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</si>
  <si>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</si>
  <si>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</si>
  <si>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</si>
  <si>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</si>
  <si>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</si>
  <si>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</si>
  <si>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</si>
  <si>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</si>
  <si>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</si>
  <si>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</si>
  <si>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</si>
  <si>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</si>
  <si>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</si>
  <si>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</si>
  <si>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</si>
  <si>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</si>
  <si>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</si>
  <si>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</si>
  <si>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</si>
  <si>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</si>
  <si>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</si>
  <si>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</si>
  <si>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</si>
  <si>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</si>
  <si>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</si>
  <si>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</si>
  <si>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</si>
  <si>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</si>
  <si>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</si>
  <si>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</si>
  <si>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</si>
  <si>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</si>
  <si>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</si>
  <si>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</si>
  <si>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</si>
  <si>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</si>
  <si>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</si>
  <si>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</si>
  <si>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</si>
  <si>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</si>
  <si>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</si>
  <si>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</si>
  <si>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</si>
  <si>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</si>
  <si>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</si>
  <si>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</si>
  <si>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</si>
  <si>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</si>
  <si>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</si>
  <si>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</si>
  <si>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</si>
  <si>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</si>
  <si>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</si>
  <si>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</si>
  <si>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</si>
  <si>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</si>
  <si>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</si>
  <si>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</si>
  <si>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</si>
  <si>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</si>
  <si>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</si>
  <si>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</si>
  <si>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</si>
  <si>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</si>
  <si>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</si>
  <si>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</si>
  <si>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</si>
  <si>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</si>
  <si>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</si>
  <si>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</si>
  <si>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</si>
  <si>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</si>
  <si>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</si>
  <si>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</si>
  <si>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</si>
  <si>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</si>
  <si>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</si>
  <si>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</si>
  <si>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</si>
  <si>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</si>
  <si>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</si>
  <si>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</si>
  <si>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</si>
  <si>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</si>
  <si>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</si>
  <si>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</si>
  <si>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</si>
  <si>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</si>
  <si>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</si>
  <si>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</si>
  <si>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</si>
  <si>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</si>
  <si>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</si>
  <si>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</si>
  <si>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</si>
  <si>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</si>
  <si>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</si>
  <si>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</si>
  <si>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</si>
  <si>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</si>
  <si>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</si>
  <si>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</si>
  <si>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</si>
  <si>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</si>
  <si>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</si>
  <si>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</si>
  <si>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</si>
  <si>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</si>
  <si>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</si>
  <si>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</si>
  <si>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</si>
  <si>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</si>
  <si>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</si>
  <si>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</si>
  <si>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</si>
  <si>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</si>
  <si>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</si>
  <si>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</si>
  <si>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</si>
  <si>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</si>
  <si>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</si>
  <si>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</si>
  <si>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</si>
  <si>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</si>
  <si>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</si>
  <si>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</si>
  <si>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</si>
  <si>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</si>
  <si>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</si>
  <si>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</si>
  <si>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</si>
  <si>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</si>
  <si>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</si>
  <si>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</si>
  <si>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</si>
  <si>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</si>
  <si>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</si>
  <si>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</si>
  <si>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</si>
  <si>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</si>
  <si>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</si>
  <si>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</si>
  <si>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</si>
  <si>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</si>
  <si>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</si>
  <si>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</si>
  <si>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</si>
  <si>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</si>
  <si>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</si>
  <si>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</si>
  <si>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</si>
  <si>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</si>
  <si>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</si>
  <si>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</si>
  <si>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</si>
  <si>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</si>
  <si>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</si>
  <si>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</si>
  <si>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</si>
  <si>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</si>
  <si>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</si>
  <si>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</si>
  <si>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</si>
  <si>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</si>
  <si>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</si>
  <si>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</si>
  <si>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</si>
  <si>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</si>
  <si>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</si>
  <si>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</si>
  <si>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</si>
  <si>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</si>
  <si>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</si>
  <si>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</si>
  <si>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</si>
  <si>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</si>
  <si>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</si>
  <si>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</si>
  <si>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</si>
  <si>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</si>
  <si>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</si>
  <si>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</si>
  <si>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</si>
  <si>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</si>
  <si>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</si>
  <si>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</si>
  <si>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</si>
  <si>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</si>
  <si>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</si>
  <si>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</si>
  <si>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</si>
  <si>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</si>
  <si>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</si>
  <si>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</si>
  <si>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</si>
  <si>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</si>
  <si>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</si>
  <si>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</si>
  <si>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</si>
  <si>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</si>
  <si>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</si>
  <si>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</si>
  <si>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</si>
  <si>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</si>
  <si>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</si>
  <si>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</si>
  <si>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</si>
  <si>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</si>
  <si>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</si>
  <si>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</si>
  <si>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</si>
  <si>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</si>
  <si>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</si>
  <si>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</si>
  <si>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</si>
  <si>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</si>
  <si>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</si>
  <si>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</si>
  <si>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</si>
  <si>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</si>
  <si>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</si>
  <si>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</si>
  <si>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</si>
  <si>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</si>
  <si>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</si>
  <si>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</si>
  <si>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</si>
  <si>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</si>
  <si>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</si>
  <si>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</si>
  <si>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</si>
  <si>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</si>
  <si>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</si>
  <si>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</si>
  <si>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</si>
  <si>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</si>
  <si>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</si>
  <si>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</si>
  <si>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</si>
  <si>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</si>
  <si>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</si>
  <si>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</si>
  <si>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</si>
  <si>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</si>
  <si>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</si>
  <si>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</si>
  <si>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</si>
  <si>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</si>
  <si>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</si>
  <si>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</si>
  <si>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</si>
  <si>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</si>
  <si>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</si>
  <si>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</si>
  <si>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</si>
  <si>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</si>
  <si>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</si>
  <si>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</si>
  <si>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</si>
  <si>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</si>
  <si>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</si>
  <si>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</si>
  <si>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</si>
  <si>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</si>
  <si>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</si>
  <si>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</si>
  <si>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</si>
  <si>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</si>
  <si>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</si>
  <si>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</si>
  <si>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</si>
  <si>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</si>
  <si>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</si>
  <si>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</si>
  <si>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</si>
  <si>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</si>
  <si>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</si>
  <si>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</si>
  <si>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</si>
  <si>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</si>
  <si>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</si>
  <si>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</si>
  <si>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</si>
  <si>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</si>
  <si>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</si>
  <si>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</si>
  <si>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</si>
  <si>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</si>
  <si>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</si>
  <si>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</si>
  <si>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</si>
  <si>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</si>
  <si>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</si>
  <si>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</si>
  <si>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</si>
  <si>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</si>
  <si>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</si>
  <si>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</si>
  <si>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</si>
  <si>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</si>
  <si>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</si>
  <si>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</si>
  <si>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</si>
  <si>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</si>
  <si>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</si>
  <si>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</si>
  <si>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</si>
  <si>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</si>
  <si>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</si>
  <si>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</si>
  <si>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</si>
  <si>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</si>
  <si>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</si>
  <si>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</si>
  <si>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</si>
  <si>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</si>
  <si>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</si>
  <si>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</si>
  <si>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</si>
  <si>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</si>
  <si>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</si>
  <si>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</si>
  <si>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</si>
  <si>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</si>
  <si>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</si>
  <si>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</si>
  <si>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</si>
  <si>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</si>
  <si>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</si>
  <si>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</si>
  <si>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</si>
  <si>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</si>
  <si>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</si>
  <si>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</si>
  <si>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</si>
  <si>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</si>
  <si>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</si>
  <si>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</si>
  <si>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</si>
  <si>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</si>
  <si>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</si>
  <si>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</si>
  <si>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</si>
  <si>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</si>
  <si>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</si>
  <si>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</si>
  <si>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</si>
  <si>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小区</t>
  </si>
  <si>
    <t>平米租金(元/㎡·月)</t>
  </si>
  <si>
    <t>地上</t>
  </si>
  <si>
    <t>是</t>
  </si>
  <si>
    <t>否</t>
  </si>
  <si>
    <t>住宅</t>
    <phoneticPr fontId="7" type="noConversion"/>
  </si>
  <si>
    <t>北京市</t>
  </si>
  <si>
    <t>核定资产</t>
  </si>
  <si>
    <t>房地产市场价值</t>
  </si>
  <si>
    <t>成新度</t>
  </si>
  <si>
    <t>收益法 (元)</t>
  </si>
  <si>
    <t>押一</t>
  </si>
  <si>
    <t>比较法-住宅</t>
  </si>
  <si>
    <t>单套模式</t>
  </si>
  <si>
    <t>售价</t>
  </si>
  <si>
    <t>A</t>
    <phoneticPr fontId="134" type="noConversion"/>
  </si>
  <si>
    <t>南北</t>
  </si>
  <si>
    <t>南北</t>
    <phoneticPr fontId="24" type="noConversion"/>
  </si>
  <si>
    <t>楼层</t>
    <phoneticPr fontId="24" type="noConversion"/>
  </si>
  <si>
    <t>板楼</t>
  </si>
  <si>
    <t>板楼</t>
    <phoneticPr fontId="24" type="noConversion"/>
  </si>
  <si>
    <t>板塔结合</t>
    <phoneticPr fontId="24" type="noConversion"/>
  </si>
  <si>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</si>
  <si>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</si>
  <si>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</si>
  <si>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</si>
  <si>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</si>
  <si>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</si>
  <si>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</si>
  <si>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</si>
  <si>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</si>
  <si>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</si>
  <si>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</si>
  <si>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t>住宅</t>
    <phoneticPr fontId="24" type="noConversion"/>
  </si>
  <si>
    <t>内部装修维护情况</t>
  </si>
  <si>
    <t>正常</t>
  </si>
  <si>
    <t>首创悦树湾</t>
  </si>
  <si>
    <t>首创悦树汇花园</t>
  </si>
  <si>
    <t>首创悦树湾</t>
    <phoneticPr fontId="3" type="noConversion"/>
  </si>
  <si>
    <t>B</t>
    <phoneticPr fontId="134" type="noConversion"/>
  </si>
  <si>
    <t>C</t>
    <phoneticPr fontId="134" type="noConversion"/>
  </si>
  <si>
    <r>
      <t>9/9</t>
    </r>
    <r>
      <rPr>
        <sz val="11"/>
        <color indexed="8"/>
        <rFont val="宋体"/>
        <family val="3"/>
        <charset val="134"/>
      </rPr>
      <t>（顶）</t>
    </r>
    <phoneticPr fontId="24" type="noConversion"/>
  </si>
  <si>
    <r>
      <t>9/11</t>
    </r>
    <r>
      <rPr>
        <sz val="11"/>
        <color indexed="8"/>
        <rFont val="宋体"/>
        <family val="3"/>
        <charset val="134"/>
      </rPr>
      <t>（高）</t>
    </r>
    <phoneticPr fontId="24" type="noConversion"/>
  </si>
  <si>
    <r>
      <t>3/11</t>
    </r>
    <r>
      <rPr>
        <sz val="11"/>
        <color indexed="8"/>
        <rFont val="宋体"/>
        <family val="3"/>
        <charset val="134"/>
      </rPr>
      <t>（低）</t>
    </r>
    <phoneticPr fontId="24" type="noConversion"/>
  </si>
  <si>
    <r>
      <t>5/11</t>
    </r>
    <r>
      <rPr>
        <sz val="11"/>
        <color indexed="8"/>
        <rFont val="宋体"/>
        <family val="3"/>
        <charset val="134"/>
      </rPr>
      <t>（中）</t>
    </r>
    <phoneticPr fontId="24" type="noConversion"/>
  </si>
  <si>
    <t>一般</t>
  </si>
  <si>
    <t>南</t>
  </si>
  <si>
    <t>南</t>
    <phoneticPr fontId="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</si>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</sst>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72" fillId="0" borderId="0" xfId="19" applyNumberFormat="1"/>
    <xf numFmtId="14" fontId="272" fillId="0" borderId="0" xfId="19" applyNumberForma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0" borderId="0" xfId="19" applyNumberFormat="1"/>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441918</xdr:colOff>
      <xdr:row>39</xdr:row>
      <xdr:rowOff>67680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22278" cy="7200000"/>
        </a:xfrm>
        <a:prstGeom prst="rect">
          <a:avLst/>
        </a:prstGeom>
      </xdr:spPr>
    </xdr:pic>
    <xdr:clientData/>
  </xdr:twoCellAnchor>
  <xdr:twoCellAnchor editAs="oneCell">
    <xdr:from>
      <xdr:col>4</xdr:col>
      <xdr:colOff>249060</xdr:colOff>
      <xdr:row>0</xdr:row>
      <xdr:rowOff>0</xdr:rowOff>
    </xdr:from>
    <xdr:to>
      <xdr:col>9</xdr:col>
      <xdr:colOff>523338</xdr:colOff>
      <xdr:row>39</xdr:row>
      <xdr:rowOff>67680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7460" y="0"/>
          <a:ext cx="3322278" cy="7200000"/>
        </a:xfrm>
        <a:prstGeom prst="rect">
          <a:avLst/>
        </a:prstGeom>
      </xdr:spPr>
    </xdr:pic>
    <xdr:clientData/>
  </xdr:twoCellAnchor>
  <xdr:twoCellAnchor editAs="oneCell">
    <xdr:from>
      <xdr:col>8</xdr:col>
      <xdr:colOff>495300</xdr:colOff>
      <xdr:row>0</xdr:row>
      <xdr:rowOff>0</xdr:rowOff>
    </xdr:from>
    <xdr:to>
      <xdr:col>14</xdr:col>
      <xdr:colOff>159978</xdr:colOff>
      <xdr:row>39</xdr:row>
      <xdr:rowOff>67680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2100" y="0"/>
          <a:ext cx="3322278" cy="7200000"/>
        </a:xfrm>
        <a:prstGeom prst="rect">
          <a:avLst/>
        </a:prstGeom>
      </xdr:spPr>
    </xdr:pic>
    <xdr:clientData/>
  </xdr:twoCellAnchor>
  <xdr:twoCellAnchor editAs="oneCell">
    <xdr:from>
      <xdr:col>0</xdr:col>
      <xdr:colOff>472441</xdr:colOff>
      <xdr:row>39</xdr:row>
      <xdr:rowOff>167640</xdr:rowOff>
    </xdr:from>
    <xdr:to>
      <xdr:col>23</xdr:col>
      <xdr:colOff>531276</xdr:colOff>
      <xdr:row>75</xdr:row>
      <xdr:rowOff>63960</xdr:rowOff>
    </xdr:to>
    <xdr:pic>
      <xdr:nvPicPr>
        <xdr:cNvPr id="5" name="图片 4"/>
        <xdr:cNvPicPr>
          <a:picLocks noChangeAspect="1"/>
        </xdr:cNvPicPr>
      </xdr:nvPicPr>
      <xdr:blipFill>
        <a:blip xmlns:r="http://schemas.openxmlformats.org/officeDocument/2006/relationships" r:embed="rId4"/>
        <a:stretch>
          <a:fillRect/>
        </a:stretch>
      </xdr:blipFill>
      <xdr:spPr>
        <a:xfrm>
          <a:off x="472441" y="7299960"/>
          <a:ext cx="13942475" cy="6480000"/>
        </a:xfrm>
        <a:prstGeom prst="rect">
          <a:avLst/>
        </a:prstGeom>
      </xdr:spPr>
    </xdr:pic>
    <xdr:clientData/>
  </xdr:twoCellAnchor>
  <xdr:twoCellAnchor editAs="oneCell">
    <xdr:from>
      <xdr:col>0</xdr:col>
      <xdr:colOff>0</xdr:colOff>
      <xdr:row>75</xdr:row>
      <xdr:rowOff>83820</xdr:rowOff>
    </xdr:from>
    <xdr:to>
      <xdr:col>18</xdr:col>
      <xdr:colOff>156745</xdr:colOff>
      <xdr:row>97</xdr:row>
      <xdr:rowOff>60460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99820"/>
          <a:ext cx="10961905" cy="4000000"/>
        </a:xfrm>
        <a:prstGeom prst="rect">
          <a:avLst/>
        </a:prstGeom>
      </xdr:spPr>
    </xdr:pic>
    <xdr:clientData/>
  </xdr:twoCellAnchor>
  <xdr:twoCellAnchor editAs="oneCell">
    <xdr:from>
      <xdr:col>0</xdr:col>
      <xdr:colOff>0</xdr:colOff>
      <xdr:row>97</xdr:row>
      <xdr:rowOff>0</xdr:rowOff>
    </xdr:from>
    <xdr:to>
      <xdr:col>18</xdr:col>
      <xdr:colOff>232935</xdr:colOff>
      <xdr:row>119</xdr:row>
      <xdr:rowOff>43307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739360"/>
          <a:ext cx="11038095" cy="4066667"/>
        </a:xfrm>
        <a:prstGeom prst="rect">
          <a:avLst/>
        </a:prstGeom>
      </xdr:spPr>
    </xdr:pic>
    <xdr:clientData/>
  </xdr:twoCellAnchor>
  <xdr:twoCellAnchor editAs="oneCell">
    <xdr:from>
      <xdr:col>0</xdr:col>
      <xdr:colOff>0</xdr:colOff>
      <xdr:row>118</xdr:row>
      <xdr:rowOff>76200</xdr:rowOff>
    </xdr:from>
    <xdr:to>
      <xdr:col>16</xdr:col>
      <xdr:colOff>271183</xdr:colOff>
      <xdr:row>139</xdr:row>
      <xdr:rowOff>83339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656040"/>
          <a:ext cx="9857143"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2025年6月25日</v>
      </c>
    </row>
    <row r="13" spans="1:2" s="1203" customFormat="1">
      <c r="A13" s="1201" t="s">
        <v>529</v>
      </c>
      <c r="B13" s="1202"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7" t="s">
        <v>2580</v>
      </c>
      <c r="J2" s="3517"/>
      <c r="K2" s="3517"/>
      <c r="L2" s="3517"/>
      <c r="M2" s="3517"/>
      <c r="N2" s="3517"/>
      <c r="O2" s="3517"/>
      <c r="P2" s="3517"/>
      <c r="Q2" s="3517"/>
      <c r="R2" s="3517"/>
    </row>
    <row r="3" spans="1:18">
      <c r="A3" s="3020" t="s">
        <v>2501</v>
      </c>
      <c r="B3" s="3021">
        <f>项目基本情况!D3</f>
        <v>45833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1.48</v>
      </c>
      <c r="D5" s="3025">
        <f>IF(ISERROR(ROUND(POWER(1+E5,A5-C5)*(POWER(1+E5,C5)-1)/(POWER(1+E5,A5)-1),3)),0,ROUND(POWER(1+E5,A5-C5)*(POWER(1+E5,C5)-1)/(POWER(1+E5,A5)-1),4))</f>
        <v>7.1199999999999999E-2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11.49</v>
      </c>
      <c r="D6" s="3025">
        <f>IF(ISERROR(ROUND(POWER(1+E6,A6-C6)*(POWER(1+E6,C6)-1)/(POWER(1+E6,A6)-1),3)),0,ROUND(POWER(1+E6,A6-C6)*(POWER(1+E6,C6)-1)/(POWER(1+E6,A6)-1),4))</f>
        <v>0.42220000000000002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v>
      </c>
      <c r="D7" s="3025">
        <f>IF(ISERROR(ROUND(POWER(1+E7,A7-C7)*(POWER(1+E7,C7)-1)/(POWER(1+E7,A7)-1),3)),0,ROUND(POWER(1+E7,A7-C7)*(POWER(1+E7,C7)-1)/(POWER(1+E7,A7)-1),4))</f>
        <v>0.75800000000000001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8" t="str">
        <f>IF(B10="北京市","北京市",C10)&amp;F10&amp;IF(结果表!G1="在建","出让国有建设用地使用权及在建建筑物",IF(结果表!G1="土地","出让国有建设用地使用权",))&amp;B9&amp;"预评估"</f>
        <v>北京市房地产市场价值预评估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45833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21" t="s">
        <v>2177</v>
      </c>
      <c r="E8" s="2391"/>
      <c r="F8" s="2392"/>
      <c r="G8" s="2663"/>
      <c r="H8" s="2663"/>
      <c r="I8" s="2663"/>
      <c r="J8" s="2439"/>
      <c r="K8" s="2614"/>
      <c r="L8" s="2613"/>
      <c r="M8" s="2613"/>
      <c r="N8" s="2439"/>
      <c r="O8" s="2450"/>
      <c r="P8" s="2439"/>
      <c r="Q8" s="2439"/>
      <c r="R8" s="2439"/>
    </row>
    <row r="9" spans="1:30" ht="13.8" thickBot="1">
      <c r="A9" s="2393" t="s">
        <v>2178</v>
      </c>
      <c r="B9" s="2394" t="s">
        <v>3420</v>
      </c>
      <c r="C9" s="2395"/>
      <c r="D9" s="3522"/>
      <c r="E9" s="2394"/>
      <c r="F9" s="2396"/>
      <c r="G9" s="2665"/>
      <c r="H9" s="2665"/>
      <c r="I9" s="2665"/>
      <c r="J9" s="2439"/>
      <c r="K9" s="2616"/>
      <c r="L9" s="2613"/>
      <c r="M9" s="2613"/>
      <c r="N9" s="2439"/>
      <c r="O9" s="2450"/>
      <c r="P9" s="2439"/>
      <c r="Q9" s="2439"/>
      <c r="R9" s="2439"/>
    </row>
    <row r="10" spans="1:30" ht="13.8"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3460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67283</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58.76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89.94</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2"/>
      <c r="B30" s="302" t="s">
        <v>2218</v>
      </c>
      <c r="C30" s="3543"/>
      <c r="D30" s="3544"/>
      <c r="E30" s="2664"/>
      <c r="F30" s="2664"/>
      <c r="G30" s="2664"/>
      <c r="H30" s="2664"/>
      <c r="I30" s="2664"/>
      <c r="J30" s="2439"/>
      <c r="K30" s="2616"/>
      <c r="L30" s="2613"/>
      <c r="M30" s="2613"/>
      <c r="N30" s="2439"/>
      <c r="O30" s="2450"/>
      <c r="P30" s="2439"/>
      <c r="Q30" s="2439"/>
      <c r="R30" s="2439"/>
      <c r="S30" s="2439"/>
      <c r="T30" s="2439"/>
      <c r="U30" s="2439"/>
      <c r="V30" s="2439"/>
    </row>
    <row r="31" spans="1:28">
      <c r="A31" s="354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0" t="s">
        <v>2228</v>
      </c>
      <c r="T34" s="2428" t="str">
        <f>NUMBERSTRING(7-K34,1)&amp;"通"</f>
        <v>七通</v>
      </c>
      <c r="U34" s="2439"/>
      <c r="V34" s="2439"/>
    </row>
    <row r="35" spans="1:30">
      <c r="A35" s="2429"/>
      <c r="B35" s="3547" t="s">
        <v>2229</v>
      </c>
      <c r="C35" s="3547"/>
      <c r="D35" s="3547"/>
      <c r="E35" s="354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89.94</v>
      </c>
      <c r="H5" s="13">
        <f t="shared" ref="H5:AT5" si="0">SUM(H13:H656)</f>
        <v>89.94</v>
      </c>
      <c r="I5" s="13">
        <f t="shared" si="0"/>
        <v>89.94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89.94</v>
      </c>
      <c r="BA5" s="15">
        <f t="shared" si="1"/>
        <v>89.94</v>
      </c>
      <c r="BB5" s="15">
        <f t="shared" si="1"/>
        <v>89.94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3415</v>
      </c>
      <c r="E13" s="13">
        <f>IF($C$3="是",ROUND($A$3*G13/$B$3,2),ROUND($A$3*(G13-AT13)/$B$3,2))</f>
        <v>0</v>
      </c>
      <c r="F13" s="29"/>
      <c r="G13" s="30">
        <f>H13+AC13+AT13</f>
        <v>89.94</v>
      </c>
      <c r="H13" s="17">
        <f>SUMIF(I$12:AB$12,"总值",I13:AB13)</f>
        <v>89.94</v>
      </c>
      <c r="I13" s="1626">
        <v>89.94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89.94</v>
      </c>
      <c r="BA13" s="13">
        <f>SUM(BB13:BK13)</f>
        <v>89.94</v>
      </c>
      <c r="BB13" s="13">
        <f>IF($D13="是",I13-J13,0)</f>
        <v>89.94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t="s">
        <v>3416</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t="s">
        <v>3416</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t="s">
        <v>3416</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9"/>
      <c r="G2" s="2650"/>
      <c r="H2" s="2651"/>
      <c r="I2" s="2325" t="s">
        <v>1132</v>
      </c>
      <c r="J2" s="2659"/>
      <c r="K2" s="2659"/>
      <c r="L2" s="2659"/>
      <c r="M2" s="2659"/>
      <c r="N2" s="2661"/>
      <c r="O2" s="2659"/>
      <c r="P2" s="2659"/>
    </row>
    <row r="3" spans="1:16" ht="15" thickBot="1">
      <c r="A3" s="3558" t="s">
        <v>1105</v>
      </c>
      <c r="B3" s="3558"/>
      <c r="C3" s="3558"/>
      <c r="D3" s="43">
        <f>'数据-基础表'!AY6</f>
        <v>0</v>
      </c>
      <c r="E3" s="43">
        <f>'数据-基础表'!AZ5</f>
        <v>89.94</v>
      </c>
      <c r="F3" s="2659"/>
      <c r="G3" s="1145"/>
      <c r="H3" s="1026" t="s">
        <v>1106</v>
      </c>
      <c r="I3" s="855" t="e">
        <f>ROUND('数据-基础表'!B3/'数据-基础表'!A3,2)</f>
        <v>#DIV/0!</v>
      </c>
      <c r="J3" s="2659"/>
      <c r="K3" s="2659"/>
      <c r="L3" s="2659"/>
      <c r="M3" s="2659"/>
      <c r="N3" s="2661"/>
      <c r="O3" s="2659"/>
      <c r="P3" s="2659"/>
    </row>
    <row r="4" spans="1:16" ht="14.4">
      <c r="A4" s="3559"/>
      <c r="B4" s="3560"/>
      <c r="C4" s="356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2" t="s">
        <v>1110</v>
      </c>
      <c r="C5" s="3562"/>
      <c r="D5" s="45">
        <f>ROUND($D$3*E5/$E$3,2)</f>
        <v>0</v>
      </c>
      <c r="E5" s="46">
        <f>SUMIF('数据-基础表'!$11:$11,"住宅",'数据-基础表'!$5:$5)</f>
        <v>89.94</v>
      </c>
      <c r="F5" s="2659"/>
      <c r="G5" s="1145"/>
      <c r="H5" s="1026" t="s">
        <v>1106</v>
      </c>
      <c r="I5" s="855" t="e">
        <f>ROUND(E31/D31,2)</f>
        <v>#DIV/0!</v>
      </c>
      <c r="J5" s="2659"/>
      <c r="K5" s="2659"/>
      <c r="L5" s="2659"/>
      <c r="M5" s="2659"/>
      <c r="N5" s="2659"/>
      <c r="O5" s="2659"/>
      <c r="P5" s="2659"/>
    </row>
    <row r="6" spans="1:16" ht="15" thickBot="1">
      <c r="A6" s="1644"/>
      <c r="B6" s="3562" t="s">
        <v>1111</v>
      </c>
      <c r="C6" s="356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4"/>
      <c r="B7" s="3555"/>
      <c r="C7" s="355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89.94</v>
      </c>
      <c r="F16" s="2659"/>
      <c r="G16" s="2660"/>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3417</v>
      </c>
      <c r="D19" s="45">
        <f>ROUND($D$3*E19/$E$3,2)</f>
        <v>0</v>
      </c>
      <c r="E19" s="53">
        <f t="shared" ref="E19:E26" si="1">SUM(F19:G19)</f>
        <v>89.94</v>
      </c>
      <c r="F19" s="2795">
        <f>'数据-基础表'!I13</f>
        <v>89.94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89.94</v>
      </c>
      <c r="F27" s="1140">
        <f>IF(SUM(F19:F26)=E8,SUM(F19:F26),"地上面积有误")</f>
        <v>89.94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89.94</v>
      </c>
      <c r="F31" s="677">
        <f>F27+F30</f>
        <v>89.94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67283</v>
      </c>
      <c r="F6" s="64">
        <f>SUMIF(项目基本情况!C$12:I$12,C6,项目基本情况!C$15:I$15)</f>
        <v>58.76</v>
      </c>
      <c r="G6" s="65">
        <f>IF(ISERROR(ROUND(POWER(1+H6,D6-F6)*(POWER(1+H6,F6)-1)/(POWER(1+H6,D6)-1),3)),0,ROUND(POWER(1+H6,D6-F6)*(POWER(1+H6,F6)-1)/(POWER(1+H6,D6)-1),3))</f>
        <v>0</v>
      </c>
      <c r="H6" s="732"/>
      <c r="I6" s="732">
        <v>0.04</v>
      </c>
      <c r="J6" s="66"/>
      <c r="K6" s="1030">
        <f>SUMIF('数据-汇总表'!C$19:C$33,A6,'数据-汇总表'!E$19:E$33)</f>
        <v>89.94</v>
      </c>
      <c r="L6" s="733">
        <v>5000</v>
      </c>
      <c r="M6" s="67">
        <f t="shared" ref="M6:M14" si="0">ROUND(K6*L6/10000,0)</f>
        <v>45</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29</v>
      </c>
      <c r="V6" s="70">
        <v>2.5000000000000001E-2</v>
      </c>
      <c r="W6" s="70">
        <v>0.15</v>
      </c>
      <c r="X6" s="1040"/>
      <c r="Y6" s="71">
        <v>0.87</v>
      </c>
      <c r="Z6" s="72"/>
      <c r="AA6" s="66"/>
      <c r="AB6" s="66"/>
      <c r="AC6" s="1040"/>
      <c r="AD6" s="73"/>
      <c r="AE6" s="1041">
        <f ca="1">IF(AN6="",0,SUMIF(INDIRECT("'"&amp;AN6&amp;"'"&amp;"!E:E"),$AE$5,INDIRECT("'"&amp;AN6&amp;"'"&amp;"!F:F")))</f>
        <v>58.76</v>
      </c>
      <c r="AF6" s="1348"/>
      <c r="AG6" s="138">
        <f>IF(AF6="",0,AE6-AF6)</f>
        <v>0</v>
      </c>
      <c r="AH6" s="74">
        <f>'数据-汇总表'!F19</f>
        <v>89.94</v>
      </c>
      <c r="AI6" s="76">
        <v>12</v>
      </c>
      <c r="AJ6" s="77"/>
      <c r="AK6" s="78">
        <v>3.0000000000000001E-3</v>
      </c>
      <c r="AL6" s="79">
        <v>1E-3</v>
      </c>
      <c r="AM6" s="80">
        <v>0.01</v>
      </c>
      <c r="AN6" s="1715" t="s">
        <v>3422</v>
      </c>
      <c r="AO6" s="52">
        <f ca="1">SUMIF(INDIRECT("'"&amp;AN6&amp;"'"&amp;"!A:A"),"总价",INDIRECT("'"&amp;AN6&amp;"'"&amp;"!B:B"))</f>
        <v>87.691999999999993</v>
      </c>
      <c r="AP6" s="1716">
        <f>IF(C6="住宅",K6*L6,0)</f>
        <v>449700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89.94</v>
      </c>
      <c r="L16" s="93">
        <f>ROUND(M16*10000/SUM(K6:K14),0)</f>
        <v>5003</v>
      </c>
      <c r="M16" s="93">
        <f>SUM(M6:M14)</f>
        <v>45</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f>ROUND(1-(2025-2017)/60,2)</f>
        <v>0.87</v>
      </c>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0.08</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3" t="s">
        <v>2286</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89.94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45833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126.626526</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89.94</v>
      </c>
      <c r="C14" s="2518"/>
      <c r="D14" s="2518">
        <f ca="1">E14*B14/10000</f>
        <v>126.626526</v>
      </c>
      <c r="E14" s="2518">
        <f ca="1">结果表!G20</f>
        <v>14079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32" t="str">
        <f>项目基本情况!S2</f>
        <v>北京市房地产</v>
      </c>
      <c r="B2" s="3633"/>
      <c r="C2" s="3633"/>
      <c r="D2" s="3633"/>
      <c r="E2" s="3633"/>
      <c r="F2" s="3633"/>
      <c r="G2" s="3633"/>
      <c r="H2" s="3633"/>
      <c r="I2" s="3634"/>
    </row>
    <row r="3" spans="1:12" ht="13.2">
      <c r="A3" s="3636" t="s">
        <v>1264</v>
      </c>
      <c r="B3" s="3637"/>
      <c r="C3" s="3637"/>
      <c r="D3" s="3637"/>
      <c r="E3" s="3637"/>
      <c r="F3" s="3637"/>
      <c r="G3" s="3637"/>
      <c r="H3" s="3637"/>
      <c r="I3" s="3637"/>
    </row>
    <row r="4" spans="1:12" ht="14.4">
      <c r="A4" s="1754" t="s">
        <v>1265</v>
      </c>
      <c r="B4" s="1755" t="s">
        <v>1266</v>
      </c>
      <c r="C4" s="1756" t="s">
        <v>3424</v>
      </c>
      <c r="D4" s="1756" t="s">
        <v>3422</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1268</v>
      </c>
      <c r="B5" s="3635">
        <v>25</v>
      </c>
      <c r="C5" s="3638">
        <v>8</v>
      </c>
      <c r="D5" s="3626">
        <f>10-C5</f>
        <v>2</v>
      </c>
      <c r="E5" s="131" t="s">
        <v>1269</v>
      </c>
      <c r="F5" s="1757"/>
      <c r="G5" s="1757"/>
      <c r="H5" s="1757"/>
      <c r="I5" s="1373"/>
    </row>
    <row r="6" spans="1:12" ht="13.2">
      <c r="A6" s="3580"/>
      <c r="B6" s="3635"/>
      <c r="C6" s="3640"/>
      <c r="D6" s="3626"/>
      <c r="E6" s="131" t="s">
        <v>1270</v>
      </c>
      <c r="F6" s="1757"/>
      <c r="G6" s="1757"/>
      <c r="H6" s="1757"/>
      <c r="I6" s="1373"/>
    </row>
    <row r="7" spans="1:12" ht="13.2">
      <c r="A7" s="3580"/>
      <c r="B7" s="3635"/>
      <c r="C7" s="3639"/>
      <c r="D7" s="3626"/>
      <c r="E7" s="131" t="s">
        <v>1271</v>
      </c>
      <c r="F7" s="1757"/>
      <c r="G7" s="1757"/>
      <c r="H7" s="1757"/>
      <c r="I7" s="1373"/>
    </row>
    <row r="8" spans="1:12" ht="13.2">
      <c r="A8" s="3580" t="s">
        <v>1272</v>
      </c>
      <c r="B8" s="3635">
        <v>15</v>
      </c>
      <c r="C8" s="3638"/>
      <c r="D8" s="3626"/>
      <c r="E8" s="131" t="s">
        <v>1273</v>
      </c>
      <c r="F8" s="1757"/>
      <c r="G8" s="1757"/>
      <c r="H8" s="1757"/>
      <c r="I8" s="1373"/>
    </row>
    <row r="9" spans="1:12" ht="13.2">
      <c r="A9" s="3580"/>
      <c r="B9" s="3635"/>
      <c r="C9" s="3639"/>
      <c r="D9" s="3626"/>
      <c r="E9" s="131" t="s">
        <v>1274</v>
      </c>
      <c r="F9" s="1757"/>
      <c r="G9" s="1757"/>
      <c r="H9" s="1757"/>
      <c r="I9" s="1373"/>
    </row>
    <row r="10" spans="1:12" ht="13.2">
      <c r="A10" s="3580" t="s">
        <v>1275</v>
      </c>
      <c r="B10" s="3635">
        <v>15</v>
      </c>
      <c r="C10" s="3638"/>
      <c r="D10" s="3626"/>
      <c r="E10" s="131" t="s">
        <v>1276</v>
      </c>
      <c r="F10" s="1757"/>
      <c r="G10" s="1757"/>
      <c r="H10" s="1757"/>
      <c r="I10" s="1373"/>
    </row>
    <row r="11" spans="1:12" ht="13.2">
      <c r="A11" s="3580"/>
      <c r="B11" s="3635"/>
      <c r="C11" s="3639"/>
      <c r="D11" s="3626"/>
      <c r="E11" s="131" t="s">
        <v>1277</v>
      </c>
      <c r="F11" s="1757"/>
      <c r="G11" s="1757"/>
      <c r="H11" s="1757"/>
      <c r="I11" s="1373"/>
    </row>
    <row r="12" spans="1:12" ht="13.2">
      <c r="A12" s="3580" t="s">
        <v>1278</v>
      </c>
      <c r="B12" s="3635">
        <v>15</v>
      </c>
      <c r="C12" s="3638"/>
      <c r="D12" s="3626"/>
      <c r="E12" s="131" t="s">
        <v>1279</v>
      </c>
      <c r="F12" s="1757"/>
      <c r="G12" s="1757"/>
      <c r="H12" s="1757"/>
      <c r="I12" s="1373"/>
    </row>
    <row r="13" spans="1:12" ht="13.2">
      <c r="A13" s="3580"/>
      <c r="B13" s="3635"/>
      <c r="C13" s="3639"/>
      <c r="D13" s="3626"/>
      <c r="E13" s="131" t="s">
        <v>1280</v>
      </c>
      <c r="F13" s="1757"/>
      <c r="G13" s="1757"/>
      <c r="H13" s="1757"/>
      <c r="I13" s="1373"/>
    </row>
    <row r="14" spans="1:12" ht="13.2">
      <c r="A14" s="3580" t="s">
        <v>1281</v>
      </c>
      <c r="B14" s="3635">
        <v>30</v>
      </c>
      <c r="C14" s="3638"/>
      <c r="D14" s="3626"/>
      <c r="E14" s="131" t="s">
        <v>1282</v>
      </c>
      <c r="F14" s="1757"/>
      <c r="G14" s="1757"/>
      <c r="H14" s="1757"/>
      <c r="I14" s="1373"/>
    </row>
    <row r="15" spans="1:12" ht="13.2">
      <c r="A15" s="3580"/>
      <c r="B15" s="3635"/>
      <c r="C15" s="3640"/>
      <c r="D15" s="3626"/>
      <c r="E15" s="131" t="s">
        <v>1283</v>
      </c>
      <c r="F15" s="1757"/>
      <c r="G15" s="1757"/>
      <c r="H15" s="1757"/>
      <c r="I15" s="1373"/>
    </row>
    <row r="16" spans="1:12" ht="13.2">
      <c r="A16" s="3580"/>
      <c r="B16" s="3635"/>
      <c r="C16" s="3639"/>
      <c r="D16" s="3626"/>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57" t="s">
        <v>2131</v>
      </c>
      <c r="F18" s="3658"/>
      <c r="G18" s="3658"/>
      <c r="H18" s="3658"/>
      <c r="I18" s="3658"/>
      <c r="K18" s="302" t="s">
        <v>1289</v>
      </c>
      <c r="L18" s="302">
        <f>IF(C1="",'数据-汇总表'!E3,SUMIF(项目类型,C1,'数据-汇总表'!E17:E26)+SUMIF(项目类型,C1,'数据-汇总表'!I17:I26))</f>
        <v>89.94</v>
      </c>
      <c r="M18" s="302">
        <f>IF(C1="",'数据-汇总表'!E3,SUMIF(项目类型,C1,'数据-汇总表'!E17:E26))</f>
        <v>89.94</v>
      </c>
    </row>
    <row r="19" spans="1:36" ht="14.4">
      <c r="A19" s="1761" t="s">
        <v>1290</v>
      </c>
      <c r="B19" s="1762" t="s">
        <v>1291</v>
      </c>
      <c r="C19" s="134">
        <f ca="1">SUMIF(INDIRECT("'"&amp;C4&amp;"'"&amp;"!A:A"),结果表!B19,INDIRECT("'"&amp;C4&amp;"'"&amp;"!B:B"))</f>
        <v>136.358</v>
      </c>
      <c r="D19" s="135">
        <f ca="1">SUMIF(INDIRECT("'"&amp;D4&amp;"'"&amp;"!A:A"),结果表!B19,INDIRECT("'"&amp;D4&amp;"'"&amp;"!B:B"))</f>
        <v>87.691999999999993</v>
      </c>
      <c r="E19" s="1761" t="s">
        <v>1292</v>
      </c>
      <c r="F19" s="1762" t="s">
        <v>1291</v>
      </c>
      <c r="G19" s="136">
        <f ca="1">ROUND(C19*$C$18+D19*$D$18,0)</f>
        <v>127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15161</v>
      </c>
      <c r="D20" s="138">
        <f ca="1">SUMIF(INDIRECT("'"&amp;D4&amp;"'"&amp;"!A:A"),结果表!B20,INDIRECT("'"&amp;D4&amp;"'"&amp;"!B:B"))</f>
        <v>9750</v>
      </c>
      <c r="E20" s="1764"/>
      <c r="F20" s="1026" t="s">
        <v>1295</v>
      </c>
      <c r="G20" s="139">
        <f ca="1">ROUND(C20*$C$18+D20*$D$18,0)</f>
        <v>14079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0.55496510514072006</v>
      </c>
      <c r="E22" s="129"/>
      <c r="F22" s="129"/>
      <c r="G22" s="129"/>
      <c r="H22" s="129"/>
      <c r="I22" s="129"/>
    </row>
    <row r="23" spans="1:36" ht="13.8" thickBot="1">
      <c r="A23" s="1747"/>
      <c r="B23" s="1747"/>
      <c r="C23" s="1747"/>
      <c r="D23" s="1747"/>
      <c r="E23" s="129"/>
      <c r="F23" s="129"/>
      <c r="G23" s="129"/>
      <c r="H23" s="129"/>
      <c r="I23" s="129"/>
    </row>
    <row r="24" spans="1:36" ht="14.4">
      <c r="A24" s="3650" t="s">
        <v>1299</v>
      </c>
      <c r="B24" s="1762" t="s">
        <v>1291</v>
      </c>
      <c r="C24" s="136">
        <f>IF(B30=0,0,D30)</f>
        <v>0</v>
      </c>
      <c r="D24" s="1769"/>
      <c r="E24" s="129"/>
      <c r="F24" s="129"/>
      <c r="G24" s="129"/>
      <c r="H24" s="129"/>
      <c r="I24" s="129"/>
    </row>
    <row r="25" spans="1:36" ht="14.4">
      <c r="A25" s="36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14079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7" t="s">
        <v>1312</v>
      </c>
      <c r="B36" s="1787" t="s">
        <v>1313</v>
      </c>
      <c r="C36" s="145"/>
      <c r="D36" s="1788"/>
      <c r="E36" s="1789"/>
      <c r="F36" s="1790"/>
      <c r="G36" s="129"/>
      <c r="H36" s="129"/>
      <c r="I36" s="129"/>
    </row>
    <row r="37" spans="1:15" ht="15" thickBot="1">
      <c r="A37" s="3628"/>
      <c r="B37" s="1674" t="s">
        <v>1314</v>
      </c>
      <c r="C37" s="147"/>
      <c r="D37" s="1139"/>
      <c r="E37" s="1139"/>
      <c r="F37" s="1790"/>
      <c r="G37" s="129"/>
      <c r="H37" s="129"/>
      <c r="I37" s="129"/>
    </row>
    <row r="38" spans="1:15" ht="15" thickBot="1">
      <c r="A38" s="362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7" t="s">
        <v>1326</v>
      </c>
      <c r="B45" s="3648"/>
      <c r="C45" s="3649"/>
      <c r="D45" s="155" t="e">
        <f ca="1">ROUND(H101*F45,0)</f>
        <v>#REF!</v>
      </c>
      <c r="E45" s="156" t="s">
        <v>1327</v>
      </c>
      <c r="F45" s="157">
        <v>1</v>
      </c>
      <c r="G45" s="158" t="s">
        <v>1328</v>
      </c>
      <c r="H45" s="129"/>
      <c r="I45" s="129"/>
      <c r="J45" s="3567" t="s">
        <v>1329</v>
      </c>
      <c r="K45" s="3567"/>
      <c r="L45" s="3567"/>
      <c r="M45" s="3567"/>
      <c r="N45" s="3567"/>
      <c r="O45" s="3567"/>
    </row>
    <row r="46" spans="1:15" ht="14.25" customHeight="1">
      <c r="A46" s="3644" t="s">
        <v>1330</v>
      </c>
      <c r="B46" s="3645"/>
      <c r="C46" s="3645"/>
      <c r="D46" s="3645"/>
      <c r="E46" s="3645"/>
      <c r="F46" s="3645"/>
      <c r="G46" s="3646"/>
      <c r="H46" s="1806"/>
      <c r="I46" s="159"/>
      <c r="J46" s="2523">
        <v>1</v>
      </c>
      <c r="K46" s="3568" t="s">
        <v>1331</v>
      </c>
      <c r="L46" s="3568"/>
      <c r="M46" s="3569"/>
      <c r="N46" s="3569"/>
      <c r="O46" s="3569"/>
    </row>
    <row r="47" spans="1:15" ht="12" customHeight="1">
      <c r="A47" s="160" t="s">
        <v>1332</v>
      </c>
      <c r="B47" s="161"/>
      <c r="C47" s="162"/>
      <c r="D47" s="1087" t="s">
        <v>1333</v>
      </c>
      <c r="E47" s="302" t="s">
        <v>1334</v>
      </c>
      <c r="F47" s="163" t="s">
        <v>1335</v>
      </c>
      <c r="G47" s="2546" t="s">
        <v>1336</v>
      </c>
      <c r="H47" s="2547"/>
      <c r="I47" s="159"/>
      <c r="J47" s="2523">
        <v>2</v>
      </c>
      <c r="K47" s="3568" t="s">
        <v>1337</v>
      </c>
      <c r="L47" s="3568"/>
      <c r="M47" s="3570">
        <f>'数据-取费表'!B2</f>
        <v>45833</v>
      </c>
      <c r="N47" s="3570"/>
      <c r="O47" s="3570"/>
    </row>
    <row r="48" spans="1:15" ht="26.4">
      <c r="A48" s="3630" t="s">
        <v>1338</v>
      </c>
      <c r="B48" s="3631"/>
      <c r="C48" s="363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8" t="s">
        <v>1340</v>
      </c>
      <c r="L48" s="3568"/>
      <c r="M48" s="3571" t="e">
        <f ca="1">H101</f>
        <v>#REF!</v>
      </c>
      <c r="N48" s="3571"/>
      <c r="O48" s="3571"/>
    </row>
    <row r="49" spans="1:35" ht="25.5" customHeight="1">
      <c r="A49" s="2333" t="s">
        <v>1341</v>
      </c>
      <c r="B49" s="3616" t="s">
        <v>1342</v>
      </c>
      <c r="C49" s="3616"/>
      <c r="D49" s="1590">
        <v>0</v>
      </c>
      <c r="E49" s="324" t="s">
        <v>1343</v>
      </c>
      <c r="F49" s="2424" t="s">
        <v>28</v>
      </c>
      <c r="G49" s="3599"/>
      <c r="H49" s="2310" t="s">
        <v>2134</v>
      </c>
      <c r="I49" s="2311"/>
      <c r="J49" s="2523">
        <v>4</v>
      </c>
      <c r="K49" s="3568" t="str">
        <f>IF(项目基本情况!E8="房地产抵押价值","房地产抵押价值","抵押担保权已注销时的房地产抵押价值")</f>
        <v>抵押担保权已注销时的房地产抵押价值</v>
      </c>
      <c r="L49" s="3568"/>
      <c r="M49" s="3571" t="str">
        <f>IF(项目基本情况!E8="房地产抵押价值",H107,H109)</f>
        <v>——</v>
      </c>
      <c r="N49" s="3571"/>
      <c r="O49" s="3571"/>
    </row>
    <row r="50" spans="1:35" ht="25.5" customHeight="1">
      <c r="A50" s="2551"/>
      <c r="B50" s="3616" t="s">
        <v>1344</v>
      </c>
      <c r="C50" s="3616"/>
      <c r="D50" s="2552"/>
      <c r="E50" s="332"/>
      <c r="F50" s="2424"/>
      <c r="G50" s="3600"/>
      <c r="H50" s="2312" t="s">
        <v>2135</v>
      </c>
      <c r="I50" s="2311"/>
      <c r="J50" s="3567" t="s">
        <v>1345</v>
      </c>
      <c r="K50" s="3567"/>
      <c r="L50" s="3567"/>
      <c r="M50" s="3567"/>
      <c r="N50" s="3567"/>
      <c r="O50" s="3567"/>
    </row>
    <row r="51" spans="1:35" ht="20.399999999999999" customHeight="1">
      <c r="A51" s="2553"/>
      <c r="B51" s="3616" t="s">
        <v>1346</v>
      </c>
      <c r="C51" s="3616"/>
      <c r="D51" s="1087"/>
      <c r="E51" s="327"/>
      <c r="F51" s="2424"/>
      <c r="G51" s="3601"/>
      <c r="H51" s="2312" t="s">
        <v>2136</v>
      </c>
      <c r="I51" s="2311"/>
      <c r="J51" s="2524" t="s">
        <v>1347</v>
      </c>
      <c r="K51" s="3568" t="s">
        <v>1348</v>
      </c>
      <c r="L51" s="3568"/>
      <c r="M51" s="2524" t="s">
        <v>1349</v>
      </c>
      <c r="N51" s="2524" t="s">
        <v>1350</v>
      </c>
      <c r="O51" s="2524" t="s">
        <v>1351</v>
      </c>
    </row>
    <row r="52" spans="1:35" ht="24" customHeight="1">
      <c r="A52" s="2335" t="s">
        <v>1352</v>
      </c>
      <c r="B52" s="3616" t="s">
        <v>1353</v>
      </c>
      <c r="C52" s="3616"/>
      <c r="D52" s="1087" t="e">
        <f ca="1">ROUND(D45*'数据-取费表'!B41/(1+'数据-取费表'!C42),0)</f>
        <v>#REF!</v>
      </c>
      <c r="E52" s="2334" t="s">
        <v>1354</v>
      </c>
      <c r="F52" s="2554">
        <f>'数据-取费表'!B41</f>
        <v>5.6000000000000001E-2</v>
      </c>
      <c r="G52" s="2555"/>
      <c r="H52" s="2544"/>
      <c r="I52" s="1807"/>
      <c r="J52" s="2523">
        <v>1</v>
      </c>
      <c r="K52" s="3593" t="s">
        <v>1355</v>
      </c>
      <c r="L52" s="3593"/>
      <c r="M52" s="2525" t="b">
        <f>D48</f>
        <v>0</v>
      </c>
      <c r="N52" s="2523" t="str">
        <f>E48</f>
        <v>销售额×税（费）率</v>
      </c>
      <c r="O52" s="2526">
        <f>F48</f>
        <v>5.6000000000000001E-2</v>
      </c>
    </row>
    <row r="53" spans="1:35" ht="12" customHeight="1">
      <c r="A53" s="2335" t="s">
        <v>1356</v>
      </c>
      <c r="B53" s="3617" t="s">
        <v>2291</v>
      </c>
      <c r="C53" s="3618"/>
      <c r="D53" s="1087" t="e">
        <f ca="1">ROUND(D45*'数据-取费表'!B41/(1+'数据-取费表'!C42),0)</f>
        <v>#REF!</v>
      </c>
      <c r="E53" s="2334" t="s">
        <v>1354</v>
      </c>
      <c r="F53" s="2554">
        <f>'数据-取费表'!B41</f>
        <v>5.6000000000000001E-2</v>
      </c>
      <c r="G53" s="2555"/>
      <c r="H53" s="2544"/>
      <c r="I53" s="1807"/>
      <c r="J53" s="2523">
        <v>2</v>
      </c>
      <c r="K53" s="3593" t="s">
        <v>1357</v>
      </c>
      <c r="L53" s="3593"/>
      <c r="M53" s="2525" t="e">
        <f t="shared" ref="M53:O54" ca="1" si="0">D55</f>
        <v>#REF!</v>
      </c>
      <c r="N53" s="2523" t="str">
        <f t="shared" si="0"/>
        <v>销售额×税（费）率</v>
      </c>
      <c r="O53" s="2526" t="str">
        <f t="shared" si="0"/>
        <v>免征</v>
      </c>
    </row>
    <row r="54" spans="1:35" ht="12" customHeight="1">
      <c r="A54" s="2335" t="s">
        <v>1358</v>
      </c>
      <c r="B54" s="3617" t="s">
        <v>2292</v>
      </c>
      <c r="C54" s="3618"/>
      <c r="D54" s="1087" t="e">
        <f ca="1">C68</f>
        <v>#REF!</v>
      </c>
      <c r="E54" s="327" t="s">
        <v>1359</v>
      </c>
      <c r="F54" s="2554">
        <f>'数据-取费表'!B41</f>
        <v>5.6000000000000001E-2</v>
      </c>
      <c r="G54" s="2555"/>
      <c r="H54" s="2556"/>
      <c r="I54" s="1807"/>
      <c r="J54" s="2523">
        <v>3</v>
      </c>
      <c r="K54" s="3593" t="s">
        <v>1360</v>
      </c>
      <c r="L54" s="3593"/>
      <c r="M54" s="2525" t="e">
        <f t="shared" ca="1" si="0"/>
        <v>#REF!</v>
      </c>
      <c r="N54" s="2523" t="str">
        <f t="shared" si="0"/>
        <v>增值额×税（费）率</v>
      </c>
      <c r="O54" s="2527" t="str">
        <f t="shared" si="0"/>
        <v>免征</v>
      </c>
    </row>
    <row r="55" spans="1:35" ht="24" customHeight="1">
      <c r="A55" s="3653" t="s">
        <v>1361</v>
      </c>
      <c r="B55" s="3631"/>
      <c r="C55" s="3631"/>
      <c r="D55" s="2324" t="e">
        <f ca="1">IF(H55="个人住宅",0,ROUND(D45*I55,0))</f>
        <v>#REF!</v>
      </c>
      <c r="E55" s="2334" t="s">
        <v>1362</v>
      </c>
      <c r="F55" s="2554" t="str">
        <f>IF(H55="正常",I55,"免征")</f>
        <v>免征</v>
      </c>
      <c r="G55" s="2555"/>
      <c r="H55" s="2550"/>
      <c r="I55" s="165">
        <f>'数据-取费表'!B49</f>
        <v>5.0000000000000001E-4</v>
      </c>
      <c r="J55" s="2523">
        <f>IF(H59="非个人房产","",4)</f>
        <v>4</v>
      </c>
      <c r="K55" s="3593" t="str">
        <f>IF(H59="非个人房产","——","个人所得税")</f>
        <v>个人所得税</v>
      </c>
      <c r="L55" s="3593"/>
      <c r="M55" s="2528" t="e">
        <f ca="1">D59</f>
        <v>#REF!</v>
      </c>
      <c r="N55" s="2040" t="str">
        <f>E59</f>
        <v>差额计税</v>
      </c>
      <c r="O55" s="2529">
        <f>F59</f>
        <v>0.01</v>
      </c>
    </row>
    <row r="56" spans="1:35" ht="25.2">
      <c r="A56" s="3653" t="s">
        <v>1363</v>
      </c>
      <c r="B56" s="3631"/>
      <c r="C56" s="3631"/>
      <c r="D56" s="2324" t="e">
        <f ca="1">IF(H56="个人住宅",D57,D58)</f>
        <v>#REF!</v>
      </c>
      <c r="E56" s="2334" t="s">
        <v>1364</v>
      </c>
      <c r="F56" s="2554" t="str">
        <f>IF(H56="正常",F58,"免征")</f>
        <v>免征</v>
      </c>
      <c r="G56" s="2557" t="s">
        <v>1365</v>
      </c>
      <c r="H56" s="2558"/>
      <c r="I56" s="1808"/>
      <c r="J56" s="2523" t="str">
        <f>IF(项目基本情况!K6="上海银行",IF(J55="",4,J55+1),"")</f>
        <v/>
      </c>
      <c r="K56" s="3574" t="str">
        <f>IF(项目基本情况!K6="上海银行","其他处置费用","")</f>
        <v/>
      </c>
      <c r="L56" s="3575"/>
      <c r="M56" s="2525" t="str">
        <f>IF(项目基本情况!K6="上海银行",M69,"")</f>
        <v/>
      </c>
      <c r="N56" s="3574" t="str">
        <f>IF(项目基本情况!K6="上海银行","包含处置中涉及的律师、诉讼、拍卖、评估等费用","")</f>
        <v/>
      </c>
      <c r="O56" s="3577"/>
    </row>
    <row r="57" spans="1:35" ht="13.2">
      <c r="A57" s="2335" t="s">
        <v>1341</v>
      </c>
      <c r="B57" s="3617" t="s">
        <v>1366</v>
      </c>
      <c r="C57" s="3618"/>
      <c r="D57" s="1590">
        <v>0</v>
      </c>
      <c r="E57" s="324" t="s">
        <v>1343</v>
      </c>
      <c r="F57" s="302"/>
      <c r="G57" s="2555"/>
      <c r="H57" s="2559"/>
      <c r="I57" s="1808"/>
      <c r="J57" s="3593">
        <f>IF(AND(J55="",J56=""),4,IF(项目基本情况!K6="上海银行",结果表!J56+1,结果表!J55+1))</f>
        <v>5</v>
      </c>
      <c r="K57" s="3593" t="s">
        <v>1367</v>
      </c>
      <c r="L57" s="2530" t="s">
        <v>1368</v>
      </c>
      <c r="M57" s="2531"/>
      <c r="N57" s="2532">
        <f ca="1">SUMIF(M52:M56,"&lt;9e307")</f>
        <v>0</v>
      </c>
      <c r="O57" s="2533"/>
      <c r="P57" s="2690" t="e">
        <f ca="1">N57/M49</f>
        <v>#VALUE!</v>
      </c>
    </row>
    <row r="58" spans="1:35" ht="25.2">
      <c r="A58" s="2335" t="s">
        <v>1352</v>
      </c>
      <c r="B58" s="3617" t="s">
        <v>1369</v>
      </c>
      <c r="C58" s="3616"/>
      <c r="D58" s="2324" t="e">
        <f ca="1">IF(H58="转让取得",C81,C97)</f>
        <v>#REF!</v>
      </c>
      <c r="E58" s="2334" t="s">
        <v>1364</v>
      </c>
      <c r="F58" s="302" t="s">
        <v>28</v>
      </c>
      <c r="G58" s="2555"/>
      <c r="H58" s="2558"/>
      <c r="I58" s="1808"/>
      <c r="J58" s="3593"/>
      <c r="K58" s="3593"/>
      <c r="L58" s="2530" t="s">
        <v>1370</v>
      </c>
      <c r="M58" s="2534"/>
      <c r="N58" s="2535" t="str">
        <f ca="1">NUMBERSTRING(INT(N57*10000),2)&amp;"元整"</f>
        <v>零元整</v>
      </c>
      <c r="O58" s="2536"/>
    </row>
    <row r="59" spans="1:35" ht="24.6" thickBot="1">
      <c r="A59" s="3597" t="s">
        <v>1371</v>
      </c>
      <c r="B59" s="3598"/>
      <c r="C59" s="359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5">
        <f>J57+1</f>
        <v>6</v>
      </c>
      <c r="K59" s="3593" t="s">
        <v>1372</v>
      </c>
      <c r="L59" s="2523" t="s">
        <v>1368</v>
      </c>
      <c r="M59" s="2537"/>
      <c r="N59" s="2538" t="e">
        <f ca="1">M49-N57</f>
        <v>#VALUE!</v>
      </c>
      <c r="O59" s="2539"/>
    </row>
    <row r="60" spans="1:35" ht="12" customHeight="1">
      <c r="A60" s="1809"/>
      <c r="B60" s="1747"/>
      <c r="C60" s="1747"/>
      <c r="D60" s="1747"/>
      <c r="E60" s="1578"/>
      <c r="F60" s="1808"/>
      <c r="G60" s="1808"/>
      <c r="H60" s="1810"/>
      <c r="I60" s="129"/>
      <c r="J60" s="3596"/>
      <c r="K60" s="3593"/>
      <c r="L60" s="2530" t="s">
        <v>1370</v>
      </c>
      <c r="M60" s="2534"/>
      <c r="N60" s="2535" t="e">
        <f ca="1">NUMBERSTRING(INT(N59*10000),2)&amp;"元整"</f>
        <v>#VALUE!</v>
      </c>
      <c r="O60" s="2536"/>
    </row>
    <row r="61" spans="1:35" ht="13.8" thickBot="1">
      <c r="A61" s="3652" t="s">
        <v>1373</v>
      </c>
      <c r="B61" s="3652"/>
      <c r="C61" s="3652"/>
      <c r="D61" s="3652"/>
      <c r="E61" s="3652"/>
      <c r="F61" s="1808"/>
      <c r="G61" s="1808"/>
      <c r="H61" s="1810"/>
      <c r="I61" s="129"/>
      <c r="J61" s="2523">
        <f>J59+1</f>
        <v>7</v>
      </c>
      <c r="K61" s="3593" t="s">
        <v>1374</v>
      </c>
      <c r="L61" s="3593"/>
      <c r="M61" s="2540"/>
      <c r="N61" s="2541" t="e">
        <f ca="1">ROUND(N59*10000/'数据-汇总表'!E3,0)</f>
        <v>#VALUE!</v>
      </c>
      <c r="O61" s="2542"/>
    </row>
    <row r="62" spans="1:35" ht="13.2">
      <c r="A62" s="3612" t="s">
        <v>1375</v>
      </c>
      <c r="B62" s="3613"/>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0" t="s">
        <v>1394</v>
      </c>
      <c r="B70" s="3621"/>
      <c r="C70" s="3621"/>
      <c r="D70" s="3621"/>
      <c r="E70" s="3621"/>
      <c r="F70" s="3621"/>
      <c r="G70" s="3621"/>
      <c r="H70" s="362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2" t="s">
        <v>1375</v>
      </c>
      <c r="B71" s="361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7" t="s">
        <v>1402</v>
      </c>
      <c r="F76" s="3616"/>
      <c r="G76" s="3616"/>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9" t="s">
        <v>1406</v>
      </c>
      <c r="F78" s="3610"/>
      <c r="G78" s="3610"/>
      <c r="H78" s="36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0" t="s">
        <v>1410</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8" t="s">
        <v>2129</v>
      </c>
      <c r="H90" s="357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9" t="s">
        <v>1419</v>
      </c>
      <c r="F91" s="3610"/>
      <c r="G91" s="361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9" t="s">
        <v>1422</v>
      </c>
      <c r="F92" s="3610"/>
      <c r="G92" s="3610"/>
      <c r="H92" s="361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9" t="s">
        <v>1406</v>
      </c>
      <c r="F93" s="3610"/>
      <c r="G93" s="3610"/>
      <c r="H93" s="36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4" t="s">
        <v>1426</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94"/>
      <c r="E100" s="3560" t="s">
        <v>1429</v>
      </c>
      <c r="F100" s="3560"/>
      <c r="G100" s="3560"/>
      <c r="H100" s="3594"/>
      <c r="I100" s="129"/>
    </row>
    <row r="101" spans="1:35" ht="18.75" customHeight="1">
      <c r="A101" s="3602" t="s">
        <v>1430</v>
      </c>
      <c r="B101" s="3603"/>
      <c r="C101" s="2585" t="str">
        <f>C4</f>
        <v>比较法-住宅</v>
      </c>
      <c r="D101" s="2586" t="str">
        <f>D4</f>
        <v>收益法 (元)</v>
      </c>
      <c r="E101" s="3572" t="s">
        <v>1431</v>
      </c>
      <c r="F101" s="3573"/>
      <c r="G101" s="1827" t="s">
        <v>1432</v>
      </c>
      <c r="H101" s="2595" t="e">
        <f ca="1">H118</f>
        <v>#REF!</v>
      </c>
      <c r="I101" s="129"/>
    </row>
    <row r="102" spans="1:35" ht="18.75" customHeight="1">
      <c r="A102" s="3604" t="s">
        <v>1433</v>
      </c>
      <c r="B102" s="2584" t="s">
        <v>1432</v>
      </c>
      <c r="C102" s="2585">
        <f ca="1">IF(D32="楼面单价",ROUND(C19,0),C19)</f>
        <v>136.358</v>
      </c>
      <c r="D102" s="2586">
        <f ca="1">IF(D32="楼面单价",ROUND(D19,0),D19)</f>
        <v>87.691999999999993</v>
      </c>
      <c r="E102" s="3572"/>
      <c r="F102" s="3573"/>
      <c r="G102" s="1827" t="s">
        <v>1434</v>
      </c>
      <c r="H102" s="2555" t="e">
        <f ca="1">I118</f>
        <v>#REF!</v>
      </c>
      <c r="I102" s="129"/>
    </row>
    <row r="103" spans="1:35" ht="42.75" customHeight="1">
      <c r="A103" s="3604"/>
      <c r="B103" s="2584" t="s">
        <v>1434</v>
      </c>
      <c r="C103" s="2587">
        <f ca="1">C20</f>
        <v>15161</v>
      </c>
      <c r="D103" s="2588">
        <f ca="1">D20</f>
        <v>9750</v>
      </c>
      <c r="E103" s="3565" t="s">
        <v>1435</v>
      </c>
      <c r="F103" s="3566"/>
      <c r="G103" s="1828" t="s">
        <v>1436</v>
      </c>
      <c r="H103" s="2595">
        <f>IF(D36="正常操作",H104+H105+H106,H105+H106)</f>
        <v>0</v>
      </c>
      <c r="I103" s="129"/>
    </row>
    <row r="104" spans="1:35" ht="18.75" customHeight="1">
      <c r="A104" s="360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573"/>
      <c r="G107" s="1827" t="s">
        <v>1432</v>
      </c>
      <c r="H107" s="2595" t="e">
        <f ca="1">IF(E107="——","——",H101-H103)</f>
        <v>#REF!</v>
      </c>
      <c r="I107" s="129"/>
    </row>
    <row r="108" spans="1:35" ht="18.75" customHeight="1">
      <c r="A108" s="129"/>
      <c r="B108" s="129"/>
      <c r="C108" s="129"/>
      <c r="D108" s="129"/>
      <c r="E108" s="3605"/>
      <c r="F108" s="3573"/>
      <c r="G108" s="1827" t="s">
        <v>1434</v>
      </c>
      <c r="H108" s="2555">
        <f ca="1">IF(H107=H101,H102,ROUND(H107*10000/'数据-汇总表'!E3,0))</f>
        <v>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7" t="s">
        <v>1432</v>
      </c>
      <c r="H109" s="2598" t="str">
        <f>IF(E109="——","——",H101-H105-H106)</f>
        <v>——</v>
      </c>
      <c r="I109" s="129"/>
    </row>
    <row r="110" spans="1:35" ht="18.75" customHeight="1">
      <c r="A110" s="129"/>
      <c r="B110" s="129"/>
      <c r="C110" s="129"/>
      <c r="D110" s="129"/>
      <c r="E110" s="3605"/>
      <c r="F110" s="3573"/>
      <c r="G110" s="1827" t="s">
        <v>1434</v>
      </c>
      <c r="H110" s="2555"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07"/>
      <c r="F112" s="3608"/>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80" t="s">
        <v>1443</v>
      </c>
      <c r="B116" s="3584" t="s">
        <v>1444</v>
      </c>
      <c r="C116" s="3584" t="s">
        <v>1445</v>
      </c>
      <c r="D116" s="3590" t="s">
        <v>1446</v>
      </c>
      <c r="E116" s="3591"/>
      <c r="F116" s="3622" t="s">
        <v>1447</v>
      </c>
      <c r="G116" s="3622"/>
      <c r="H116" s="3580" t="s">
        <v>1448</v>
      </c>
      <c r="I116" s="3580"/>
    </row>
    <row r="117" spans="1:27" ht="18.75" customHeight="1">
      <c r="A117" s="3580"/>
      <c r="B117" s="3585"/>
      <c r="C117" s="358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0" t="s">
        <v>1452</v>
      </c>
      <c r="B119" s="3580"/>
      <c r="C119" s="3580"/>
      <c r="D119" s="3586" t="e">
        <f ca="1">NUMBERSTRING(INT(D118*10000),2)&amp;"元整"</f>
        <v>#REF!</v>
      </c>
      <c r="E119" s="3587"/>
      <c r="F119" s="3586" t="e">
        <f ca="1">NUMBERSTRING(INT(F118*10000),2)&amp;"元整"</f>
        <v>#REF!</v>
      </c>
      <c r="G119" s="3587"/>
      <c r="H119" s="3586" t="e">
        <f ca="1">NUMBERSTRING(INT(H118*10000),2)&amp;"元整"</f>
        <v>#REF!</v>
      </c>
      <c r="I119" s="3587"/>
    </row>
    <row r="120" spans="1:27" ht="18.75" customHeight="1">
      <c r="A120" s="3581" t="str">
        <f>IF(项目基本情况!B9="房地产市场价值","",MID(E103,3,LEN(E103)-2))</f>
        <v/>
      </c>
      <c r="B120" s="3582"/>
      <c r="C120" s="3583"/>
      <c r="D120" s="3581">
        <f>H103</f>
        <v>0</v>
      </c>
      <c r="E120" s="3582"/>
      <c r="F120" s="3582"/>
      <c r="G120" s="3582"/>
      <c r="H120" s="3582"/>
      <c r="I120" s="358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6" t="s">
        <v>1452</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
      </c>
      <c r="B122" s="3592"/>
      <c r="C122" s="3592"/>
      <c r="D122" s="3581" t="e">
        <f ca="1">H107</f>
        <v>#REF!</v>
      </c>
      <c r="E122" s="3582"/>
      <c r="F122" s="3582"/>
      <c r="G122" s="3582"/>
      <c r="H122" s="3582"/>
      <c r="I122" s="3583"/>
      <c r="AA122" s="725"/>
    </row>
    <row r="123" spans="1:27" ht="18.75" customHeight="1">
      <c r="A123" s="3580" t="s">
        <v>1452</v>
      </c>
      <c r="B123" s="3580"/>
      <c r="C123" s="3580"/>
      <c r="D123" s="3586" t="e">
        <f ca="1">NUMBERSTRING(INT(D122*10000),2)&amp;"元整"</f>
        <v>#REF!</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1452</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
      </c>
      <c r="B126" s="3592"/>
      <c r="C126" s="3592"/>
      <c r="D126" s="3581" t="str">
        <f>H111</f>
        <v>——</v>
      </c>
      <c r="E126" s="3582"/>
      <c r="F126" s="3582"/>
      <c r="G126" s="3582"/>
      <c r="H126" s="3582"/>
      <c r="I126" s="3583"/>
      <c r="AA126" s="725"/>
    </row>
    <row r="127" spans="1:27" ht="18.75" customHeight="1">
      <c r="A127" s="3580" t="s">
        <v>1452</v>
      </c>
      <c r="B127" s="3580"/>
      <c r="C127" s="3580"/>
      <c r="D127" s="3586" t="e">
        <f>NUMBERSTRING(INT(D126*10000),2)&amp;"元整"</f>
        <v>#VALUE!</v>
      </c>
      <c r="E127" s="3588"/>
      <c r="F127" s="3588"/>
      <c r="G127" s="3588"/>
      <c r="H127" s="3588"/>
      <c r="I127" s="3587"/>
      <c r="AA127" s="725"/>
    </row>
    <row r="128" spans="1:27" ht="21.75" customHeight="1">
      <c r="A128" s="3589" t="s">
        <v>1453</v>
      </c>
      <c r="B128" s="3589"/>
      <c r="C128" s="3589"/>
      <c r="D128" s="3589"/>
      <c r="E128" s="3589"/>
      <c r="F128" s="3589"/>
      <c r="G128" s="3589"/>
      <c r="H128" s="3589"/>
      <c r="I128" s="358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8117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89.94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9" t="s">
        <v>1544</v>
      </c>
    </row>
    <row r="43" spans="1:7" ht="13.5" customHeight="1">
      <c r="A43" s="780" t="s">
        <v>347</v>
      </c>
      <c r="B43" s="215" t="s">
        <v>1545</v>
      </c>
      <c r="C43" s="238">
        <f ca="1">ROUND(IF('数据-取费表'!B22&lt;=1,C39*F22*'数据-取费表'!B21/2,C39*(POWER((1+F22),'数据-取费表'!B21/2)-1)),0)</f>
        <v>0</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11</v>
      </c>
      <c r="D45" s="235">
        <f ca="1">C47</f>
        <v>6.0000000000000001E-3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75</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71</v>
      </c>
      <c r="D51" s="232"/>
      <c r="E51" s="232"/>
      <c r="F51" s="264"/>
      <c r="G51" s="234" t="s">
        <v>1560</v>
      </c>
    </row>
    <row r="52" spans="1:7" s="208" customFormat="1" ht="16.8" thickBot="1">
      <c r="A52" s="265" t="s">
        <v>1561</v>
      </c>
      <c r="B52" s="266"/>
      <c r="C52" s="267">
        <f ca="1">C31+C51</f>
        <v>73</v>
      </c>
      <c r="D52" s="266"/>
      <c r="E52" s="266"/>
      <c r="F52" s="266"/>
      <c r="G52" s="268"/>
    </row>
    <row r="55" spans="1:7" ht="15">
      <c r="B55" s="270" t="s">
        <v>1562</v>
      </c>
      <c r="C55" s="271"/>
    </row>
    <row r="56" spans="1:7">
      <c r="B56" s="273" t="s">
        <v>802</v>
      </c>
      <c r="C56" s="275">
        <f ca="1">1-C57</f>
        <v>2.7000000000000024E-2</v>
      </c>
    </row>
    <row r="57" spans="1:7">
      <c r="B57" s="273" t="s">
        <v>803</v>
      </c>
      <c r="C57" s="274">
        <f ca="1">ROUND(C51/C52,3)</f>
        <v>0.97299999999999998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北京市房地产市场价值预评估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73.949299999999994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8222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14390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14390</v>
      </c>
      <c r="D8" s="222"/>
      <c r="E8" s="220"/>
      <c r="F8" s="221"/>
      <c r="G8" s="1856"/>
    </row>
    <row r="9" spans="1:8" s="214" customFormat="1" ht="13.5" customHeight="1">
      <c r="A9" s="779" t="s">
        <v>355</v>
      </c>
      <c r="B9" s="224" t="s">
        <v>1478</v>
      </c>
      <c r="C9" s="225">
        <f ca="1">ROUND(D9*E9,0)</f>
        <v>14390</v>
      </c>
      <c r="D9" s="845">
        <f ca="1">IF(B1="",'数据-汇总表'!E5,IF(INDIRECT("'数据-取费表'!c"&amp;$G$1)="住宅",INDIRECT("'数据-取费表'!k"&amp;$G$1),0))</f>
        <v>89.94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17988</v>
      </c>
      <c r="D19" s="849">
        <f ca="1">D9+D10</f>
        <v>89.94</v>
      </c>
      <c r="E19" s="211">
        <f>'数据-取费表'!B31</f>
        <v>200</v>
      </c>
      <c r="F19" s="231"/>
      <c r="G19" s="1856"/>
    </row>
    <row r="20" spans="1:7" s="214" customFormat="1" ht="13.5" customHeight="1">
      <c r="A20" s="255" t="s">
        <v>1574</v>
      </c>
      <c r="B20" s="210" t="s">
        <v>1575</v>
      </c>
      <c r="C20" s="232">
        <f ca="1">ROUND((C5+C19)*F20,0)</f>
        <v>324</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1981</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1095</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6540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6540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45310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535143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449700</v>
      </c>
      <c r="D34" s="217"/>
      <c r="E34" s="220"/>
      <c r="F34" s="257"/>
      <c r="G34" s="219"/>
    </row>
    <row r="35" spans="1:7" ht="13.5" customHeight="1">
      <c r="A35" s="780" t="s">
        <v>351</v>
      </c>
      <c r="B35" s="215" t="s">
        <v>1527</v>
      </c>
      <c r="C35" s="220">
        <f ca="1">ROUND(C34*F35,0)</f>
        <v>35976</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22485</v>
      </c>
      <c r="D36" s="220"/>
      <c r="E36" s="220"/>
      <c r="F36" s="259">
        <f>'数据-取费表'!B34</f>
        <v>0.05</v>
      </c>
      <c r="G36" s="260" t="s">
        <v>1530</v>
      </c>
    </row>
    <row r="37" spans="1:7" s="258" customFormat="1" ht="13.5" customHeight="1">
      <c r="A37" s="780" t="s">
        <v>353</v>
      </c>
      <c r="B37" s="215" t="s">
        <v>1531</v>
      </c>
      <c r="C37" s="249">
        <f ca="1">ROUND(E37*D37,0)</f>
        <v>17988</v>
      </c>
      <c r="D37" s="217">
        <f ca="1">D19</f>
        <v>89.94</v>
      </c>
      <c r="E37" s="249">
        <f>'数据-取费表'!B35</f>
        <v>200</v>
      </c>
      <c r="F37" s="259"/>
      <c r="G37" s="261"/>
    </row>
    <row r="38" spans="1:7" ht="13.5" customHeight="1">
      <c r="A38" s="780" t="s">
        <v>354</v>
      </c>
      <c r="B38" s="215" t="s">
        <v>1533</v>
      </c>
      <c r="C38" s="220">
        <f ca="1">ROUND(C34*F38,0)</f>
        <v>8994</v>
      </c>
      <c r="D38" s="220"/>
      <c r="E38" s="220"/>
      <c r="F38" s="259">
        <f>'数据-取费表'!B36</f>
        <v>0.02</v>
      </c>
      <c r="G38" s="219" t="s">
        <v>1528</v>
      </c>
    </row>
    <row r="39" spans="1:7" s="214" customFormat="1" ht="13.5" customHeight="1">
      <c r="A39" s="255" t="s">
        <v>1534</v>
      </c>
      <c r="B39" s="210" t="s">
        <v>1535</v>
      </c>
      <c r="C39" s="232">
        <f ca="1">ROUND(C33*F20,0)</f>
        <v>5351</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16215</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16054</v>
      </c>
      <c r="D42" s="238"/>
      <c r="E42" s="238"/>
      <c r="F42" s="239"/>
      <c r="G42" s="3659" t="s">
        <v>1591</v>
      </c>
    </row>
    <row r="43" spans="1:7" ht="13.5" customHeight="1">
      <c r="A43" s="780" t="s">
        <v>347</v>
      </c>
      <c r="B43" s="215" t="s">
        <v>1545</v>
      </c>
      <c r="C43" s="238">
        <f ca="1">ROUND(IF('数据-取费表'!B22&lt;=1,C39*F22*'数据-取费表'!B20/2,C39*(POWER((1+F22),'数据-取费表'!B20/2)-1)),0)</f>
        <v>161</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108099</v>
      </c>
      <c r="D45" s="235">
        <f ca="1">C47</f>
        <v>6.0000000000000001E-3</v>
      </c>
      <c r="E45" s="236" t="s">
        <v>1539</v>
      </c>
      <c r="F45" s="246">
        <f ca="1">F27</f>
        <v>0.2</v>
      </c>
      <c r="G45" s="247" t="s">
        <v>1548</v>
      </c>
    </row>
    <row r="46" spans="1:7" s="214" customFormat="1" ht="13.5" customHeight="1">
      <c r="A46" s="780" t="s">
        <v>346</v>
      </c>
      <c r="B46" s="248" t="s">
        <v>1549</v>
      </c>
      <c r="C46" s="249">
        <f ca="1">ROUND((C33+C39)*F27,0)</f>
        <v>108099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730719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694183</v>
      </c>
      <c r="D51" s="232"/>
      <c r="E51" s="232"/>
      <c r="F51" s="264"/>
      <c r="G51" s="234" t="s">
        <v>1560</v>
      </c>
    </row>
    <row r="52" spans="1:7" s="208" customFormat="1" ht="16.8" thickBot="1">
      <c r="A52" s="265" t="s">
        <v>1561</v>
      </c>
      <c r="B52" s="266"/>
      <c r="C52" s="267">
        <f ca="1">C31+C51</f>
        <v>739493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0</v>
      </c>
      <c r="D6" s="155" t="s">
        <v>2109</v>
      </c>
      <c r="E6" s="302" t="s">
        <v>696</v>
      </c>
      <c r="F6" s="303">
        <f ca="1">INDIRECT("'数据-取费表'!u"&amp;$G$1)</f>
        <v>0</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5" sqref="D1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58.76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87.691999999999993</v>
      </c>
      <c r="C2" s="1387" t="s">
        <v>879</v>
      </c>
      <c r="D2" s="1471">
        <f ca="1">C40+J29+L46</f>
        <v>876920</v>
      </c>
      <c r="E2" s="1388" t="s">
        <v>880</v>
      </c>
      <c r="F2" s="1389"/>
      <c r="G2" s="2706"/>
      <c r="H2" s="2695"/>
      <c r="I2" s="2695"/>
      <c r="J2" s="2695"/>
      <c r="K2" s="2696"/>
      <c r="L2" s="2695"/>
      <c r="M2" s="2695"/>
    </row>
    <row r="3" spans="1:37" ht="18" customHeight="1" thickBot="1">
      <c r="A3" s="1390" t="s">
        <v>881</v>
      </c>
      <c r="B3" s="1391">
        <f ca="1">IF(ISERROR(D2/F43),0,ROUND(D2/F43,0))</f>
        <v>9750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26637</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26604</v>
      </c>
      <c r="D6" s="155" t="s">
        <v>2106</v>
      </c>
      <c r="E6" s="302" t="s">
        <v>696</v>
      </c>
      <c r="F6" s="303">
        <f ca="1">INDIRECT("'数据-取费表'!u"&amp;$G$1)</f>
        <v>29</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89.94</v>
      </c>
      <c r="G7" s="1384"/>
      <c r="H7" s="304"/>
      <c r="I7" s="3665"/>
      <c r="J7" s="306"/>
      <c r="K7" s="307"/>
      <c r="L7" s="302" t="s">
        <v>697</v>
      </c>
      <c r="M7" s="303">
        <f ca="1">F7</f>
        <v>89.94</v>
      </c>
    </row>
    <row r="8" spans="1:37" ht="18" customHeight="1">
      <c r="A8" s="304"/>
      <c r="B8" s="3665"/>
      <c r="C8" s="306"/>
      <c r="D8" s="307"/>
      <c r="E8" s="302" t="s">
        <v>698</v>
      </c>
      <c r="F8" s="303">
        <f ca="1">INDIRECT("'数据-取费表'!ai"&amp;$G$1)</f>
        <v>12</v>
      </c>
      <c r="G8" s="1384"/>
      <c r="H8" s="304"/>
      <c r="I8" s="3665"/>
      <c r="J8" s="306"/>
      <c r="K8" s="307"/>
      <c r="L8" s="302" t="s">
        <v>698</v>
      </c>
      <c r="M8" s="303">
        <f ca="1">INDIRECT("'数据-取费表'!ai"&amp;$G$1)</f>
        <v>12</v>
      </c>
    </row>
    <row r="9" spans="1:37" ht="18" customHeight="1">
      <c r="A9" s="304"/>
      <c r="B9" s="3666"/>
      <c r="C9" s="306"/>
      <c r="D9" s="307"/>
      <c r="E9" s="302" t="s">
        <v>699</v>
      </c>
      <c r="F9" s="312">
        <f ca="1">INDIRECT("'数据-取费表'!w"&amp;$G$1)</f>
        <v>0.15</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33</v>
      </c>
      <c r="D10" s="1366" t="s">
        <v>2116</v>
      </c>
      <c r="E10" s="313" t="s">
        <v>701</v>
      </c>
      <c r="F10" s="1116" t="s">
        <v>3423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635726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449700</v>
      </c>
      <c r="D14" s="1345" t="s">
        <v>708</v>
      </c>
      <c r="E14" s="1342"/>
      <c r="F14" s="319"/>
      <c r="G14" s="1384"/>
      <c r="H14" s="982" t="s">
        <v>398</v>
      </c>
      <c r="I14" s="302" t="s">
        <v>709</v>
      </c>
      <c r="J14" s="21">
        <f ca="1">C29</f>
        <v>730719</v>
      </c>
      <c r="K14" s="12"/>
      <c r="L14" s="807"/>
      <c r="M14" s="808"/>
    </row>
    <row r="15" spans="1:37" s="1397" customFormat="1" ht="18" customHeight="1" thickBot="1">
      <c r="A15" s="982" t="s">
        <v>399</v>
      </c>
      <c r="B15" s="302" t="s">
        <v>710</v>
      </c>
      <c r="C15" s="21">
        <f ca="1">ROUND(C14*F15,0)</f>
        <v>35976</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22485</v>
      </c>
      <c r="D16" s="302" t="s">
        <v>711</v>
      </c>
      <c r="E16" s="302" t="s">
        <v>712</v>
      </c>
      <c r="F16" s="322">
        <f ca="1">IF(INDIRECT("'数据-取费表'!c"&amp;$G$1)="住宅",'数据-取费表'!B34,0)</f>
        <v>0.05</v>
      </c>
      <c r="G16" s="1384"/>
      <c r="H16" s="1079" t="s">
        <v>393</v>
      </c>
      <c r="I16" s="1080" t="s">
        <v>714</v>
      </c>
      <c r="J16" s="310">
        <f ca="1">ROUND(J17+J22+J23+J24,0)</f>
        <v>2192</v>
      </c>
      <c r="K16" s="1087" t="s">
        <v>715</v>
      </c>
      <c r="L16" s="1088"/>
      <c r="M16" s="1072"/>
    </row>
    <row r="17" spans="1:37" s="1397" customFormat="1" ht="18" customHeight="1">
      <c r="A17" s="982" t="s">
        <v>681</v>
      </c>
      <c r="B17" s="302" t="s">
        <v>716</v>
      </c>
      <c r="C17" s="21">
        <f ca="1">ROUND(F17*(F43+INDIRECT("'数据-取费表'!S"&amp;$G$1)),0)</f>
        <v>17988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535143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5351</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2192</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16215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-2192</v>
      </c>
      <c r="K25" s="1095" t="s">
        <v>753</v>
      </c>
      <c r="L25" s="1096"/>
      <c r="M25" s="1097"/>
    </row>
    <row r="26" spans="1:37" ht="18" customHeight="1">
      <c r="A26" s="982" t="s">
        <v>397</v>
      </c>
      <c r="B26" s="302" t="s">
        <v>754</v>
      </c>
      <c r="C26" s="21">
        <f ca="1">ROUND((C19+C20)*F26,0)</f>
        <v>108099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730719</v>
      </c>
      <c r="D29" s="1092"/>
      <c r="E29" s="1090"/>
      <c r="F29" s="1093"/>
      <c r="G29" s="1396"/>
      <c r="H29" s="334" t="s">
        <v>396</v>
      </c>
      <c r="I29" s="335" t="s">
        <v>768</v>
      </c>
      <c r="J29" s="336">
        <f ca="1">ROUND(J26/(1+F40)^F41,0)</f>
        <v>0</v>
      </c>
      <c r="K29" s="337" t="s">
        <v>769</v>
      </c>
      <c r="L29" s="338"/>
      <c r="M29" s="339">
        <f ca="1">INDIRECT("'数据-取费表'!k"&amp;$G$1)</f>
        <v>89.94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633</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2192</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636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22910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876920</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58.76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9750</v>
      </c>
      <c r="D43" s="337" t="s">
        <v>777</v>
      </c>
      <c r="E43" s="338" t="s">
        <v>778</v>
      </c>
      <c r="F43" s="339">
        <f ca="1">INDIRECT("'数据-取费表'!k"&amp;$G$1)</f>
        <v>89.94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-94.056399999999996</v>
      </c>
      <c r="D45" s="3432" t="s">
        <v>3353</v>
      </c>
      <c r="E45" s="1400"/>
      <c r="F45" s="1400"/>
      <c r="O45" s="1403" t="s">
        <v>808</v>
      </c>
      <c r="P45" s="1461"/>
      <c r="Q45" s="1461"/>
      <c r="R45" s="1461"/>
    </row>
    <row r="46" spans="1:18" s="1384" customFormat="1" ht="13.8" thickBot="1">
      <c r="A46" s="1404" t="s">
        <v>809</v>
      </c>
      <c r="C46" s="1405">
        <f ca="1">ROUND(C45,0)</f>
        <v>-94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876920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58.76</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730719</v>
      </c>
      <c r="R49" s="1420" t="s">
        <v>818</v>
      </c>
    </row>
    <row r="50" spans="1:18" s="1384" customFormat="1" ht="13.8" thickBot="1">
      <c r="A50" s="976"/>
      <c r="B50" s="979"/>
      <c r="C50" s="980"/>
      <c r="D50" s="953"/>
      <c r="E50" s="1056" t="s">
        <v>697</v>
      </c>
      <c r="F50" s="1057">
        <f ca="1">F7</f>
        <v>89.94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58.76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58.76</v>
      </c>
      <c r="K53" s="3662" t="s">
        <v>837</v>
      </c>
      <c r="L53" s="3663"/>
      <c r="O53" s="1418" t="s">
        <v>409</v>
      </c>
      <c r="P53" s="1419" t="s">
        <v>838</v>
      </c>
      <c r="Q53" s="1420">
        <f ca="1">Q47+Q48</f>
        <v>876920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635726</v>
      </c>
      <c r="D56" s="1447"/>
      <c r="E56" s="1448"/>
      <c r="F56" s="1440"/>
      <c r="I56" s="1449" t="s">
        <v>842</v>
      </c>
      <c r="J56" s="1450"/>
      <c r="K56" s="1421" t="s">
        <v>843</v>
      </c>
      <c r="L56" s="1424">
        <f ca="1">IF(L48&lt;J51,"——",L48-J51)</f>
        <v>58.76</v>
      </c>
      <c r="O56" s="1418" t="s">
        <v>403</v>
      </c>
      <c r="P56" s="1419" t="s">
        <v>817</v>
      </c>
      <c r="Q56" s="1420">
        <f ca="1">C40+J29</f>
        <v>876920</v>
      </c>
      <c r="R56" s="1420" t="s">
        <v>818</v>
      </c>
    </row>
    <row r="57" spans="1:18" s="1384" customFormat="1" ht="24.6" thickBot="1">
      <c r="A57" s="1451"/>
      <c r="B57" s="950" t="s">
        <v>767</v>
      </c>
      <c r="C57" s="238">
        <f ca="1">C29</f>
        <v>730719</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2828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876920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2192</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636</v>
      </c>
      <c r="D65" s="964" t="s">
        <v>743</v>
      </c>
      <c r="E65" s="950" t="s">
        <v>744</v>
      </c>
      <c r="F65" s="330">
        <f t="shared" ca="1" si="0"/>
        <v>1E-3</v>
      </c>
      <c r="I65" s="1462" t="s">
        <v>867</v>
      </c>
      <c r="J65" s="1463">
        <v>40</v>
      </c>
      <c r="K65" s="1463">
        <v>30</v>
      </c>
      <c r="L65" s="1463">
        <v>50</v>
      </c>
      <c r="M65" s="1465">
        <v>0.02</v>
      </c>
      <c r="O65" s="1418" t="s">
        <v>403</v>
      </c>
      <c r="P65" s="1419" t="s">
        <v>868</v>
      </c>
      <c r="Q65" s="1420">
        <f ca="1">C40+J29</f>
        <v>876920</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-2828</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-63644</v>
      </c>
      <c r="D68" s="965" t="s">
        <v>758</v>
      </c>
      <c r="E68" s="950" t="s">
        <v>759</v>
      </c>
      <c r="F68" s="312">
        <f ca="1">F40</f>
        <v>0.04</v>
      </c>
      <c r="O68" s="1428" t="s">
        <v>406</v>
      </c>
      <c r="P68" s="1467" t="s">
        <v>871</v>
      </c>
      <c r="Q68" s="1420">
        <f ca="1">ROUND(Q69-Q70*Q71,0)</f>
        <v>22910</v>
      </c>
      <c r="R68" s="1420" t="s">
        <v>414</v>
      </c>
    </row>
    <row r="69" spans="1:18" s="1384" customFormat="1" ht="13.8" thickBot="1">
      <c r="A69" s="951"/>
      <c r="B69" s="952"/>
      <c r="C69" s="306"/>
      <c r="D69" s="970" t="s">
        <v>762</v>
      </c>
      <c r="E69" s="950" t="s">
        <v>763</v>
      </c>
      <c r="F69" s="333">
        <f ca="1">F41</f>
        <v>58.76</v>
      </c>
      <c r="O69" s="1428" t="s">
        <v>411</v>
      </c>
      <c r="P69" s="1467" t="s">
        <v>872</v>
      </c>
      <c r="Q69" s="1420">
        <f ca="1">C39</f>
        <v>22910</v>
      </c>
      <c r="R69" s="1420" t="s">
        <v>818</v>
      </c>
    </row>
    <row r="70" spans="1:18" s="1384" customFormat="1" ht="13.8" thickBot="1">
      <c r="A70" s="954"/>
      <c r="B70" s="955"/>
      <c r="C70" s="310"/>
      <c r="D70" s="966"/>
      <c r="E70" s="950" t="s">
        <v>766</v>
      </c>
      <c r="F70" s="1054"/>
      <c r="O70" s="1428" t="s">
        <v>412</v>
      </c>
      <c r="P70" s="1467" t="s">
        <v>873</v>
      </c>
      <c r="Q70" s="1420">
        <f ca="1">C13</f>
        <v>635726</v>
      </c>
      <c r="R70" s="1420" t="s">
        <v>818</v>
      </c>
    </row>
    <row r="71" spans="1:18" s="1384" customFormat="1" ht="13.8" thickBot="1">
      <c r="A71" s="971" t="s">
        <v>396</v>
      </c>
      <c r="B71" s="972" t="s">
        <v>776</v>
      </c>
      <c r="C71" s="336">
        <f ca="1">ROUND(C68/F71,0)</f>
        <v>-708</v>
      </c>
      <c r="D71" s="973" t="s">
        <v>777</v>
      </c>
      <c r="E71" s="974" t="s">
        <v>778</v>
      </c>
      <c r="F71" s="339">
        <f ca="1">F43</f>
        <v>89.94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876920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0.27500000000000002</v>
      </c>
    </row>
    <row r="83" spans="2:3">
      <c r="B83" s="273" t="s">
        <v>803</v>
      </c>
      <c r="C83" s="274">
        <f ca="1">ROUND(C13/C40,3)</f>
        <v>0.72499999999999998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7" t="s">
        <v>2317</v>
      </c>
      <c r="K2" s="366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69" t="s">
        <v>2327</v>
      </c>
      <c r="K3" s="367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69" t="s">
        <v>2329</v>
      </c>
      <c r="K4" s="367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1" t="s">
        <v>2333</v>
      </c>
      <c r="B6" s="3672"/>
      <c r="C6" s="3673"/>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8" t="s">
        <v>2347</v>
      </c>
      <c r="C8" s="3679"/>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8" t="s">
        <v>2353</v>
      </c>
      <c r="C9" s="3679"/>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2" customHeight="1">
      <c r="A10" s="2888">
        <v>2</v>
      </c>
      <c r="B10" s="3678" t="s">
        <v>2356</v>
      </c>
      <c r="C10" s="3679"/>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2" customHeight="1">
      <c r="A11" s="2888">
        <v>3</v>
      </c>
      <c r="B11" s="3678" t="s">
        <v>2359</v>
      </c>
      <c r="C11" s="3679"/>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0" t="s">
        <v>2362</v>
      </c>
      <c r="C12" s="3681"/>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0" t="s">
        <v>2368</v>
      </c>
      <c r="C14" s="3681"/>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0" t="s">
        <v>2372</v>
      </c>
      <c r="C15" s="3681"/>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0" t="s">
        <v>2381</v>
      </c>
      <c r="C16" s="3681"/>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2" t="s">
        <v>2384</v>
      </c>
      <c r="C17" s="3683"/>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7" t="s">
        <v>2317</v>
      </c>
      <c r="K32" s="366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69" t="s">
        <v>2327</v>
      </c>
      <c r="K33" s="367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69" t="s">
        <v>2329</v>
      </c>
      <c r="K34" s="367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4">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87.691999999999993</v>
      </c>
      <c r="C2" s="1872" t="s">
        <v>1651</v>
      </c>
      <c r="D2" s="1873" t="s">
        <v>1652</v>
      </c>
      <c r="E2" s="2607">
        <f>SUM(E6:E13)</f>
        <v>89.94</v>
      </c>
      <c r="F2" s="2707"/>
      <c r="G2" s="1489"/>
      <c r="H2" s="1489"/>
      <c r="I2" s="1489"/>
      <c r="J2" s="1489"/>
      <c r="K2" s="1489"/>
      <c r="L2" s="1489"/>
      <c r="M2" s="1489"/>
      <c r="N2" s="1489"/>
      <c r="O2" s="1489"/>
      <c r="P2" s="1489"/>
      <c r="Q2" s="1489"/>
      <c r="R2" s="1489"/>
      <c r="S2" s="1489"/>
    </row>
    <row r="3" spans="1:22" ht="15.6">
      <c r="A3" s="1870" t="s">
        <v>686</v>
      </c>
      <c r="B3" s="2601">
        <f ca="1">ROUND(B2*10000/E2,0)</f>
        <v>9750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87.691999999999993</v>
      </c>
      <c r="C6" s="1872" t="s">
        <v>1651</v>
      </c>
      <c r="D6" s="2709"/>
      <c r="E6" s="2606">
        <f>IF(OR(A6=0,F6="否"),0,'数据-取费表'!K6+'数据-取费表'!S6)</f>
        <v>89.94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zoomScaleSheetLayoutView="70" workbookViewId="0">
      <selection activeCell="L26" sqref="L2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3425</v>
      </c>
      <c r="F1" s="1879" t="s">
        <v>3426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136.358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15161</v>
      </c>
      <c r="C3" s="354" t="s">
        <v>1665</v>
      </c>
      <c r="D3" s="353">
        <f>IF(D1="",'数据-汇总表'!E3,SUMIF('数据-汇总表'!$C19:$C33,D1,'数据-汇总表'!$E19:$E33))</f>
        <v>89.94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693" t="s">
        <v>1668</v>
      </c>
      <c r="S4" s="3694"/>
      <c r="T4" s="3693" t="s">
        <v>1669</v>
      </c>
      <c r="U4" s="3694"/>
      <c r="V4" s="3718" t="s">
        <v>1670</v>
      </c>
      <c r="W4" s="3718"/>
      <c r="X4" s="1355"/>
      <c r="Y4" s="3693" t="s">
        <v>1672</v>
      </c>
      <c r="Z4" s="3694"/>
      <c r="AA4" s="3688" t="s">
        <v>1668</v>
      </c>
      <c r="AB4" s="3688" t="s">
        <v>1669</v>
      </c>
      <c r="AC4" s="3688" t="s">
        <v>1670</v>
      </c>
    </row>
    <row r="5" spans="1:29">
      <c r="A5" s="358"/>
      <c r="B5" s="359"/>
      <c r="C5" s="3699" t="s">
        <v>1673</v>
      </c>
      <c r="D5" s="3700"/>
      <c r="E5" s="3697" t="s">
        <v>3450</v>
      </c>
      <c r="F5" s="3698"/>
      <c r="G5" s="3699" t="str">
        <f>E5</f>
        <v>首创悦树湾</v>
      </c>
      <c r="H5" s="3700"/>
      <c r="I5" s="3699" t="str">
        <f>E5</f>
        <v>首创悦树湾</v>
      </c>
      <c r="J5" s="3700"/>
      <c r="K5" s="1890"/>
      <c r="L5" s="2715"/>
      <c r="M5" s="2716"/>
      <c r="N5" s="2716"/>
      <c r="O5" s="2716"/>
      <c r="P5" s="3712"/>
      <c r="Q5" s="3713"/>
      <c r="R5" s="3695"/>
      <c r="S5" s="3696"/>
      <c r="T5" s="3695"/>
      <c r="U5" s="3696"/>
      <c r="V5" s="3718"/>
      <c r="W5" s="3718"/>
      <c r="X5" s="1355"/>
      <c r="Y5" s="3695"/>
      <c r="Z5" s="3696"/>
      <c r="AA5" s="3689"/>
      <c r="AB5" s="3689"/>
      <c r="AC5" s="3689"/>
    </row>
    <row r="6" spans="1:29" ht="15" thickBot="1">
      <c r="A6" s="360"/>
      <c r="B6" s="361"/>
      <c r="C6" s="3701" t="s">
        <v>1677</v>
      </c>
      <c r="D6" s="3702"/>
      <c r="E6" s="3703"/>
      <c r="F6" s="3704"/>
      <c r="G6" s="3701" t="s">
        <v>1677</v>
      </c>
      <c r="H6" s="3702"/>
      <c r="I6" s="3701" t="s">
        <v>1677</v>
      </c>
      <c r="J6" s="3702"/>
      <c r="K6" s="1890" t="s">
        <v>1678</v>
      </c>
      <c r="L6" s="2715"/>
      <c r="M6" s="2716"/>
      <c r="N6" s="2716"/>
      <c r="O6" s="2716"/>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45833</v>
      </c>
      <c r="D7" s="365">
        <v>100</v>
      </c>
      <c r="E7" s="366">
        <v>45813</v>
      </c>
      <c r="F7" s="367">
        <f>SUMIF(58:58,YEAR(E7)&amp;"-"&amp;MONTH(E7),59:59)</f>
        <v>100</v>
      </c>
      <c r="G7" s="366">
        <v>45763</v>
      </c>
      <c r="H7" s="365">
        <f>SUMIF(58:58,YEAR(G7)&amp;"-"&amp;MONTH(G7),59:59)</f>
        <v>100</v>
      </c>
      <c r="I7" s="366">
        <v>45720</v>
      </c>
      <c r="J7" s="365">
        <f>SUMIF(58:58,YEAR(I7)&amp;"-"&amp;MONTH(I7),59:59)</f>
        <v>100.2</v>
      </c>
      <c r="K7" s="1891"/>
      <c r="L7" s="2717"/>
      <c r="M7" s="2718"/>
      <c r="N7" s="2718"/>
      <c r="O7" s="2718"/>
      <c r="P7" s="3691" t="s">
        <v>1680</v>
      </c>
      <c r="Q7" s="3719"/>
      <c r="R7" s="701" t="s">
        <v>20</v>
      </c>
      <c r="S7" s="702">
        <f t="shared" ref="S7:S15" si="0">F7</f>
        <v>100</v>
      </c>
      <c r="T7" s="701" t="s">
        <v>20</v>
      </c>
      <c r="U7" s="702">
        <f t="shared" ref="U7:U15" si="1">H7</f>
        <v>100</v>
      </c>
      <c r="V7" s="701" t="s">
        <v>20</v>
      </c>
      <c r="W7" s="702">
        <f t="shared" ref="W7:W15" si="2">J7</f>
        <v>100.2</v>
      </c>
      <c r="X7" s="703"/>
      <c r="Y7" s="3691" t="s">
        <v>1680</v>
      </c>
      <c r="Z7" s="3692"/>
      <c r="AA7" s="704">
        <f>D7/F7</f>
        <v>1</v>
      </c>
      <c r="AB7" s="704">
        <f>D7/H7</f>
        <v>1</v>
      </c>
      <c r="AC7" s="704">
        <f>D7/J7</f>
        <v>0.99800399201596801</v>
      </c>
    </row>
    <row r="8" spans="1:29" s="108" customFormat="1" ht="15" thickBot="1">
      <c r="A8" s="362" t="s">
        <v>1681</v>
      </c>
      <c r="B8" s="363"/>
      <c r="C8" s="368" t="s">
        <v>3447</v>
      </c>
      <c r="D8" s="365">
        <v>100</v>
      </c>
      <c r="E8" s="1892" t="s">
        <v>3447</v>
      </c>
      <c r="F8" s="367">
        <f>SUMIF(61:61,E8,62:62)-SUMIF(61:61,C8,62:62)+100</f>
        <v>100</v>
      </c>
      <c r="G8" s="368" t="s">
        <v>3447</v>
      </c>
      <c r="H8" s="365">
        <f>SUMIF(61:61,G8,62:62)-SUMIF(61:61,C8,62:62)+100</f>
        <v>100</v>
      </c>
      <c r="I8" s="1892" t="s">
        <v>3447</v>
      </c>
      <c r="J8" s="365">
        <f>SUMIF(61:61,I8,62:62)-SUMIF(61:61,C8,62:62)+100</f>
        <v>100</v>
      </c>
      <c r="K8" s="1891"/>
      <c r="L8" s="2717"/>
      <c r="M8" s="2718"/>
      <c r="N8" s="2718"/>
      <c r="O8" s="2718"/>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ht="14.4">
      <c r="A9" s="369" t="s">
        <v>1684</v>
      </c>
      <c r="B9" s="63" t="s">
        <v>1685</v>
      </c>
      <c r="C9" s="3473" t="s">
        <v>3445</v>
      </c>
      <c r="D9" s="126">
        <v>100</v>
      </c>
      <c r="E9" s="371" t="s">
        <v>3406</v>
      </c>
      <c r="F9" s="372">
        <f>SUMIF(63:63,E9,64:64)-SUMIF(63:63,C9,64:64)+100</f>
        <v>100</v>
      </c>
      <c r="G9" s="373" t="s">
        <v>3406</v>
      </c>
      <c r="H9" s="126">
        <f>SUMIF(63:63,G9,64:64)-SUMIF(63:63,C9,64:64)+100</f>
        <v>100</v>
      </c>
      <c r="I9" s="373" t="s">
        <v>3406</v>
      </c>
      <c r="J9" s="126">
        <f>SUMIF(63:63,I9,64:64)-SUMIF(63:63,C9,64:64)+100</f>
        <v>100</v>
      </c>
      <c r="K9" s="1891"/>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5"/>
      <c r="Q11" s="1343" t="str">
        <f t="shared" si="6"/>
        <v>容积率</v>
      </c>
      <c r="R11" s="701" t="s">
        <v>18</v>
      </c>
      <c r="S11" s="702">
        <f t="shared" si="0"/>
        <v>100</v>
      </c>
      <c r="T11" s="701" t="s">
        <v>18</v>
      </c>
      <c r="U11" s="702">
        <f t="shared" si="1"/>
        <v>100</v>
      </c>
      <c r="V11" s="701" t="s">
        <v>18</v>
      </c>
      <c r="W11" s="702">
        <f t="shared" si="2"/>
        <v>100</v>
      </c>
      <c r="X11" s="703"/>
      <c r="Y11" s="363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t="s">
        <v>3457</v>
      </c>
      <c r="D18" s="401"/>
      <c r="E18" s="1902" t="s">
        <v>3457</v>
      </c>
      <c r="F18" s="401"/>
      <c r="G18" s="1903" t="s">
        <v>3457</v>
      </c>
      <c r="H18" s="399"/>
      <c r="I18" s="1903" t="s">
        <v>3457</v>
      </c>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6" t="s">
        <v>3428</v>
      </c>
      <c r="F26" s="386">
        <f>SUMIF(88:88,E26,89:89)-SUMIF(88:88,C26,89:89)+100</f>
        <v>100</v>
      </c>
      <c r="G26" s="1907" t="s">
        <v>3458</v>
      </c>
      <c r="H26" s="386">
        <f>SUMIF(88:88,G26,89:89)-SUMIF(88:88,C26,89:89)+100</f>
        <v>98</v>
      </c>
      <c r="I26" s="1907" t="s">
        <v>3458</v>
      </c>
      <c r="J26" s="386">
        <f>SUMIF(88:88,I26,89:89)-SUMIF(88:88,C26,89:89)+100</f>
        <v>98</v>
      </c>
      <c r="K26" s="377">
        <v>2</v>
      </c>
      <c r="L26" s="2722"/>
      <c r="M26" s="2716"/>
      <c r="N26" s="2716"/>
      <c r="O26" s="2716"/>
      <c r="P26" s="3733"/>
      <c r="Q26" s="1352" t="str">
        <f t="shared" si="11"/>
        <v>朝向</v>
      </c>
      <c r="R26" s="705" t="s">
        <v>18</v>
      </c>
      <c r="S26" s="706">
        <f t="shared" si="12"/>
        <v>100</v>
      </c>
      <c r="T26" s="705" t="s">
        <v>18</v>
      </c>
      <c r="U26" s="706">
        <f t="shared" si="13"/>
        <v>98</v>
      </c>
      <c r="V26" s="705" t="s">
        <v>18</v>
      </c>
      <c r="W26" s="706">
        <f t="shared" si="14"/>
        <v>98</v>
      </c>
      <c r="X26" s="1355"/>
      <c r="Y26" s="3726"/>
      <c r="Z26" s="1356" t="str">
        <f>Q26</f>
        <v>朝向</v>
      </c>
      <c r="AA26" s="1353">
        <f t="shared" si="15"/>
        <v>1</v>
      </c>
      <c r="AB26" s="1353">
        <f t="shared" si="16"/>
        <v>1.0204081632653061</v>
      </c>
      <c r="AC26" s="1353">
        <f t="shared" si="17"/>
        <v>1.0204081632653061</v>
      </c>
    </row>
    <row r="27" spans="1:29" s="108" customFormat="1" ht="15.6" thickBot="1">
      <c r="A27" s="382"/>
      <c r="B27" s="3471" t="s">
        <v>3430</v>
      </c>
      <c r="C27" s="416" t="s">
        <v>3453</v>
      </c>
      <c r="D27" s="413">
        <v>100</v>
      </c>
      <c r="E27" s="416" t="s">
        <v>3454</v>
      </c>
      <c r="F27" s="413">
        <f>SUMIF(90:90,E27,91:91)-SUMIF(90:90,C27,91:91)+100</f>
        <v>103</v>
      </c>
      <c r="G27" s="414" t="s">
        <v>3455</v>
      </c>
      <c r="H27" s="413">
        <f>SUMIF(90:90,G27,91:91)-SUMIF(90:90,C27,91:91)+100</f>
        <v>101</v>
      </c>
      <c r="I27" s="414" t="s">
        <v>3456</v>
      </c>
      <c r="J27" s="413">
        <f>SUMIF(90:90,I27,91:91)-SUMIF(90:90,C27,91:91)+100</f>
        <v>102</v>
      </c>
      <c r="K27" s="1894"/>
      <c r="L27" s="2717"/>
      <c r="M27" s="2718"/>
      <c r="N27" s="2718"/>
      <c r="O27" s="2718"/>
      <c r="P27" s="3733"/>
      <c r="Q27" s="1343" t="str">
        <f t="shared" si="11"/>
        <v>楼层</v>
      </c>
      <c r="R27" s="701" t="s">
        <v>18</v>
      </c>
      <c r="S27" s="702">
        <f t="shared" si="12"/>
        <v>103</v>
      </c>
      <c r="T27" s="701" t="s">
        <v>18</v>
      </c>
      <c r="U27" s="702">
        <f t="shared" si="13"/>
        <v>101</v>
      </c>
      <c r="V27" s="701" t="s">
        <v>18</v>
      </c>
      <c r="W27" s="702">
        <f t="shared" si="14"/>
        <v>102</v>
      </c>
      <c r="X27" s="703"/>
      <c r="Y27" s="3726"/>
      <c r="Z27" s="52" t="str">
        <f>Q27</f>
        <v>楼层</v>
      </c>
      <c r="AA27" s="1353">
        <f t="shared" si="15"/>
        <v>0.970873786407767</v>
      </c>
      <c r="AB27" s="1353">
        <f t="shared" si="16"/>
        <v>0.99009900990099009</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t="s">
        <v>3431</v>
      </c>
      <c r="D32" s="418">
        <v>100</v>
      </c>
      <c r="E32" s="1911" t="s">
        <v>3431</v>
      </c>
      <c r="F32" s="412">
        <f>SUMIF(100:100,E32,101:101)-SUMIF(100:100,C32,101:101)+100</f>
        <v>100</v>
      </c>
      <c r="G32" s="1910" t="s">
        <v>3431</v>
      </c>
      <c r="H32" s="418">
        <f>SUMIF(100:100,G32,101:101)-SUMIF(100:100,C32,101:101)+100</f>
        <v>100</v>
      </c>
      <c r="I32" s="1911" t="s">
        <v>3431</v>
      </c>
      <c r="J32" s="386">
        <f>SUMIF(100:100,I32,101:101)-SUMIF(100:100,C32,101:101)+100</f>
        <v>100</v>
      </c>
      <c r="K32" s="377">
        <v>1</v>
      </c>
      <c r="L32" s="2722"/>
      <c r="M32" s="2716"/>
      <c r="N32" s="2716"/>
      <c r="O32" s="2716"/>
      <c r="P32" s="3727" t="s">
        <v>1696</v>
      </c>
      <c r="Q32" s="1352" t="str">
        <f t="shared" si="11"/>
        <v>建筑类型</v>
      </c>
      <c r="R32" s="705" t="s">
        <v>18</v>
      </c>
      <c r="S32" s="706">
        <f t="shared" si="12"/>
        <v>100</v>
      </c>
      <c r="T32" s="705" t="s">
        <v>18</v>
      </c>
      <c r="U32" s="706">
        <f t="shared" si="13"/>
        <v>100</v>
      </c>
      <c r="V32" s="705" t="s">
        <v>18</v>
      </c>
      <c r="W32" s="706">
        <f t="shared" si="14"/>
        <v>100</v>
      </c>
      <c r="X32" s="1355"/>
      <c r="Y32" s="3730"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89.94</v>
      </c>
      <c r="D33" s="127">
        <v>100</v>
      </c>
      <c r="E33" s="381">
        <v>89.94</v>
      </c>
      <c r="F33" s="376">
        <f>LOOKUP(E33,103:103,104:104)-LOOKUP(C33,103:103,104:104)+100</f>
        <v>100</v>
      </c>
      <c r="G33" s="380">
        <v>66.38</v>
      </c>
      <c r="H33" s="127">
        <f>LOOKUP(G33,103:103,104:104)-LOOKUP(C33,103:103,104:104)+100</f>
        <v>102</v>
      </c>
      <c r="I33" s="381">
        <v>84.1</v>
      </c>
      <c r="J33" s="127">
        <f>LOOKUP(I33,103:103,104:104)-LOOKUP(C33,103:103,104:104)+100</f>
        <v>100</v>
      </c>
      <c r="K33" s="1894"/>
      <c r="L33" s="2721"/>
      <c r="M33" s="2723"/>
      <c r="N33" s="2723"/>
      <c r="O33" s="2723"/>
      <c r="P33" s="3728"/>
      <c r="Q33" s="707" t="str">
        <f t="shared" si="11"/>
        <v>项目建筑规模</v>
      </c>
      <c r="R33" s="708" t="s">
        <v>18</v>
      </c>
      <c r="S33" s="709">
        <f t="shared" si="12"/>
        <v>100</v>
      </c>
      <c r="T33" s="708" t="s">
        <v>18</v>
      </c>
      <c r="U33" s="709">
        <f t="shared" si="13"/>
        <v>102</v>
      </c>
      <c r="V33" s="708" t="s">
        <v>18</v>
      </c>
      <c r="W33" s="709">
        <f t="shared" si="14"/>
        <v>100</v>
      </c>
      <c r="X33" s="710"/>
      <c r="Y33" s="3730"/>
      <c r="Z33" s="711" t="str">
        <f t="shared" si="18"/>
        <v>项目建筑规模</v>
      </c>
      <c r="AA33" s="1353">
        <f t="shared" si="15"/>
        <v>1</v>
      </c>
      <c r="AB33" s="1353">
        <f t="shared" si="16"/>
        <v>0.98039215686274506</v>
      </c>
      <c r="AC33" s="1353">
        <f t="shared" si="17"/>
        <v>1</v>
      </c>
    </row>
    <row r="34" spans="1:29" ht="15">
      <c r="A34" s="423"/>
      <c r="B34" s="375" t="s">
        <v>1698</v>
      </c>
      <c r="C34" s="1912" t="s">
        <v>3435</v>
      </c>
      <c r="D34" s="386">
        <v>100</v>
      </c>
      <c r="E34" s="1913" t="s">
        <v>3435</v>
      </c>
      <c r="F34" s="412">
        <f>SUMIF(105:105,E34,106:106)-SUMIF(105:105,C34,106:106)+100</f>
        <v>100</v>
      </c>
      <c r="G34" s="1912" t="s">
        <v>3435</v>
      </c>
      <c r="H34" s="386">
        <f>SUMIF(105:105,G34,106:106)-SUMIF(105:105,C34,106:106)+100</f>
        <v>100</v>
      </c>
      <c r="I34" s="1913" t="s">
        <v>3435</v>
      </c>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1700</v>
      </c>
      <c r="C36" s="1906" t="s">
        <v>3437</v>
      </c>
      <c r="D36" s="386">
        <v>100</v>
      </c>
      <c r="E36" s="1907" t="s">
        <v>3437</v>
      </c>
      <c r="F36" s="412">
        <f>SUMIF(109:109,E36,110:110)-SUMIF(109:109,C36,110:110)+100</f>
        <v>100</v>
      </c>
      <c r="G36" s="1906" t="s">
        <v>3437</v>
      </c>
      <c r="H36" s="386">
        <f>SUMIF(109:109,G36,110:110)-SUMIF(109:109,C36,110:110)+100</f>
        <v>100</v>
      </c>
      <c r="I36" s="1907" t="s">
        <v>3437</v>
      </c>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28"/>
      <c r="Q37" s="1343" t="str">
        <f t="shared" si="11"/>
        <v>成新度</v>
      </c>
      <c r="R37" s="701" t="s">
        <v>18</v>
      </c>
      <c r="S37" s="702">
        <f t="shared" si="12"/>
        <v>100</v>
      </c>
      <c r="T37" s="701" t="s">
        <v>18</v>
      </c>
      <c r="U37" s="702">
        <f t="shared" si="13"/>
        <v>100</v>
      </c>
      <c r="V37" s="701" t="s">
        <v>18</v>
      </c>
      <c r="W37" s="702">
        <f t="shared" si="14"/>
        <v>100</v>
      </c>
      <c r="X37" s="703"/>
      <c r="Y37" s="3730"/>
      <c r="Z37" s="52" t="str">
        <f t="shared" si="18"/>
        <v>成新度</v>
      </c>
      <c r="AA37" s="704">
        <f t="shared" si="15"/>
        <v>1</v>
      </c>
      <c r="AB37" s="704">
        <f t="shared" si="16"/>
        <v>1</v>
      </c>
      <c r="AC37" s="704">
        <f t="shared" si="17"/>
        <v>1</v>
      </c>
    </row>
    <row r="38" spans="1:29" ht="15">
      <c r="A38" s="423"/>
      <c r="B38" s="375" t="s">
        <v>1702</v>
      </c>
      <c r="C38" s="1906" t="s">
        <v>3439</v>
      </c>
      <c r="D38" s="386">
        <v>100</v>
      </c>
      <c r="E38" s="1907" t="s">
        <v>3439</v>
      </c>
      <c r="F38" s="412">
        <f>SUMIF(114:114,E38,115:115)-SUMIF(114:114,C38,115:115)+100</f>
        <v>100</v>
      </c>
      <c r="G38" s="1906" t="s">
        <v>3439</v>
      </c>
      <c r="H38" s="386">
        <f>SUMIF(114:114,G38,115:115)-SUMIF(114:114,C38,115:115)+100</f>
        <v>100</v>
      </c>
      <c r="I38" s="1907" t="s">
        <v>3439</v>
      </c>
      <c r="J38" s="386">
        <f>SUMIF(114:114,I38,115:115)-SUMIF(114:114,C38,115:115)+100</f>
        <v>100</v>
      </c>
      <c r="K38" s="377"/>
      <c r="L38" s="2722"/>
      <c r="M38" s="2716"/>
      <c r="N38" s="2716"/>
      <c r="O38" s="2716"/>
      <c r="P38" s="3728" t="s">
        <v>1696</v>
      </c>
      <c r="Q38" s="1352" t="str">
        <f t="shared" si="11"/>
        <v>物业管理</v>
      </c>
      <c r="R38" s="705" t="s">
        <v>18</v>
      </c>
      <c r="S38" s="706">
        <f t="shared" si="12"/>
        <v>100</v>
      </c>
      <c r="T38" s="705" t="s">
        <v>18</v>
      </c>
      <c r="U38" s="706">
        <f t="shared" si="13"/>
        <v>100</v>
      </c>
      <c r="V38" s="705" t="s">
        <v>18</v>
      </c>
      <c r="W38" s="706">
        <f t="shared" si="14"/>
        <v>100</v>
      </c>
      <c r="X38" s="1355"/>
      <c r="Y38" s="3730" t="s">
        <v>1696</v>
      </c>
      <c r="Z38" s="1356" t="str">
        <f t="shared" si="18"/>
        <v>物业管理</v>
      </c>
      <c r="AA38" s="1353">
        <f t="shared" si="15"/>
        <v>1</v>
      </c>
      <c r="AB38" s="1353">
        <f t="shared" si="16"/>
        <v>1</v>
      </c>
      <c r="AC38" s="1353">
        <f t="shared" si="17"/>
        <v>1</v>
      </c>
    </row>
    <row r="39" spans="1:29" ht="15">
      <c r="A39" s="423"/>
      <c r="B39" s="375" t="s">
        <v>1703</v>
      </c>
      <c r="C39" s="1906" t="s">
        <v>3441</v>
      </c>
      <c r="D39" s="386">
        <v>100</v>
      </c>
      <c r="E39" s="1907" t="s">
        <v>3441</v>
      </c>
      <c r="F39" s="412">
        <f>SUMIF(116:116,E39,117:117)-SUMIF(116:116,C39,117:117)+100</f>
        <v>100</v>
      </c>
      <c r="G39" s="1906" t="s">
        <v>3441</v>
      </c>
      <c r="H39" s="386">
        <f>SUMIF(116:116,G39,117:117)-SUMIF(116:116,C39,117:117)+100</f>
        <v>100</v>
      </c>
      <c r="I39" s="1907" t="s">
        <v>3441</v>
      </c>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1706</v>
      </c>
      <c r="C42" s="1906" t="s">
        <v>3437</v>
      </c>
      <c r="D42" s="386">
        <v>100</v>
      </c>
      <c r="E42" s="1907" t="s">
        <v>3437</v>
      </c>
      <c r="F42" s="412">
        <f>SUMIF(122:122,E42,123:123)-SUMIF(122:122,C42,123:123)+100</f>
        <v>100</v>
      </c>
      <c r="G42" s="1906" t="s">
        <v>3437</v>
      </c>
      <c r="H42" s="386">
        <f>SUMIF(122:122,G42,123:123)-SUMIF(122:122,C42,123:123)+100</f>
        <v>100</v>
      </c>
      <c r="I42" s="1907" t="s">
        <v>3437</v>
      </c>
      <c r="J42" s="386">
        <f>SUMIF(122:122,I42,123:123)-SUMIF(122:122,C42,123:123)+100</f>
        <v>100</v>
      </c>
      <c r="K42" s="377"/>
      <c r="L42" s="2722"/>
      <c r="M42" s="2716"/>
      <c r="N42" s="2716"/>
      <c r="O42" s="2716"/>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28.8" hidden="1">
      <c r="A43" s="423"/>
      <c r="B43" s="375" t="s">
        <v>1707</v>
      </c>
      <c r="C43" s="1906" t="s">
        <v>3446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6" thickBot="1">
      <c r="A44" s="424"/>
      <c r="B44" s="3471" t="s">
        <v>3444</v>
      </c>
      <c r="C44" s="420">
        <v>2017</v>
      </c>
      <c r="D44" s="127">
        <v>100</v>
      </c>
      <c r="E44" s="420">
        <v>2017</v>
      </c>
      <c r="F44" s="376">
        <f>SUMIF(126:126,E44,127:127)-SUMIF(126:126,C44,127:127)+100</f>
        <v>100</v>
      </c>
      <c r="G44" s="420">
        <f>E44</f>
        <v>2017</v>
      </c>
      <c r="H44" s="127">
        <f>SUMIF(126:126,G44,127:127)-SUMIF(126:126,C44,127:127)+100</f>
        <v>100</v>
      </c>
      <c r="I44" s="420">
        <f>E44</f>
        <v>2017</v>
      </c>
      <c r="J44" s="127">
        <f>SUMIF(126:126,I44,127:127)-SUMIF(126:126,C44,127:127)+100</f>
        <v>100</v>
      </c>
      <c r="K44" s="1894"/>
      <c r="L44" s="2717"/>
      <c r="M44" s="2718"/>
      <c r="N44" s="2718"/>
      <c r="O44" s="2718"/>
      <c r="P44" s="3728"/>
      <c r="Q44" s="1343" t="str">
        <f t="shared" si="11"/>
        <v>建成年代</v>
      </c>
      <c r="R44" s="701" t="s">
        <v>18</v>
      </c>
      <c r="S44" s="702">
        <f t="shared" si="12"/>
        <v>100</v>
      </c>
      <c r="T44" s="701" t="s">
        <v>18</v>
      </c>
      <c r="U44" s="702">
        <f t="shared" si="13"/>
        <v>100</v>
      </c>
      <c r="V44" s="701" t="s">
        <v>18</v>
      </c>
      <c r="W44" s="702">
        <f t="shared" si="14"/>
        <v>100</v>
      </c>
      <c r="X44" s="703"/>
      <c r="Y44" s="3730"/>
      <c r="Z44" s="52" t="str">
        <f t="shared" si="18"/>
        <v>建成年代</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4.4">
      <c r="A47" s="430" t="s">
        <v>1708</v>
      </c>
      <c r="B47" s="431"/>
      <c r="C47" s="1154" t="s">
        <v>16</v>
      </c>
      <c r="D47" s="1155"/>
      <c r="E47" s="1156">
        <v>15677</v>
      </c>
      <c r="F47" s="1157"/>
      <c r="G47" s="1158">
        <v>14914</v>
      </c>
      <c r="H47" s="1159"/>
      <c r="I47" s="1156">
        <v>15517</v>
      </c>
      <c r="J47" s="1159"/>
      <c r="K47" s="1914"/>
      <c r="L47" s="2724"/>
      <c r="M47" s="2725"/>
      <c r="N47" s="2716"/>
      <c r="O47" s="2725"/>
      <c r="P47" s="3723" t="str">
        <f>A47</f>
        <v>成交单价（元/平方米）</v>
      </c>
      <c r="Q47" s="3723"/>
      <c r="R47" s="3724">
        <f>E47</f>
        <v>15677</v>
      </c>
      <c r="S47" s="3724"/>
      <c r="T47" s="3724">
        <f>G47</f>
        <v>14914</v>
      </c>
      <c r="U47" s="3724"/>
      <c r="V47" s="3724">
        <f>I47</f>
        <v>15517</v>
      </c>
      <c r="W47" s="3724"/>
      <c r="X47" s="690"/>
      <c r="Y47" s="712"/>
      <c r="Z47" s="690"/>
      <c r="AA47" s="690"/>
      <c r="AB47" s="690"/>
      <c r="AC47" s="690"/>
    </row>
    <row r="48" spans="1:29" ht="15" thickBot="1">
      <c r="A48" s="437" t="s">
        <v>1709</v>
      </c>
      <c r="B48" s="438"/>
      <c r="C48" s="1160">
        <f>R49</f>
        <v>15161</v>
      </c>
      <c r="D48" s="2317" t="s">
        <v>2138</v>
      </c>
      <c r="E48" s="1161">
        <f>R48</f>
        <v>15220</v>
      </c>
      <c r="F48" s="2318"/>
      <c r="G48" s="1160">
        <f>T48</f>
        <v>14772</v>
      </c>
      <c r="H48" s="2318"/>
      <c r="I48" s="1161">
        <f>V48</f>
        <v>15492</v>
      </c>
      <c r="J48" s="2318"/>
      <c r="K48" s="2319">
        <f>F48+H48+J48</f>
        <v>0</v>
      </c>
      <c r="L48" s="2724"/>
      <c r="M48" s="2725"/>
      <c r="N48" s="2725"/>
      <c r="O48" s="2725"/>
      <c r="P48" s="3723" t="str">
        <f>A48</f>
        <v>比较价值（元/平方米）</v>
      </c>
      <c r="Q48" s="3723"/>
      <c r="R48" s="3724">
        <f>IF(F1="售价",ROUND(PRODUCT(R47,AA7:AA46),0),ROUND(PRODUCT(R47,AA7:AA46),1))</f>
        <v>15220</v>
      </c>
      <c r="S48" s="3724"/>
      <c r="T48" s="3724">
        <f>IF(F1="售价",ROUND(PRODUCT(T47,AB7:AB46),0),ROUND(PRODUCT(T47,AB7:AB46),1))</f>
        <v>14772</v>
      </c>
      <c r="U48" s="3724"/>
      <c r="V48" s="3724">
        <f>IF(F1="售价",ROUND(PRODUCT(V47,AC7:AC46),0),ROUND(PRODUCT(V47,AC7:AC46),1))</f>
        <v>15492</v>
      </c>
      <c r="W48" s="3724"/>
      <c r="X48" s="690"/>
      <c r="Y48" s="690"/>
      <c r="Z48" s="690"/>
      <c r="AA48" s="690"/>
      <c r="AB48" s="690"/>
      <c r="AC48" s="690"/>
    </row>
    <row r="49" spans="1:29" ht="15" thickBot="1">
      <c r="A49" s="441" t="s">
        <v>1710</v>
      </c>
      <c r="B49" s="442"/>
      <c r="C49" s="1162">
        <f>R49</f>
        <v>15161</v>
      </c>
      <c r="D49" s="1163"/>
      <c r="E49" s="1163"/>
      <c r="F49" s="1163"/>
      <c r="G49" s="1163"/>
      <c r="H49" s="1163"/>
      <c r="I49" s="1163"/>
      <c r="J49" s="1163"/>
      <c r="K49" s="1915"/>
      <c r="L49" s="2724"/>
      <c r="M49" s="2725"/>
      <c r="N49" s="2725"/>
      <c r="O49" s="2725"/>
      <c r="P49" s="3720" t="str">
        <f>A49</f>
        <v>估价对象XX用房的比较价值（楼面单价，元/平方米）</v>
      </c>
      <c r="Q49" s="3721"/>
      <c r="R49" s="3722">
        <f>IF(F1="售价",ROUND(IF(D48="简单平均",AVERAGE(R48:V48),R48*F48+T48*H48+V48*J48),0),ROUND(IF(D48="简单平均",AVERAGE(R48:V48),R48*F48+T48*H48+V48*J48),1))</f>
        <v>15161</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3.0026281208935579E-2</v>
      </c>
      <c r="F52" s="449" t="str">
        <f>IF(OR(E52&gt;=0.3,E52&lt;=-0.3),"超过30%","")</f>
        <v/>
      </c>
      <c r="G52" s="448">
        <f>IF(G47&lt;G48,G48/G47-1,G47/G48-1)</f>
        <v>9.612780936907761E-3</v>
      </c>
      <c r="H52" s="449" t="str">
        <f>IF(OR(G52&gt;=0.3,G52&lt;=-0.3),"超过30%","")</f>
        <v/>
      </c>
      <c r="I52" s="448">
        <f>IF(I47&lt;I48,I48/I47-1,I47/I48-1)</f>
        <v>1.6137361218693247E-3</v>
      </c>
      <c r="J52" s="449" t="str">
        <f>IF(OR(I52&gt;=0.3,I52&lt;=-0.3),"超过30%","")</f>
        <v/>
      </c>
      <c r="K52" s="2730"/>
      <c r="L52" s="2726"/>
      <c r="M52" s="2725"/>
      <c r="N52" s="2725"/>
      <c r="O52" s="2725"/>
    </row>
    <row r="53" spans="1:29" ht="13.5" customHeight="1">
      <c r="A53" s="2725"/>
      <c r="B53" s="2725"/>
      <c r="C53" s="446" t="s">
        <v>1712</v>
      </c>
      <c r="D53" s="450"/>
      <c r="E53" s="448">
        <f>IF(E48&lt;G48,G48/E48-1,E48/G48-1)</f>
        <v>3.0327646899539706E-2</v>
      </c>
      <c r="F53" s="449" t="str">
        <f>IF(OR(E53&gt;=0.2,E53&lt;=-0.2),"超过20%","")</f>
        <v/>
      </c>
      <c r="G53" s="448">
        <f>IF(G48&lt;I48,I48/G48-1,G48/I48-1)</f>
        <v>4.8740861088545806E-2</v>
      </c>
      <c r="H53" s="449" t="str">
        <f>IF(OR(G53&gt;=0.2,G53&lt;=-0.2),"超过20%","")</f>
        <v/>
      </c>
      <c r="I53" s="448">
        <f>IF(I48&lt;E48,E48/I48-1,I48/E48-1)</f>
        <v>1.7871222076215609E-2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5.1159983907737683E-2</v>
      </c>
      <c r="F54" s="449" t="str">
        <f>IF(OR(E54&gt;=0.3,E54&lt;=-0.3),"超过30%","")</f>
        <v/>
      </c>
      <c r="G54" s="448">
        <f>IF(G47&lt;I47,I47/G47-1,G47/I47-1)</f>
        <v>4.0431809038487421E-2</v>
      </c>
      <c r="H54" s="449" t="str">
        <f>IF(OR(G54&gt;=0.3,G54&lt;=-0.3),"超过30%","")</f>
        <v/>
      </c>
      <c r="I54" s="448">
        <f>IF(I47&lt;E47,E47/I47-1,I47/E47-1)</f>
        <v>1.0311271508667952E-2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3472"/>
      <c r="E63" s="479"/>
      <c r="F63" s="479"/>
      <c r="G63" s="479"/>
      <c r="H63" s="479"/>
      <c r="I63" s="479"/>
      <c r="J63" s="479"/>
      <c r="K63" s="480"/>
      <c r="L63" s="481"/>
      <c r="M63" s="482"/>
      <c r="N63" s="933"/>
      <c r="O63" s="933"/>
      <c r="P63" s="1922"/>
      <c r="Q63" s="453"/>
    </row>
    <row r="64" spans="1:29" ht="14.4" thickBot="1">
      <c r="A64" s="483"/>
      <c r="B64" s="484"/>
      <c r="C64" s="485">
        <v>100</v>
      </c>
      <c r="D64" s="485">
        <v>96</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68" t="s">
        <v>3429</v>
      </c>
      <c r="D88" s="3468" t="s">
        <v>3459</v>
      </c>
      <c r="E88" s="3468"/>
      <c r="F88" s="3469"/>
      <c r="G88" s="3468"/>
      <c r="H88" s="3468"/>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9/9（顶）</v>
      </c>
      <c r="D90" s="3470" t="str">
        <f>E27</f>
        <v>9/11（高）</v>
      </c>
      <c r="E90" s="3470" t="str">
        <f>G27</f>
        <v>3/11（低）</v>
      </c>
      <c r="F90" s="3470" t="str">
        <f>I27</f>
        <v>5/11（中）</v>
      </c>
      <c r="G90" s="503"/>
      <c r="H90" s="504"/>
      <c r="I90" s="504"/>
      <c r="J90" s="504"/>
      <c r="K90" s="504"/>
      <c r="L90" s="505"/>
      <c r="M90" s="506"/>
      <c r="N90" s="935"/>
      <c r="O90" s="935"/>
      <c r="P90" s="1923"/>
      <c r="Q90" s="508"/>
    </row>
    <row r="91" spans="1:17" s="422" customFormat="1" ht="14.4" thickBot="1">
      <c r="A91" s="502"/>
      <c r="B91" s="492"/>
      <c r="C91" s="509">
        <v>100</v>
      </c>
      <c r="D91" s="509">
        <v>103</v>
      </c>
      <c r="E91" s="509">
        <v>101</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72" t="s">
        <v>3432</v>
      </c>
      <c r="D100" s="3472" t="s">
        <v>3433</v>
      </c>
      <c r="E100" s="3472" t="s">
        <v>3434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60(含)-75</v>
      </c>
      <c r="E102" s="527" t="str">
        <f t="shared" si="26"/>
        <v>75(含)-90</v>
      </c>
      <c r="F102" s="527" t="str">
        <f t="shared" si="26"/>
        <v>90(含)-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75</v>
      </c>
      <c r="F103" s="544">
        <v>90</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68" t="s">
        <v>3436</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8" t="s">
        <v>3438</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68" t="s">
        <v>3440</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3442</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8" t="s">
        <v>3443</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718" t="s">
        <v>1772</v>
      </c>
      <c r="AC4" s="3688" t="s">
        <v>1773</v>
      </c>
    </row>
    <row r="5" spans="1:29">
      <c r="A5" s="358"/>
      <c r="B5" s="359"/>
      <c r="C5" s="3699" t="s">
        <v>1673</v>
      </c>
      <c r="D5" s="3700"/>
      <c r="E5" s="3734"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718"/>
      <c r="AC5" s="3689"/>
    </row>
    <row r="6" spans="1:29" ht="15" thickBot="1">
      <c r="A6" s="360"/>
      <c r="B6" s="361"/>
      <c r="C6" s="3701" t="s">
        <v>1677</v>
      </c>
      <c r="D6" s="3702"/>
      <c r="E6" s="3735"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718"/>
      <c r="AC6" s="3690"/>
    </row>
    <row r="7" spans="1:29" s="108" customFormat="1" ht="15" thickBot="1">
      <c r="A7" s="362" t="s">
        <v>1679</v>
      </c>
      <c r="B7" s="363"/>
      <c r="C7" s="364">
        <f>'数据-取费表'!B2</f>
        <v>45833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1696</v>
      </c>
      <c r="Q32" s="1352" t="str">
        <f t="shared" si="11"/>
        <v>商业类型</v>
      </c>
      <c r="R32" s="705" t="s">
        <v>14</v>
      </c>
      <c r="S32" s="706">
        <f t="shared" si="12"/>
        <v>100</v>
      </c>
      <c r="T32" s="705" t="s">
        <v>14</v>
      </c>
      <c r="U32" s="706">
        <f t="shared" si="13"/>
        <v>100</v>
      </c>
      <c r="V32" s="705" t="s">
        <v>14</v>
      </c>
      <c r="W32" s="706">
        <f t="shared" si="14"/>
        <v>100</v>
      </c>
      <c r="X32" s="1355"/>
      <c r="Y32" s="373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1696</v>
      </c>
      <c r="Q38" s="1352" t="str">
        <f t="shared" si="11"/>
        <v>业态</v>
      </c>
      <c r="R38" s="705" t="s">
        <v>14</v>
      </c>
      <c r="S38" s="706">
        <f t="shared" si="12"/>
        <v>100</v>
      </c>
      <c r="T38" s="705" t="s">
        <v>14</v>
      </c>
      <c r="U38" s="706">
        <f t="shared" si="13"/>
        <v>100</v>
      </c>
      <c r="V38" s="705" t="s">
        <v>14</v>
      </c>
      <c r="W38" s="706">
        <f t="shared" si="14"/>
        <v>100</v>
      </c>
      <c r="X38" s="1355"/>
      <c r="Y38" s="373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89.94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c r="A5" s="358"/>
      <c r="B5" s="359"/>
      <c r="C5" s="3699" t="s">
        <v>1673</v>
      </c>
      <c r="D5" s="3700"/>
      <c r="E5" s="3734" t="s">
        <v>1674</v>
      </c>
      <c r="F5" s="3698"/>
      <c r="G5" s="3699" t="s">
        <v>1675</v>
      </c>
      <c r="H5" s="3700"/>
      <c r="I5" s="3699" t="s">
        <v>1676</v>
      </c>
      <c r="J5" s="3700"/>
      <c r="K5" s="559"/>
      <c r="L5" s="2715"/>
      <c r="M5" s="2716"/>
      <c r="N5" s="2716"/>
      <c r="O5" s="2716"/>
      <c r="P5" s="3744"/>
      <c r="Q5" s="3713"/>
      <c r="R5" s="3695"/>
      <c r="S5" s="3696"/>
      <c r="T5" s="3695"/>
      <c r="U5" s="3696"/>
      <c r="V5" s="3718"/>
      <c r="W5" s="3718"/>
      <c r="X5" s="1355"/>
      <c r="Y5" s="3695"/>
      <c r="Z5" s="3696"/>
      <c r="AA5" s="3689"/>
      <c r="AB5" s="3689"/>
      <c r="AC5" s="3740"/>
    </row>
    <row r="6" spans="1:29" ht="15" thickBot="1">
      <c r="A6" s="360"/>
      <c r="B6" s="361"/>
      <c r="C6" s="3701" t="s">
        <v>1677</v>
      </c>
      <c r="D6" s="3702"/>
      <c r="E6" s="3735" t="s">
        <v>1677</v>
      </c>
      <c r="F6" s="3704"/>
      <c r="G6" s="3701" t="s">
        <v>1677</v>
      </c>
      <c r="H6" s="3702"/>
      <c r="I6" s="3701" t="s">
        <v>1677</v>
      </c>
      <c r="J6" s="3702"/>
      <c r="K6" s="559" t="s">
        <v>1678</v>
      </c>
      <c r="L6" s="2715"/>
      <c r="M6" s="2716"/>
      <c r="N6" s="2716"/>
      <c r="O6" s="2716"/>
      <c r="P6" s="3745"/>
      <c r="Q6" s="3715"/>
      <c r="R6" s="3695"/>
      <c r="S6" s="3696"/>
      <c r="T6" s="3716"/>
      <c r="U6" s="3717"/>
      <c r="V6" s="3718"/>
      <c r="W6" s="3718"/>
      <c r="X6" s="1355"/>
      <c r="Y6" s="3716"/>
      <c r="Z6" s="3717"/>
      <c r="AA6" s="3690"/>
      <c r="AB6" s="3690"/>
      <c r="AC6" s="3741"/>
    </row>
    <row r="7" spans="1:29" s="108" customFormat="1" ht="15" thickBot="1">
      <c r="A7" s="362" t="s">
        <v>1679</v>
      </c>
      <c r="B7" s="363"/>
      <c r="C7" s="364">
        <f>'数据-取费表'!B2</f>
        <v>45833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1696</v>
      </c>
      <c r="Q33" s="1352" t="str">
        <f t="shared" si="11"/>
        <v>建筑类型</v>
      </c>
      <c r="R33" s="705" t="s">
        <v>14</v>
      </c>
      <c r="S33" s="706">
        <f t="shared" si="12"/>
        <v>100</v>
      </c>
      <c r="T33" s="705" t="s">
        <v>14</v>
      </c>
      <c r="U33" s="706">
        <f t="shared" si="13"/>
        <v>100</v>
      </c>
      <c r="V33" s="705" t="s">
        <v>14</v>
      </c>
      <c r="W33" s="706">
        <f t="shared" si="14"/>
        <v>100</v>
      </c>
      <c r="X33" s="1355"/>
      <c r="Y33" s="373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1696</v>
      </c>
      <c r="Q39" s="1352" t="str">
        <f t="shared" si="11"/>
        <v>物业管理</v>
      </c>
      <c r="R39" s="705" t="s">
        <v>14</v>
      </c>
      <c r="S39" s="706">
        <f t="shared" si="12"/>
        <v>100</v>
      </c>
      <c r="T39" s="705" t="s">
        <v>14</v>
      </c>
      <c r="U39" s="706">
        <f t="shared" si="13"/>
        <v>100</v>
      </c>
      <c r="V39" s="705" t="s">
        <v>14</v>
      </c>
      <c r="W39" s="706">
        <f t="shared" si="14"/>
        <v>100</v>
      </c>
      <c r="X39" s="1355"/>
      <c r="Y39" s="373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734" t="s">
        <v>1674</v>
      </c>
      <c r="F5" s="3698"/>
      <c r="G5" s="3699" t="s">
        <v>1675</v>
      </c>
      <c r="H5" s="3700"/>
      <c r="I5" s="3699" t="s">
        <v>1676</v>
      </c>
      <c r="J5" s="3700"/>
      <c r="K5" s="559"/>
      <c r="L5" s="913"/>
      <c r="M5" s="914"/>
      <c r="N5" s="914"/>
      <c r="O5" s="914"/>
      <c r="P5" s="3712"/>
      <c r="Q5" s="3713"/>
      <c r="R5" s="3695"/>
      <c r="S5" s="3696"/>
      <c r="T5" s="3695"/>
      <c r="U5" s="3696"/>
      <c r="V5" s="3718"/>
      <c r="W5" s="3718"/>
      <c r="X5" s="1355"/>
      <c r="Y5" s="3695"/>
      <c r="Z5" s="3696"/>
      <c r="AA5" s="3689"/>
      <c r="AB5" s="3689"/>
      <c r="AC5" s="3689"/>
    </row>
    <row r="6" spans="1:29" ht="15" thickBot="1">
      <c r="A6" s="360"/>
      <c r="B6" s="361"/>
      <c r="C6" s="3701" t="s">
        <v>1677</v>
      </c>
      <c r="D6" s="3702"/>
      <c r="E6" s="3735" t="s">
        <v>1677</v>
      </c>
      <c r="F6" s="3704"/>
      <c r="G6" s="3701" t="s">
        <v>1677</v>
      </c>
      <c r="H6" s="3702"/>
      <c r="I6" s="3701" t="s">
        <v>1677</v>
      </c>
      <c r="J6" s="3702"/>
      <c r="K6" s="559" t="s">
        <v>1678</v>
      </c>
      <c r="L6" s="913"/>
      <c r="M6" s="914"/>
      <c r="N6" s="914"/>
      <c r="O6" s="914"/>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45833</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2" t="str">
        <f t="shared" si="11"/>
        <v>市政基础设施</v>
      </c>
      <c r="R35" s="705" t="s">
        <v>14</v>
      </c>
      <c r="S35" s="706">
        <f t="shared" si="12"/>
        <v>100</v>
      </c>
      <c r="T35" s="705" t="s">
        <v>14</v>
      </c>
      <c r="U35" s="706">
        <f t="shared" si="13"/>
        <v>100</v>
      </c>
      <c r="V35" s="705" t="s">
        <v>14</v>
      </c>
      <c r="W35" s="706">
        <f t="shared" si="14"/>
        <v>100</v>
      </c>
      <c r="X35" s="1355"/>
      <c r="Y35" s="373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估价对象为北京市房地产，为所有。根据《国有土地使用证》[]，估价对象（分摊）出让国有建设用地使用权面积为0平方米，建筑面积为89.94平方米。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734"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 thickBot="1">
      <c r="A6" s="360"/>
      <c r="B6" s="361"/>
      <c r="C6" s="3701" t="s">
        <v>1677</v>
      </c>
      <c r="D6" s="3702"/>
      <c r="E6" s="3735"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45833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1686</v>
      </c>
      <c r="Q9" s="1343"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1696</v>
      </c>
      <c r="Q32" s="1352" t="str">
        <f t="shared" si="11"/>
        <v>车位类型</v>
      </c>
      <c r="R32" s="705" t="s">
        <v>14</v>
      </c>
      <c r="S32" s="706">
        <f t="shared" si="12"/>
        <v>100</v>
      </c>
      <c r="T32" s="705" t="s">
        <v>14</v>
      </c>
      <c r="U32" s="706">
        <f t="shared" si="13"/>
        <v>100</v>
      </c>
      <c r="V32" s="705" t="s">
        <v>14</v>
      </c>
      <c r="W32" s="706">
        <f t="shared" si="14"/>
        <v>100</v>
      </c>
      <c r="X32" s="1355"/>
      <c r="Y32" s="373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734"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 thickBot="1">
      <c r="A6" s="360"/>
      <c r="B6" s="361"/>
      <c r="C6" s="3701" t="s">
        <v>1677</v>
      </c>
      <c r="D6" s="3702"/>
      <c r="E6" s="3735"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45833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1686</v>
      </c>
      <c r="Q9" s="1343"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1696</v>
      </c>
      <c r="Q32" s="1352">
        <f t="shared" si="11"/>
        <v>111</v>
      </c>
      <c r="R32" s="705" t="s">
        <v>14</v>
      </c>
      <c r="S32" s="706">
        <f t="shared" si="12"/>
        <v>100</v>
      </c>
      <c r="T32" s="705" t="s">
        <v>14</v>
      </c>
      <c r="U32" s="706">
        <f t="shared" si="13"/>
        <v>100</v>
      </c>
      <c r="V32" s="705" t="s">
        <v>14</v>
      </c>
      <c r="W32" s="706">
        <f t="shared" si="14"/>
        <v>100</v>
      </c>
      <c r="X32" s="1355"/>
      <c r="Y32" s="373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30">
      <c r="A5" s="358"/>
      <c r="B5" s="359"/>
      <c r="C5" s="3699" t="s">
        <v>1673</v>
      </c>
      <c r="D5" s="3700"/>
      <c r="E5" s="3734"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30" ht="15" thickBot="1">
      <c r="A6" s="360"/>
      <c r="B6" s="361"/>
      <c r="C6" s="3701" t="s">
        <v>1677</v>
      </c>
      <c r="D6" s="3702"/>
      <c r="E6" s="3735"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30" s="108" customFormat="1" ht="15" thickBot="1">
      <c r="A7" s="362" t="s">
        <v>1679</v>
      </c>
      <c r="B7" s="363"/>
      <c r="C7" s="364">
        <f>'数据-取费表'!B2</f>
        <v>45833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3"/>
      <c r="Q10" s="1343" t="str">
        <f t="shared" si="6"/>
        <v>土地使用年限（年）</v>
      </c>
      <c r="R10" s="701" t="s">
        <v>14</v>
      </c>
      <c r="S10" s="702" t="e">
        <f t="shared" si="0"/>
        <v>#DIV/0!</v>
      </c>
      <c r="T10" s="701" t="s">
        <v>14</v>
      </c>
      <c r="U10" s="702" t="e">
        <f t="shared" si="1"/>
        <v>#DIV/0!</v>
      </c>
      <c r="V10" s="701" t="s">
        <v>14</v>
      </c>
      <c r="W10" s="702" t="e">
        <f t="shared" si="2"/>
        <v>#DIV/0!</v>
      </c>
      <c r="X10" s="703"/>
      <c r="Y10" s="363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1696</v>
      </c>
      <c r="Q42" s="1352" t="str">
        <f t="shared" si="14"/>
        <v>工程地质条件</v>
      </c>
      <c r="R42" s="705" t="s">
        <v>14</v>
      </c>
      <c r="S42" s="706">
        <f t="shared" si="10"/>
        <v>100</v>
      </c>
      <c r="T42" s="705" t="s">
        <v>14</v>
      </c>
      <c r="U42" s="706">
        <f t="shared" si="11"/>
        <v>100</v>
      </c>
      <c r="V42" s="705" t="s">
        <v>14</v>
      </c>
      <c r="W42" s="706">
        <f t="shared" si="12"/>
        <v>100</v>
      </c>
      <c r="X42" s="1355"/>
      <c r="Y42" s="373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3" t="str">
        <f>A46</f>
        <v>成交单价</v>
      </c>
      <c r="Q46" s="3723"/>
      <c r="R46" s="3718">
        <f>E46</f>
        <v>0</v>
      </c>
      <c r="S46" s="3718"/>
      <c r="T46" s="3718">
        <f>G46</f>
        <v>0</v>
      </c>
      <c r="U46" s="3718"/>
      <c r="V46" s="3718">
        <f>I46</f>
        <v>0</v>
      </c>
      <c r="W46" s="371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6"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89.94</v>
      </c>
      <c r="F56" s="886" t="e">
        <f t="shared" ref="F56:F64" si="15">ROUND(B56*E56/10000,0)</f>
        <v>#DIV/0!</v>
      </c>
      <c r="G56" s="3705"/>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89.94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734"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45833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3"/>
      <c r="Q10" s="1343" t="str">
        <f t="shared" si="6"/>
        <v>土地使用年限（年）</v>
      </c>
      <c r="R10" s="701" t="s">
        <v>14</v>
      </c>
      <c r="S10" s="702" t="e">
        <f t="shared" si="0"/>
        <v>#DIV/0!</v>
      </c>
      <c r="T10" s="701" t="s">
        <v>14</v>
      </c>
      <c r="U10" s="702" t="e">
        <f t="shared" si="1"/>
        <v>#DIV/0!</v>
      </c>
      <c r="V10" s="701" t="s">
        <v>14</v>
      </c>
      <c r="W10" s="702" t="e">
        <f t="shared" si="2"/>
        <v>#DIV/0!</v>
      </c>
      <c r="X10" s="703"/>
      <c r="Y10" s="363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1696</v>
      </c>
      <c r="Q37" s="1352" t="str">
        <f t="shared" si="14"/>
        <v>工程地质条件</v>
      </c>
      <c r="R37" s="705" t="s">
        <v>14</v>
      </c>
      <c r="S37" s="706">
        <f t="shared" si="10"/>
        <v>100</v>
      </c>
      <c r="T37" s="705" t="s">
        <v>14</v>
      </c>
      <c r="U37" s="706">
        <f t="shared" si="11"/>
        <v>100</v>
      </c>
      <c r="V37" s="705" t="s">
        <v>14</v>
      </c>
      <c r="W37" s="706">
        <f t="shared" si="12"/>
        <v>100</v>
      </c>
      <c r="X37" s="1355"/>
      <c r="Y37" s="373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3" t="str">
        <f>A41</f>
        <v>成交单价</v>
      </c>
      <c r="Q41" s="3723"/>
      <c r="R41" s="3718">
        <f>E41</f>
        <v>0</v>
      </c>
      <c r="S41" s="3718"/>
      <c r="T41" s="3718">
        <f>G41</f>
        <v>0</v>
      </c>
      <c r="U41" s="3718"/>
      <c r="V41" s="3718">
        <f>I41</f>
        <v>0</v>
      </c>
      <c r="W41" s="371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6"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89.94</v>
      </c>
      <c r="F51" s="639" t="e">
        <f t="shared" ref="F51:F60" si="15">ROUND(B51*E51/10000,0)</f>
        <v>#DIV/0!</v>
      </c>
      <c r="G51" s="3705"/>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45833</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3294</v>
      </c>
      <c r="B103" s="3779"/>
      <c r="C103" s="3779"/>
      <c r="D103" s="3779"/>
      <c r="E103" s="3779"/>
      <c r="F103" s="3779"/>
      <c r="G103" s="3779"/>
      <c r="H103" s="3779"/>
      <c r="I103" s="3779"/>
      <c r="J103" s="3779"/>
      <c r="K103" s="3390"/>
      <c r="L103" s="3390"/>
      <c r="M103" s="3390"/>
      <c r="N103" s="3390"/>
    </row>
    <row r="104" spans="1:14">
      <c r="A104" s="3780" t="s">
        <v>3295</v>
      </c>
      <c r="B104" s="3780" t="s">
        <v>3296</v>
      </c>
      <c r="C104" s="3391" t="s">
        <v>3297</v>
      </c>
      <c r="D104" s="3392"/>
      <c r="E104" s="3392"/>
      <c r="F104" s="3392"/>
      <c r="G104" s="3392"/>
      <c r="H104" s="3392"/>
      <c r="I104" s="3392"/>
      <c r="J104" s="3393"/>
      <c r="K104" s="3394"/>
      <c r="L104" s="3394"/>
      <c r="M104" s="3394"/>
      <c r="N104" s="3394"/>
    </row>
    <row r="105" spans="1:14">
      <c r="A105" s="3780"/>
      <c r="B105" s="378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3311</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2" t="s">
        <v>2607</v>
      </c>
      <c r="B20" s="3785" t="s">
        <v>2628</v>
      </c>
      <c r="C20" s="3103" t="s">
        <v>2439</v>
      </c>
      <c r="D20" s="3104"/>
      <c r="E20" s="3105">
        <v>1</v>
      </c>
      <c r="F20" s="3106" t="s">
        <v>2440</v>
      </c>
      <c r="G20" s="3106"/>
    </row>
    <row r="21" spans="1:13" ht="19.5" customHeight="1">
      <c r="A21" s="3793"/>
      <c r="B21" s="3786"/>
      <c r="C21" s="3107" t="s">
        <v>2441</v>
      </c>
      <c r="D21" s="3108"/>
      <c r="E21" s="3109">
        <v>1</v>
      </c>
      <c r="F21" s="3106" t="s">
        <v>2442</v>
      </c>
      <c r="G21" s="3106"/>
    </row>
    <row r="22" spans="1:13" ht="19.5" customHeight="1">
      <c r="A22" s="3793"/>
      <c r="B22" s="3786"/>
      <c r="C22" s="3107" t="s">
        <v>2443</v>
      </c>
      <c r="D22" s="3108"/>
      <c r="E22" s="3109">
        <v>0.9</v>
      </c>
      <c r="F22" s="3106" t="s">
        <v>2444</v>
      </c>
      <c r="G22" s="3106"/>
    </row>
    <row r="23" spans="1:13" ht="19.5" customHeight="1">
      <c r="A23" s="3793"/>
      <c r="B23" s="3786"/>
      <c r="C23" s="3107" t="s">
        <v>2445</v>
      </c>
      <c r="D23" s="3108"/>
      <c r="E23" s="3109">
        <v>0.9</v>
      </c>
      <c r="F23" s="3106" t="s">
        <v>2446</v>
      </c>
      <c r="G23" s="3106"/>
    </row>
    <row r="24" spans="1:13" ht="19.5" customHeight="1">
      <c r="A24" s="3793"/>
      <c r="B24" s="3786"/>
      <c r="C24" s="3107" t="s">
        <v>2447</v>
      </c>
      <c r="D24" s="3108"/>
      <c r="E24" s="3109">
        <v>0.8</v>
      </c>
      <c r="F24" s="3106" t="s">
        <v>2448</v>
      </c>
      <c r="G24" s="3106"/>
    </row>
    <row r="25" spans="1:13" ht="19.5" customHeight="1" thickBot="1">
      <c r="A25" s="3794"/>
      <c r="B25" s="378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8" t="s">
        <v>2631</v>
      </c>
      <c r="B27" s="3785" t="s">
        <v>2612</v>
      </c>
      <c r="C27" s="3103" t="s">
        <v>2452</v>
      </c>
      <c r="D27" s="3104"/>
      <c r="E27" s="3105">
        <v>1</v>
      </c>
      <c r="F27" s="3106" t="s">
        <v>2453</v>
      </c>
      <c r="G27" s="3106"/>
    </row>
    <row r="28" spans="1:13" ht="19.5" customHeight="1">
      <c r="A28" s="3789"/>
      <c r="B28" s="3786"/>
      <c r="C28" s="3107" t="s">
        <v>2454</v>
      </c>
      <c r="D28" s="3108"/>
      <c r="E28" s="3109">
        <v>1</v>
      </c>
      <c r="F28" s="3106" t="s">
        <v>2455</v>
      </c>
      <c r="G28" s="3106"/>
    </row>
    <row r="29" spans="1:13" ht="19.5" customHeight="1">
      <c r="A29" s="3789"/>
      <c r="B29" s="3786"/>
      <c r="C29" s="3107" t="s">
        <v>2456</v>
      </c>
      <c r="D29" s="3108"/>
      <c r="E29" s="3109">
        <v>0.8</v>
      </c>
      <c r="F29" s="3106" t="s">
        <v>2457</v>
      </c>
      <c r="G29" s="3106"/>
    </row>
    <row r="30" spans="1:13" ht="19.5" customHeight="1">
      <c r="A30" s="3789"/>
      <c r="B30" s="3786"/>
      <c r="C30" s="3107" t="s">
        <v>2458</v>
      </c>
      <c r="D30" s="3108"/>
      <c r="E30" s="3109">
        <v>0.8</v>
      </c>
      <c r="F30" s="3106" t="s">
        <v>2459</v>
      </c>
      <c r="G30" s="3106"/>
    </row>
    <row r="31" spans="1:13" ht="19.5" customHeight="1">
      <c r="A31" s="3789"/>
      <c r="B31" s="3786"/>
      <c r="C31" s="3107" t="s">
        <v>2460</v>
      </c>
      <c r="D31" s="3108"/>
      <c r="E31" s="3109">
        <v>0.8</v>
      </c>
      <c r="F31" s="3106" t="s">
        <v>2461</v>
      </c>
      <c r="G31" s="3106"/>
    </row>
    <row r="32" spans="1:13" ht="19.5" customHeight="1">
      <c r="A32" s="3789"/>
      <c r="B32" s="3786"/>
      <c r="C32" s="3107" t="s">
        <v>2462</v>
      </c>
      <c r="D32" s="3108"/>
      <c r="E32" s="3109">
        <v>0.7</v>
      </c>
      <c r="F32" s="3106" t="s">
        <v>2463</v>
      </c>
      <c r="G32" s="3106"/>
    </row>
    <row r="33" spans="1:7" ht="19.5" customHeight="1">
      <c r="A33" s="3789"/>
      <c r="B33" s="3786"/>
      <c r="C33" s="3107" t="s">
        <v>2464</v>
      </c>
      <c r="D33" s="3108"/>
      <c r="E33" s="3109">
        <v>0.8</v>
      </c>
      <c r="F33" s="3106" t="s">
        <v>2465</v>
      </c>
      <c r="G33" s="3106"/>
    </row>
    <row r="34" spans="1:7" ht="19.5" customHeight="1">
      <c r="A34" s="3789"/>
      <c r="B34" s="3786"/>
      <c r="C34" s="3107" t="s">
        <v>2466</v>
      </c>
      <c r="D34" s="3108"/>
      <c r="E34" s="3109">
        <v>0.6</v>
      </c>
      <c r="F34" s="3106" t="s">
        <v>2467</v>
      </c>
      <c r="G34" s="3106"/>
    </row>
    <row r="35" spans="1:7" ht="19.5" customHeight="1">
      <c r="A35" s="3789"/>
      <c r="B35" s="3786"/>
      <c r="C35" s="3107" t="s">
        <v>2468</v>
      </c>
      <c r="D35" s="3108"/>
      <c r="E35" s="3109">
        <v>0.2</v>
      </c>
      <c r="F35" s="3106" t="s">
        <v>2469</v>
      </c>
      <c r="G35" s="3106"/>
    </row>
    <row r="36" spans="1:7" ht="19.5" customHeight="1">
      <c r="A36" s="3789"/>
      <c r="B36" s="3786"/>
      <c r="C36" s="3107" t="s">
        <v>2470</v>
      </c>
      <c r="D36" s="3108"/>
      <c r="E36" s="3109">
        <v>0.2</v>
      </c>
      <c r="F36" s="3106" t="s">
        <v>2471</v>
      </c>
      <c r="G36" s="3106"/>
    </row>
    <row r="37" spans="1:7" ht="19.5" customHeight="1">
      <c r="A37" s="3789"/>
      <c r="B37" s="3791" t="s">
        <v>2632</v>
      </c>
      <c r="C37" s="3107" t="s">
        <v>2472</v>
      </c>
      <c r="D37" s="3108"/>
      <c r="E37" s="3109">
        <v>0.6</v>
      </c>
      <c r="F37" s="3106" t="s">
        <v>2473</v>
      </c>
      <c r="G37" s="3106"/>
    </row>
    <row r="38" spans="1:7" ht="19.5" customHeight="1">
      <c r="A38" s="3789"/>
      <c r="B38" s="3786"/>
      <c r="C38" s="3107" t="s">
        <v>2474</v>
      </c>
      <c r="D38" s="3108"/>
      <c r="E38" s="3109">
        <v>0.6</v>
      </c>
      <c r="F38" s="3106" t="s">
        <v>2475</v>
      </c>
      <c r="G38" s="3106"/>
    </row>
    <row r="39" spans="1:7" ht="19.5" customHeight="1" thickBot="1">
      <c r="A39" s="3790"/>
      <c r="B39" s="378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2" t="s">
        <v>2610</v>
      </c>
      <c r="B41" s="3785" t="s">
        <v>2634</v>
      </c>
      <c r="C41" s="3103" t="s">
        <v>2479</v>
      </c>
      <c r="D41" s="3104"/>
      <c r="E41" s="3105">
        <v>1</v>
      </c>
      <c r="F41" s="3106" t="s">
        <v>2480</v>
      </c>
      <c r="G41" s="3106"/>
    </row>
    <row r="42" spans="1:7" ht="19.5" customHeight="1">
      <c r="A42" s="3793"/>
      <c r="B42" s="3786"/>
      <c r="C42" s="3107" t="s">
        <v>2481</v>
      </c>
      <c r="D42" s="3108"/>
      <c r="E42" s="3109">
        <v>1</v>
      </c>
      <c r="F42" s="3106" t="s">
        <v>2482</v>
      </c>
      <c r="G42" s="3106"/>
    </row>
    <row r="43" spans="1:7" ht="19.5" customHeight="1">
      <c r="A43" s="3793"/>
      <c r="B43" s="3795"/>
      <c r="C43" s="3107" t="s">
        <v>2483</v>
      </c>
      <c r="D43" s="3108"/>
      <c r="E43" s="3109">
        <v>1.5</v>
      </c>
      <c r="F43" s="3106" t="s">
        <v>2484</v>
      </c>
      <c r="G43" s="3106"/>
    </row>
    <row r="44" spans="1:7" ht="19.5" customHeight="1">
      <c r="A44" s="3793"/>
      <c r="B44" s="3118" t="s">
        <v>2635</v>
      </c>
      <c r="C44" s="3107" t="s">
        <v>2636</v>
      </c>
      <c r="D44" s="3108"/>
      <c r="E44" s="3109">
        <v>2</v>
      </c>
      <c r="F44" s="3106" t="s">
        <v>2485</v>
      </c>
      <c r="G44" s="3106"/>
    </row>
    <row r="45" spans="1:7" ht="19.5" customHeight="1">
      <c r="A45" s="3793"/>
      <c r="B45" s="3791" t="s">
        <v>2637</v>
      </c>
      <c r="C45" s="3107" t="s">
        <v>2486</v>
      </c>
      <c r="D45" s="3108"/>
      <c r="E45" s="3109">
        <v>1</v>
      </c>
      <c r="F45" s="3106" t="s">
        <v>2487</v>
      </c>
      <c r="G45" s="3106"/>
    </row>
    <row r="46" spans="1:7" ht="19.5" customHeight="1">
      <c r="A46" s="3793"/>
      <c r="B46" s="3786"/>
      <c r="C46" s="3107" t="s">
        <v>2488</v>
      </c>
      <c r="D46" s="3108"/>
      <c r="E46" s="3109">
        <v>1</v>
      </c>
      <c r="F46" s="3106" t="s">
        <v>2489</v>
      </c>
      <c r="G46" s="3106"/>
    </row>
    <row r="47" spans="1:7" ht="19.5" customHeight="1">
      <c r="A47" s="3793"/>
      <c r="B47" s="3786"/>
      <c r="C47" s="3107" t="s">
        <v>2490</v>
      </c>
      <c r="D47" s="3108"/>
      <c r="E47" s="3109">
        <v>1</v>
      </c>
      <c r="F47" s="3106" t="s">
        <v>2491</v>
      </c>
      <c r="G47" s="3106"/>
    </row>
    <row r="48" spans="1:7" ht="19.5" customHeight="1">
      <c r="A48" s="3793"/>
      <c r="B48" s="3786"/>
      <c r="C48" s="3107" t="s">
        <v>2492</v>
      </c>
      <c r="D48" s="3108"/>
      <c r="E48" s="3109">
        <v>1</v>
      </c>
      <c r="F48" s="3106" t="s">
        <v>2493</v>
      </c>
      <c r="G48" s="3106"/>
    </row>
    <row r="49" spans="1:7" ht="19.5" customHeight="1">
      <c r="A49" s="3793"/>
      <c r="B49" s="3786"/>
      <c r="C49" s="3107" t="s">
        <v>2494</v>
      </c>
      <c r="D49" s="3108"/>
      <c r="E49" s="3109">
        <v>1</v>
      </c>
      <c r="F49" s="3106" t="s">
        <v>2495</v>
      </c>
      <c r="G49" s="3106"/>
    </row>
    <row r="50" spans="1:7" ht="19.5" customHeight="1">
      <c r="A50" s="3793"/>
      <c r="B50" s="3786"/>
      <c r="C50" s="3107" t="s">
        <v>2496</v>
      </c>
      <c r="D50" s="3108"/>
      <c r="E50" s="3109">
        <v>1</v>
      </c>
      <c r="F50" s="3106" t="s">
        <v>2497</v>
      </c>
      <c r="G50" s="3106"/>
    </row>
    <row r="51" spans="1:7" ht="19.5" customHeight="1" thickBot="1">
      <c r="A51" s="3794"/>
      <c r="B51" s="378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1" t="s">
        <v>2651</v>
      </c>
      <c r="C73" s="3092" t="s">
        <v>2652</v>
      </c>
      <c r="D73" s="3092" t="s">
        <v>2653</v>
      </c>
      <c r="E73" s="3118">
        <v>0.2</v>
      </c>
      <c r="F73" s="3118">
        <v>25</v>
      </c>
    </row>
    <row r="74" spans="1:7" ht="24">
      <c r="A74" s="3118">
        <v>2</v>
      </c>
      <c r="B74" s="3786"/>
      <c r="C74" s="3092" t="s">
        <v>2654</v>
      </c>
      <c r="D74" s="3092" t="s">
        <v>2655</v>
      </c>
      <c r="E74" s="3118">
        <v>0.2</v>
      </c>
      <c r="F74" s="3118">
        <v>25</v>
      </c>
    </row>
    <row r="75" spans="1:7" ht="24">
      <c r="A75" s="3118">
        <v>3</v>
      </c>
      <c r="B75" s="3786"/>
      <c r="C75" s="3092" t="s">
        <v>2656</v>
      </c>
      <c r="D75" s="3092" t="s">
        <v>2657</v>
      </c>
      <c r="E75" s="3118">
        <v>0.2</v>
      </c>
      <c r="F75" s="3118">
        <v>25</v>
      </c>
    </row>
    <row r="76" spans="1:7" ht="14.4">
      <c r="A76" s="3118">
        <v>4</v>
      </c>
      <c r="B76" s="3786"/>
      <c r="C76" s="3092" t="s">
        <v>2658</v>
      </c>
      <c r="D76" s="3092" t="s">
        <v>2659</v>
      </c>
      <c r="E76" s="3118">
        <v>0.15</v>
      </c>
      <c r="F76" s="3118">
        <v>20</v>
      </c>
    </row>
    <row r="77" spans="1:7" ht="24">
      <c r="A77" s="3118">
        <v>5</v>
      </c>
      <c r="B77" s="3786"/>
      <c r="C77" s="3092" t="s">
        <v>2660</v>
      </c>
      <c r="D77" s="3092" t="s">
        <v>2661</v>
      </c>
      <c r="E77" s="3118">
        <v>0.15</v>
      </c>
      <c r="F77" s="3118">
        <v>20</v>
      </c>
    </row>
    <row r="78" spans="1:7" ht="24">
      <c r="A78" s="3118">
        <v>6</v>
      </c>
      <c r="B78" s="3786"/>
      <c r="C78" s="3092" t="s">
        <v>2662</v>
      </c>
      <c r="D78" s="3092" t="s">
        <v>2663</v>
      </c>
      <c r="E78" s="3118">
        <v>0.15</v>
      </c>
      <c r="F78" s="3118">
        <v>20</v>
      </c>
    </row>
    <row r="79" spans="1:7" ht="24">
      <c r="A79" s="3118">
        <v>7</v>
      </c>
      <c r="B79" s="3786"/>
      <c r="C79" s="3092" t="s">
        <v>2664</v>
      </c>
      <c r="D79" s="3092" t="s">
        <v>2665</v>
      </c>
      <c r="E79" s="3118">
        <v>0.15</v>
      </c>
      <c r="F79" s="3118">
        <v>20</v>
      </c>
    </row>
    <row r="80" spans="1:7" ht="24">
      <c r="A80" s="3118">
        <v>8</v>
      </c>
      <c r="B80" s="3786"/>
      <c r="C80" s="3092" t="s">
        <v>2666</v>
      </c>
      <c r="D80" s="3092" t="s">
        <v>2667</v>
      </c>
      <c r="E80" s="3118">
        <v>0.1</v>
      </c>
      <c r="F80" s="3118">
        <v>15</v>
      </c>
    </row>
    <row r="81" spans="1:6" ht="24">
      <c r="A81" s="3118">
        <v>9</v>
      </c>
      <c r="B81" s="3786"/>
      <c r="C81" s="3092" t="s">
        <v>2668</v>
      </c>
      <c r="D81" s="3092" t="s">
        <v>2669</v>
      </c>
      <c r="E81" s="3118">
        <v>0.1</v>
      </c>
      <c r="F81" s="3118">
        <v>15</v>
      </c>
    </row>
    <row r="82" spans="1:6" ht="24">
      <c r="A82" s="3118">
        <v>10</v>
      </c>
      <c r="B82" s="3786"/>
      <c r="C82" s="3092" t="s">
        <v>2670</v>
      </c>
      <c r="D82" s="3092" t="s">
        <v>2671</v>
      </c>
      <c r="E82" s="3118">
        <v>0.1</v>
      </c>
      <c r="F82" s="3118">
        <v>15</v>
      </c>
    </row>
    <row r="83" spans="1:6" ht="24">
      <c r="A83" s="3118">
        <v>11</v>
      </c>
      <c r="B83" s="3786"/>
      <c r="C83" s="3092" t="s">
        <v>2672</v>
      </c>
      <c r="D83" s="3092" t="s">
        <v>2673</v>
      </c>
      <c r="E83" s="3118">
        <v>0.1</v>
      </c>
      <c r="F83" s="3118">
        <v>15</v>
      </c>
    </row>
    <row r="84" spans="1:6" ht="24">
      <c r="A84" s="3118">
        <v>12</v>
      </c>
      <c r="B84" s="3786"/>
      <c r="C84" s="3092" t="s">
        <v>2674</v>
      </c>
      <c r="D84" s="3092" t="s">
        <v>2675</v>
      </c>
      <c r="E84" s="3118">
        <v>0.1</v>
      </c>
      <c r="F84" s="3118">
        <v>15</v>
      </c>
    </row>
    <row r="85" spans="1:6" ht="24">
      <c r="A85" s="3118">
        <v>13</v>
      </c>
      <c r="B85" s="3786"/>
      <c r="C85" s="3092" t="s">
        <v>2676</v>
      </c>
      <c r="D85" s="3092" t="s">
        <v>2677</v>
      </c>
      <c r="E85" s="3118">
        <v>0.1</v>
      </c>
      <c r="F85" s="3118">
        <v>15</v>
      </c>
    </row>
    <row r="86" spans="1:6" ht="24">
      <c r="A86" s="3118">
        <v>14</v>
      </c>
      <c r="B86" s="3786"/>
      <c r="C86" s="3092" t="s">
        <v>2678</v>
      </c>
      <c r="D86" s="3092" t="s">
        <v>2679</v>
      </c>
      <c r="E86" s="3118">
        <v>0.1</v>
      </c>
      <c r="F86" s="3118">
        <v>15</v>
      </c>
    </row>
    <row r="87" spans="1:6" ht="24">
      <c r="A87" s="3118">
        <v>15</v>
      </c>
      <c r="B87" s="3786"/>
      <c r="C87" s="3092" t="s">
        <v>2680</v>
      </c>
      <c r="D87" s="3092" t="s">
        <v>2681</v>
      </c>
      <c r="E87" s="3118">
        <v>0.1</v>
      </c>
      <c r="F87" s="3118">
        <v>15</v>
      </c>
    </row>
    <row r="88" spans="1:6" ht="24">
      <c r="A88" s="3118">
        <v>16</v>
      </c>
      <c r="B88" s="3786"/>
      <c r="C88" s="3092" t="s">
        <v>2682</v>
      </c>
      <c r="D88" s="3092" t="s">
        <v>2683</v>
      </c>
      <c r="E88" s="3118">
        <v>0.1</v>
      </c>
      <c r="F88" s="3118">
        <v>15</v>
      </c>
    </row>
    <row r="89" spans="1:6" ht="24">
      <c r="A89" s="3118">
        <v>17</v>
      </c>
      <c r="B89" s="3795"/>
      <c r="C89" s="3092" t="s">
        <v>2684</v>
      </c>
      <c r="D89" s="3092" t="s">
        <v>2685</v>
      </c>
      <c r="E89" s="3118">
        <v>0.1</v>
      </c>
      <c r="F89" s="3118">
        <v>15</v>
      </c>
    </row>
    <row r="90" spans="1:6" ht="14.4">
      <c r="A90" s="3118">
        <v>18</v>
      </c>
      <c r="B90" s="3791" t="s">
        <v>2686</v>
      </c>
      <c r="C90" s="3092" t="s">
        <v>2687</v>
      </c>
      <c r="D90" s="3092" t="s">
        <v>2688</v>
      </c>
      <c r="E90" s="3118">
        <v>0.2</v>
      </c>
      <c r="F90" s="3118">
        <v>25</v>
      </c>
    </row>
    <row r="91" spans="1:6" ht="24">
      <c r="A91" s="3118">
        <v>19</v>
      </c>
      <c r="B91" s="3786"/>
      <c r="C91" s="3092" t="s">
        <v>2689</v>
      </c>
      <c r="D91" s="3092" t="s">
        <v>2690</v>
      </c>
      <c r="E91" s="3118">
        <v>0.2</v>
      </c>
      <c r="F91" s="3118">
        <v>25</v>
      </c>
    </row>
    <row r="92" spans="1:6" ht="14.4">
      <c r="A92" s="3118">
        <v>20</v>
      </c>
      <c r="B92" s="3786"/>
      <c r="C92" s="3092" t="s">
        <v>2691</v>
      </c>
      <c r="D92" s="3092" t="s">
        <v>2692</v>
      </c>
      <c r="E92" s="3118">
        <v>0.15</v>
      </c>
      <c r="F92" s="3118">
        <v>20</v>
      </c>
    </row>
    <row r="93" spans="1:6" ht="24">
      <c r="A93" s="3118">
        <v>21</v>
      </c>
      <c r="B93" s="3786"/>
      <c r="C93" s="3092" t="s">
        <v>2693</v>
      </c>
      <c r="D93" s="3092" t="s">
        <v>2694</v>
      </c>
      <c r="E93" s="3118">
        <v>0.15</v>
      </c>
      <c r="F93" s="3118">
        <v>20</v>
      </c>
    </row>
    <row r="94" spans="1:6" ht="24">
      <c r="A94" s="3118">
        <v>22</v>
      </c>
      <c r="B94" s="3786"/>
      <c r="C94" s="3092" t="s">
        <v>2695</v>
      </c>
      <c r="D94" s="3092" t="s">
        <v>2696</v>
      </c>
      <c r="E94" s="3118">
        <v>0.15</v>
      </c>
      <c r="F94" s="3118">
        <v>20</v>
      </c>
    </row>
    <row r="95" spans="1:6" ht="36">
      <c r="A95" s="3118">
        <v>23</v>
      </c>
      <c r="B95" s="3786"/>
      <c r="C95" s="3092" t="s">
        <v>2697</v>
      </c>
      <c r="D95" s="3092" t="s">
        <v>2698</v>
      </c>
      <c r="E95" s="3118">
        <v>0.15</v>
      </c>
      <c r="F95" s="3118">
        <v>20</v>
      </c>
    </row>
    <row r="96" spans="1:6" ht="24">
      <c r="A96" s="3118">
        <v>24</v>
      </c>
      <c r="B96" s="3786"/>
      <c r="C96" s="3092" t="s">
        <v>2699</v>
      </c>
      <c r="D96" s="3092" t="s">
        <v>2700</v>
      </c>
      <c r="E96" s="3118">
        <v>0.1</v>
      </c>
      <c r="F96" s="3118">
        <v>15</v>
      </c>
    </row>
    <row r="97" spans="1:6" ht="24">
      <c r="A97" s="3118">
        <v>25</v>
      </c>
      <c r="B97" s="3786"/>
      <c r="C97" s="3092" t="s">
        <v>2701</v>
      </c>
      <c r="D97" s="3092" t="s">
        <v>2702</v>
      </c>
      <c r="E97" s="3118">
        <v>0.1</v>
      </c>
      <c r="F97" s="3118">
        <v>15</v>
      </c>
    </row>
    <row r="98" spans="1:6" ht="24">
      <c r="A98" s="3118">
        <v>26</v>
      </c>
      <c r="B98" s="3786"/>
      <c r="C98" s="3092" t="s">
        <v>2703</v>
      </c>
      <c r="D98" s="3092" t="s">
        <v>2704</v>
      </c>
      <c r="E98" s="3118">
        <v>0.1</v>
      </c>
      <c r="F98" s="3118">
        <v>15</v>
      </c>
    </row>
    <row r="99" spans="1:6" ht="24">
      <c r="A99" s="3118">
        <v>27</v>
      </c>
      <c r="B99" s="3786"/>
      <c r="C99" s="3092" t="s">
        <v>2705</v>
      </c>
      <c r="D99" s="3092" t="s">
        <v>2706</v>
      </c>
      <c r="E99" s="3118">
        <v>0.1</v>
      </c>
      <c r="F99" s="3118">
        <v>15</v>
      </c>
    </row>
    <row r="100" spans="1:6" ht="24">
      <c r="A100" s="3118">
        <v>28</v>
      </c>
      <c r="B100" s="3786"/>
      <c r="C100" s="3092" t="s">
        <v>2707</v>
      </c>
      <c r="D100" s="3092" t="s">
        <v>2708</v>
      </c>
      <c r="E100" s="3118">
        <v>0.1</v>
      </c>
      <c r="F100" s="3118">
        <v>15</v>
      </c>
    </row>
    <row r="101" spans="1:6" ht="24">
      <c r="A101" s="3118">
        <v>29</v>
      </c>
      <c r="B101" s="3786"/>
      <c r="C101" s="3092" t="s">
        <v>2709</v>
      </c>
      <c r="D101" s="3092" t="s">
        <v>2710</v>
      </c>
      <c r="E101" s="3118">
        <v>0.1</v>
      </c>
      <c r="F101" s="3118">
        <v>15</v>
      </c>
    </row>
    <row r="102" spans="1:6" ht="24">
      <c r="A102" s="3118">
        <v>30</v>
      </c>
      <c r="B102" s="3786"/>
      <c r="C102" s="3092" t="s">
        <v>2711</v>
      </c>
      <c r="D102" s="3092" t="s">
        <v>2712</v>
      </c>
      <c r="E102" s="3118">
        <v>0.1</v>
      </c>
      <c r="F102" s="3118">
        <v>15</v>
      </c>
    </row>
    <row r="103" spans="1:6" ht="24">
      <c r="A103" s="3118">
        <v>31</v>
      </c>
      <c r="B103" s="3786"/>
      <c r="C103" s="3092" t="s">
        <v>2713</v>
      </c>
      <c r="D103" s="3092" t="s">
        <v>2714</v>
      </c>
      <c r="E103" s="3118">
        <v>0.1</v>
      </c>
      <c r="F103" s="3118">
        <v>15</v>
      </c>
    </row>
    <row r="104" spans="1:6" ht="24">
      <c r="A104" s="3118">
        <v>32</v>
      </c>
      <c r="B104" s="3786"/>
      <c r="C104" s="3092" t="s">
        <v>2715</v>
      </c>
      <c r="D104" s="3092" t="s">
        <v>2716</v>
      </c>
      <c r="E104" s="3118">
        <v>0.1</v>
      </c>
      <c r="F104" s="3118">
        <v>15</v>
      </c>
    </row>
    <row r="105" spans="1:6" ht="24">
      <c r="A105" s="3118">
        <v>33</v>
      </c>
      <c r="B105" s="3786"/>
      <c r="C105" s="3092" t="s">
        <v>2717</v>
      </c>
      <c r="D105" s="3092" t="s">
        <v>2718</v>
      </c>
      <c r="E105" s="3118">
        <v>0.1</v>
      </c>
      <c r="F105" s="3118">
        <v>15</v>
      </c>
    </row>
    <row r="106" spans="1:6" ht="24">
      <c r="A106" s="3118">
        <v>34</v>
      </c>
      <c r="B106" s="3795"/>
      <c r="C106" s="3092" t="s">
        <v>2719</v>
      </c>
      <c r="D106" s="3092" t="s">
        <v>2720</v>
      </c>
      <c r="E106" s="3118">
        <v>0.1</v>
      </c>
      <c r="F106" s="3118">
        <v>15</v>
      </c>
    </row>
    <row r="107" spans="1:6" ht="36">
      <c r="A107" s="3118">
        <v>35</v>
      </c>
      <c r="B107" s="3791" t="s">
        <v>2721</v>
      </c>
      <c r="C107" s="3118" t="s">
        <v>2722</v>
      </c>
      <c r="D107" s="3092" t="s">
        <v>2723</v>
      </c>
      <c r="E107" s="3118">
        <v>0.15</v>
      </c>
      <c r="F107" s="3118">
        <v>20</v>
      </c>
    </row>
    <row r="108" spans="1:6" ht="24">
      <c r="A108" s="3118">
        <v>36</v>
      </c>
      <c r="B108" s="3786"/>
      <c r="C108" s="3118" t="s">
        <v>2724</v>
      </c>
      <c r="D108" s="3092" t="s">
        <v>2725</v>
      </c>
      <c r="E108" s="3118">
        <v>0.15</v>
      </c>
      <c r="F108" s="3118">
        <v>20</v>
      </c>
    </row>
    <row r="109" spans="1:6" ht="24">
      <c r="A109" s="3118">
        <v>37</v>
      </c>
      <c r="B109" s="3786"/>
      <c r="C109" s="3118" t="s">
        <v>2726</v>
      </c>
      <c r="D109" s="3092" t="s">
        <v>2727</v>
      </c>
      <c r="E109" s="3118">
        <v>0.15</v>
      </c>
      <c r="F109" s="3118">
        <v>20</v>
      </c>
    </row>
    <row r="110" spans="1:6" ht="24">
      <c r="A110" s="3118">
        <v>38</v>
      </c>
      <c r="B110" s="3786"/>
      <c r="C110" s="3118" t="s">
        <v>2728</v>
      </c>
      <c r="D110" s="3092" t="s">
        <v>2729</v>
      </c>
      <c r="E110" s="3118">
        <v>0.1</v>
      </c>
      <c r="F110" s="3118">
        <v>15</v>
      </c>
    </row>
    <row r="111" spans="1:6" ht="24">
      <c r="A111" s="3118">
        <v>39</v>
      </c>
      <c r="B111" s="3786"/>
      <c r="C111" s="3118" t="s">
        <v>2730</v>
      </c>
      <c r="D111" s="3092" t="s">
        <v>2731</v>
      </c>
      <c r="E111" s="3118">
        <v>0.1</v>
      </c>
      <c r="F111" s="3118">
        <v>15</v>
      </c>
    </row>
    <row r="112" spans="1:6" ht="24">
      <c r="A112" s="3118">
        <v>40</v>
      </c>
      <c r="B112" s="3795"/>
      <c r="C112" s="3118" t="s">
        <v>2732</v>
      </c>
      <c r="D112" s="3092" t="s">
        <v>2733</v>
      </c>
      <c r="E112" s="3118">
        <v>0.1</v>
      </c>
      <c r="F112" s="3118">
        <v>15</v>
      </c>
    </row>
    <row r="113" spans="1:6" ht="24">
      <c r="A113" s="3118">
        <v>41</v>
      </c>
      <c r="B113" s="3796" t="s">
        <v>2734</v>
      </c>
      <c r="C113" s="3118" t="s">
        <v>2735</v>
      </c>
      <c r="D113" s="3092" t="s">
        <v>2736</v>
      </c>
      <c r="E113" s="3118">
        <v>0.1</v>
      </c>
      <c r="F113" s="3118">
        <v>15</v>
      </c>
    </row>
    <row r="114" spans="1:6" ht="24">
      <c r="A114" s="3118">
        <v>42</v>
      </c>
      <c r="B114" s="3796"/>
      <c r="C114" s="3118" t="s">
        <v>2737</v>
      </c>
      <c r="D114" s="3092" t="s">
        <v>2738</v>
      </c>
      <c r="E114" s="3118">
        <v>0.1</v>
      </c>
      <c r="F114" s="3118">
        <v>15</v>
      </c>
    </row>
    <row r="115" spans="1:6" ht="24">
      <c r="A115" s="3118">
        <v>43</v>
      </c>
      <c r="B115" s="3796"/>
      <c r="C115" s="3118" t="s">
        <v>2739</v>
      </c>
      <c r="D115" s="3092" t="s">
        <v>2740</v>
      </c>
      <c r="E115" s="3118">
        <v>0.1</v>
      </c>
      <c r="F115" s="3118">
        <v>15</v>
      </c>
    </row>
    <row r="116" spans="1:6" ht="24">
      <c r="A116" s="3118">
        <v>44</v>
      </c>
      <c r="B116" s="3791"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1"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24">
      <c r="A120" s="3118">
        <v>48</v>
      </c>
      <c r="B120" s="3791" t="s">
        <v>2751</v>
      </c>
      <c r="C120" s="3118" t="s">
        <v>2752</v>
      </c>
      <c r="D120" s="3092" t="s">
        <v>2753</v>
      </c>
      <c r="E120" s="3118">
        <v>0.1</v>
      </c>
      <c r="F120" s="3118">
        <v>15</v>
      </c>
    </row>
    <row r="121" spans="1:6" ht="24">
      <c r="A121" s="3118">
        <v>49</v>
      </c>
      <c r="B121" s="3795"/>
      <c r="C121" s="3118" t="s">
        <v>2754</v>
      </c>
      <c r="D121" s="3092" t="s">
        <v>2755</v>
      </c>
      <c r="E121" s="3118">
        <v>0.1</v>
      </c>
      <c r="F121" s="3118">
        <v>15</v>
      </c>
    </row>
    <row r="122" spans="1:6" ht="24">
      <c r="A122" s="3118">
        <v>50</v>
      </c>
      <c r="B122" s="3796" t="s">
        <v>2756</v>
      </c>
      <c r="C122" s="3118" t="s">
        <v>2757</v>
      </c>
      <c r="D122" s="3092" t="s">
        <v>2758</v>
      </c>
      <c r="E122" s="3118">
        <v>0.1</v>
      </c>
      <c r="F122" s="3118">
        <v>15</v>
      </c>
    </row>
    <row r="123" spans="1:6" ht="24">
      <c r="A123" s="3118">
        <v>51</v>
      </c>
      <c r="B123" s="3796"/>
      <c r="C123" s="3118" t="s">
        <v>2759</v>
      </c>
      <c r="D123" s="3092" t="s">
        <v>2760</v>
      </c>
      <c r="E123" s="3118">
        <v>0.1</v>
      </c>
      <c r="F123" s="3118">
        <v>15</v>
      </c>
    </row>
    <row r="124" spans="1:6" ht="24">
      <c r="A124" s="3118">
        <v>52</v>
      </c>
      <c r="B124" s="3796" t="s">
        <v>2761</v>
      </c>
      <c r="C124" s="3118" t="s">
        <v>2762</v>
      </c>
      <c r="D124" s="3092" t="s">
        <v>2763</v>
      </c>
      <c r="E124" s="3118">
        <v>0.1</v>
      </c>
      <c r="F124" s="3118">
        <v>15</v>
      </c>
    </row>
    <row r="125" spans="1:6" ht="24">
      <c r="A125" s="3118">
        <v>53</v>
      </c>
      <c r="B125" s="3796"/>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6" t="s">
        <v>2769</v>
      </c>
      <c r="C127" s="3118" t="s">
        <v>2770</v>
      </c>
      <c r="D127" s="3092" t="s">
        <v>2771</v>
      </c>
      <c r="E127" s="3118">
        <v>0.1</v>
      </c>
      <c r="F127" s="3118">
        <v>15</v>
      </c>
    </row>
    <row r="128" spans="1:6" ht="24">
      <c r="A128" s="3118">
        <v>56</v>
      </c>
      <c r="B128" s="3796"/>
      <c r="C128" s="3118" t="s">
        <v>2772</v>
      </c>
      <c r="D128" s="3092" t="s">
        <v>2773</v>
      </c>
      <c r="E128" s="3118">
        <v>0.1</v>
      </c>
      <c r="F128" s="3118">
        <v>15</v>
      </c>
    </row>
    <row r="129" spans="1:6" ht="24">
      <c r="A129" s="3118">
        <v>57</v>
      </c>
      <c r="B129" s="3796"/>
      <c r="C129" s="3118" t="s">
        <v>2774</v>
      </c>
      <c r="D129" s="3092" t="s">
        <v>2775</v>
      </c>
      <c r="E129" s="3118">
        <v>0.1</v>
      </c>
      <c r="F129" s="3118">
        <v>15</v>
      </c>
    </row>
    <row r="130" spans="1:6" ht="24">
      <c r="A130" s="3118">
        <v>58</v>
      </c>
      <c r="B130" s="3796" t="s">
        <v>2776</v>
      </c>
      <c r="C130" s="3118" t="s">
        <v>2777</v>
      </c>
      <c r="D130" s="3092" t="s">
        <v>2778</v>
      </c>
      <c r="E130" s="3118">
        <v>0.1</v>
      </c>
      <c r="F130" s="3118">
        <v>15</v>
      </c>
    </row>
    <row r="131" spans="1:6" ht="24">
      <c r="A131" s="3118">
        <v>59</v>
      </c>
      <c r="B131" s="3796"/>
      <c r="C131" s="3118" t="s">
        <v>2779</v>
      </c>
      <c r="D131" s="3092" t="s">
        <v>2780</v>
      </c>
      <c r="E131" s="3118">
        <v>0.1</v>
      </c>
      <c r="F131" s="3118">
        <v>15</v>
      </c>
    </row>
    <row r="132" spans="1:6" ht="24">
      <c r="A132" s="3118">
        <v>60</v>
      </c>
      <c r="B132" s="3791" t="s">
        <v>2781</v>
      </c>
      <c r="C132" s="3118" t="s">
        <v>2782</v>
      </c>
      <c r="D132" s="3092" t="s">
        <v>2783</v>
      </c>
      <c r="E132" s="3118">
        <v>0.1</v>
      </c>
      <c r="F132" s="3118">
        <v>15</v>
      </c>
    </row>
    <row r="133" spans="1:6" ht="24">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6" t="s">
        <v>2789</v>
      </c>
      <c r="C135" s="3118" t="s">
        <v>2790</v>
      </c>
      <c r="D135" s="3092" t="s">
        <v>2791</v>
      </c>
      <c r="E135" s="3118">
        <v>0.1</v>
      </c>
      <c r="F135" s="3118">
        <v>15</v>
      </c>
    </row>
    <row r="136" spans="1:6" ht="24">
      <c r="A136" s="3118">
        <v>64</v>
      </c>
      <c r="B136" s="3796"/>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28917</v>
      </c>
      <c r="C2" s="2" t="s">
        <v>106</v>
      </c>
      <c r="D2" s="199"/>
      <c r="E2" s="199"/>
      <c r="F2" s="199"/>
      <c r="G2" s="199"/>
    </row>
    <row r="3" spans="1:7" s="200" customFormat="1" ht="18" customHeight="1" thickBot="1">
      <c r="A3" s="203" t="s">
        <v>58</v>
      </c>
      <c r="B3" s="204">
        <f ca="1">ROUND(B2*10000/'数据-汇总表'!E3,0)</f>
        <v>3215143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4164</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89.94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11</v>
      </c>
      <c r="D45" s="235">
        <f>C47</f>
        <v>6.0000000000000001E-3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71</v>
      </c>
      <c r="D51" s="232"/>
      <c r="E51" s="232"/>
      <c r="F51" s="264"/>
      <c r="G51" s="234" t="s">
        <v>37</v>
      </c>
    </row>
    <row r="52" spans="1:7" s="208" customFormat="1" ht="16.8" thickBot="1">
      <c r="A52" s="265" t="s">
        <v>38</v>
      </c>
      <c r="B52" s="266"/>
      <c r="C52" s="267">
        <f ca="1">C31+C51</f>
        <v>28917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估价结果一览表（市场价值不需“结果表-1”）</v>
      </c>
      <c r="B3" s="3482"/>
      <c r="C3" s="3482"/>
      <c r="D3" s="3482"/>
      <c r="E3" s="3482"/>
    </row>
    <row r="4" spans="1:5" ht="18" thickBot="1">
      <c r="A4" s="1493"/>
      <c r="B4" s="3480" t="s">
        <v>917</v>
      </c>
      <c r="C4" s="3480"/>
      <c r="D4" s="3480"/>
      <c r="E4" s="1493"/>
    </row>
    <row r="5" spans="1:5" ht="16.2" thickTop="1">
      <c r="A5" s="1491"/>
      <c r="B5" s="3478" t="s">
        <v>909</v>
      </c>
      <c r="C5" s="1494" t="s">
        <v>910</v>
      </c>
      <c r="D5" s="850" t="e">
        <f ca="1">结果表!H101</f>
        <v>#REF!</v>
      </c>
      <c r="E5" s="1491"/>
    </row>
    <row r="6" spans="1:5" ht="15.6">
      <c r="A6" s="1491"/>
      <c r="B6" s="3478"/>
      <c r="C6" s="1494" t="s">
        <v>911</v>
      </c>
      <c r="D6" s="850" t="e">
        <f ca="1">NUMBERSTRING(INT(D5*10000),2)&amp;"元整"</f>
        <v>#REF!</v>
      </c>
      <c r="E6" s="1491"/>
    </row>
    <row r="7" spans="1:5" ht="15.6">
      <c r="A7" s="1491"/>
      <c r="B7" s="3483"/>
      <c r="C7" s="1495" t="s">
        <v>912</v>
      </c>
      <c r="D7" s="851" t="e">
        <f ca="1">结果表!H102</f>
        <v>#REF!</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t="e">
        <f ca="1">结果表!H107</f>
        <v>#REF!</v>
      </c>
      <c r="E13" s="1491"/>
    </row>
    <row r="14" spans="1:5" ht="15.6">
      <c r="A14" s="1491"/>
      <c r="B14" s="3478"/>
      <c r="C14" s="1494" t="s">
        <v>911</v>
      </c>
      <c r="D14" s="850" t="e">
        <f ca="1">NUMBERSTRING(INT(D13*10000),2)&amp;"元整"</f>
        <v>#REF!</v>
      </c>
      <c r="E14" s="1491"/>
    </row>
    <row r="15" spans="1:5" ht="15.6">
      <c r="A15" s="1491"/>
      <c r="B15" s="3483"/>
      <c r="C15" s="1495" t="s">
        <v>921</v>
      </c>
      <c r="D15" s="859" t="e">
        <f ca="1">结果表!H108</f>
        <v>#REF!</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7" t="s">
        <v>3181</v>
      </c>
      <c r="B1" s="379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8" t="s">
        <v>3232</v>
      </c>
      <c r="B1" s="3798"/>
      <c r="C1" s="3798"/>
      <c r="D1" s="3798"/>
      <c r="E1" s="3798"/>
      <c r="F1" s="379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55"/>
  <sheetViews>
    <sheetView workbookViewId="0">
      <selection activeCell="A121" sqref="A121"/>
    </sheetView>
  </sheetViews>
  <sheetFormatPr defaultRowHeight="14.4"/>
  <cols>
    <col min="1" max="1" width="6.44140625" customWidth="1"/>
  </cols>
  <sheetData>
    <row r="43" spans="1:1">
      <c r="A43" s="3467" t="s">
        <v>3427</v>
      </c>
    </row>
    <row r="48" spans="1:1">
      <c r="A48" s="3467" t="s">
        <v>3451</v>
      </c>
    </row>
    <row r="55" spans="1:1">
      <c r="A55" s="3467" t="s">
        <v>3452</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0" sqref="B10"/>
    </sheetView>
  </sheetViews>
  <sheetFormatPr defaultColWidth="10.21875" defaultRowHeight="15.6"/>
  <cols>
    <col min="1" max="1" width="19.21875" style="3474" customWidth="1"/>
    <col min="2" max="16384" width="10.21875" style="3474"/>
  </cols>
  <sheetData>
    <row r="1" spans="1:14">
      <c r="A1" s="3800" t="s">
        <v>3412</v>
      </c>
      <c r="C1" s="3475">
        <v>45778.333831018521</v>
      </c>
      <c r="D1" s="3475">
        <v>45748.333831018521</v>
      </c>
      <c r="E1" s="3475">
        <v>45717.333831018521</v>
      </c>
      <c r="F1" s="3475">
        <v>45689.333831018521</v>
      </c>
      <c r="G1" s="3475">
        <v>45658.333831018521</v>
      </c>
      <c r="H1" s="3475">
        <v>45627.333831018521</v>
      </c>
      <c r="I1" s="3475">
        <v>45597.333831018521</v>
      </c>
      <c r="J1" s="3475">
        <v>45566.333831018521</v>
      </c>
      <c r="K1" s="3475">
        <v>45536.333831018521</v>
      </c>
      <c r="L1" s="3475">
        <v>45505.333831018521</v>
      </c>
      <c r="M1" s="3475">
        <v>45474.333831018521</v>
      </c>
      <c r="N1" s="3475">
        <v>45444.333831018521</v>
      </c>
    </row>
    <row r="2" spans="1:14">
      <c r="A2" s="3800"/>
      <c r="C2" s="3474" t="s">
        <v>3413</v>
      </c>
      <c r="D2" s="3474" t="s">
        <v>3413</v>
      </c>
      <c r="E2" s="3474" t="s">
        <v>3413</v>
      </c>
      <c r="F2" s="3474" t="s">
        <v>3413</v>
      </c>
      <c r="G2" s="3474" t="s">
        <v>3413</v>
      </c>
      <c r="H2" s="3474" t="s">
        <v>3413</v>
      </c>
      <c r="I2" s="3474" t="s">
        <v>3413</v>
      </c>
      <c r="J2" s="3474" t="s">
        <v>3413</v>
      </c>
      <c r="K2" s="3474" t="s">
        <v>3413</v>
      </c>
      <c r="L2" s="3474" t="s">
        <v>3413</v>
      </c>
      <c r="M2" s="3474" t="s">
        <v>3413</v>
      </c>
      <c r="N2" s="3474" t="s">
        <v>3413</v>
      </c>
    </row>
    <row r="3" spans="1:14">
      <c r="A3" s="3474" t="s">
        <v>3448</v>
      </c>
      <c r="B3" s="3474">
        <f>ROUND(AVERAGE(C3:N3),1)</f>
        <v>28.9</v>
      </c>
      <c r="C3" s="3474">
        <v>29.13</v>
      </c>
      <c r="D3" s="3474">
        <v>28.78</v>
      </c>
      <c r="E3" s="3474">
        <v>28.92</v>
      </c>
      <c r="F3" s="3474">
        <v>28.54</v>
      </c>
      <c r="G3" s="3474">
        <v>27.96</v>
      </c>
      <c r="H3" s="3474">
        <v>28.17</v>
      </c>
      <c r="I3" s="3474">
        <v>28.78</v>
      </c>
      <c r="J3" s="3474">
        <v>28.92</v>
      </c>
      <c r="K3" s="3474">
        <v>28.89</v>
      </c>
      <c r="L3" s="3474">
        <v>29.23</v>
      </c>
      <c r="M3" s="3474">
        <v>29.21</v>
      </c>
      <c r="N3" s="3474">
        <v>30.18</v>
      </c>
    </row>
    <row r="4" spans="1:14">
      <c r="A4" s="3474" t="s">
        <v>3449</v>
      </c>
      <c r="B4" s="3474">
        <f>ROUND(AVERAGE(C4:N4),1)</f>
        <v>29.8</v>
      </c>
      <c r="C4" s="3474">
        <v>29.79</v>
      </c>
      <c r="D4" s="3474">
        <v>29.85</v>
      </c>
      <c r="E4" s="3474">
        <v>30.66</v>
      </c>
      <c r="F4" s="3474">
        <v>30.57</v>
      </c>
      <c r="G4" s="3474">
        <v>29.92</v>
      </c>
      <c r="H4" s="3474">
        <v>28.61</v>
      </c>
      <c r="I4" s="3474">
        <v>28.7</v>
      </c>
      <c r="J4" s="3474">
        <v>28.03</v>
      </c>
      <c r="K4" s="3474">
        <v>28.8</v>
      </c>
      <c r="L4" s="3474">
        <v>29.99</v>
      </c>
      <c r="M4" s="3474">
        <v>31.34</v>
      </c>
      <c r="N4" s="3474">
        <v>31.24</v>
      </c>
    </row>
  </sheetData>
  <mergeCells count="1">
    <mergeCell ref="A1:A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45833</v>
      </c>
      <c r="B1" s="3210" t="s">
        <v>3378</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1" t="s">
        <v>2827</v>
      </c>
      <c r="S29" s="3802"/>
      <c r="T29" s="3802"/>
      <c r="U29" s="3802"/>
      <c r="V29" s="3802"/>
      <c r="W29" s="3802"/>
      <c r="X29" s="3165"/>
      <c r="Y29" s="3801" t="s">
        <v>2828</v>
      </c>
      <c r="Z29" s="3802"/>
      <c r="AA29" s="3802"/>
      <c r="AB29" s="3802"/>
      <c r="AC29" s="3802"/>
      <c r="AD29" s="3802"/>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6" t="s">
        <v>2839</v>
      </c>
      <c r="B1" s="3816"/>
      <c r="C1" s="3816"/>
      <c r="D1" s="3816"/>
      <c r="E1" s="3816"/>
      <c r="F1" s="3816"/>
      <c r="G1" s="381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45833</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6">
      <c r="A3" s="3489"/>
      <c r="B3" s="3489"/>
      <c r="C3" s="3489"/>
      <c r="D3" s="854" t="s">
        <v>925</v>
      </c>
      <c r="E3" s="854" t="s">
        <v>931</v>
      </c>
      <c r="F3" s="854" t="s">
        <v>925</v>
      </c>
      <c r="G3" s="854" t="s">
        <v>926</v>
      </c>
      <c r="H3" s="854" t="s">
        <v>925</v>
      </c>
      <c r="I3" s="854" t="s">
        <v>926</v>
      </c>
    </row>
    <row r="4" spans="1:9" ht="15">
      <c r="A4" s="1505" t="str">
        <f>项目基本情况!S2</f>
        <v>北京市房地产</v>
      </c>
      <c r="B4" s="854">
        <f>项目基本情况!C17</f>
        <v>89.94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6">
      <c r="A6" s="3490" t="str">
        <f>结果表!A120</f>
        <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6">
      <c r="A8" s="3490" t="str">
        <f>结果表!A122</f>
        <v/>
      </c>
      <c r="B8" s="3490"/>
      <c r="C8" s="3490"/>
      <c r="D8" s="3490" t="e">
        <f ca="1">结果表!D122</f>
        <v>#REF!</v>
      </c>
      <c r="E8" s="3490"/>
      <c r="F8" s="3490"/>
      <c r="G8" s="3490"/>
      <c r="H8" s="3490"/>
      <c r="I8" s="3490"/>
    </row>
    <row r="9" spans="1:9" ht="15">
      <c r="A9" s="3489" t="s">
        <v>927</v>
      </c>
      <c r="B9" s="3489"/>
      <c r="C9" s="3489"/>
      <c r="D9" s="3489" t="e">
        <f ca="1">结果表!D123</f>
        <v>#REF!</v>
      </c>
      <c r="E9" s="3489"/>
      <c r="F9" s="3489"/>
      <c r="G9" s="3489"/>
      <c r="H9" s="3489"/>
      <c r="I9" s="3489"/>
    </row>
    <row r="10" spans="1:9" ht="15.6">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6">
      <c r="A12" s="3490" t="str">
        <f>结果表!A126</f>
        <v/>
      </c>
      <c r="B12" s="3490"/>
      <c r="C12" s="3490"/>
      <c r="D12" s="3490" t="str">
        <f>结果表!D126</f>
        <v>——</v>
      </c>
      <c r="E12" s="3490"/>
      <c r="F12" s="3490"/>
      <c r="G12" s="3490"/>
      <c r="H12" s="3490"/>
      <c r="I12" s="3490"/>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6" t="s">
        <v>949</v>
      </c>
      <c r="B1" s="3496"/>
      <c r="C1" s="3496"/>
      <c r="D1" s="3496"/>
    </row>
    <row r="2" spans="1:4" ht="17.399999999999999">
      <c r="A2" s="3497" t="s">
        <v>933</v>
      </c>
      <c r="B2" s="3497"/>
      <c r="C2" s="3497"/>
      <c r="D2" s="349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7" t="s">
        <v>939</v>
      </c>
      <c r="B6" s="3497"/>
      <c r="C6" s="3497"/>
      <c r="D6" s="34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8" t="s">
        <v>942</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0"/>
      <c r="C12" s="3500"/>
      <c r="D12" s="3500"/>
    </row>
    <row r="13" spans="1:4" ht="30" customHeight="1">
      <c r="A13" s="3499" t="str">
        <f>IF(项目基本情况!B8="抵押","3.抵押双方在办理抵押登记手续时，应使用本公司出具的正式《房地产评估报告》，特提醒报告使用者注意。","——")</f>
        <v>——</v>
      </c>
      <c r="B13" s="3500"/>
      <c r="C13" s="3500"/>
      <c r="D13" s="3500"/>
    </row>
    <row r="14" spans="1:4" ht="15.75" customHeight="1">
      <c r="A14" s="3499" t="str">
        <f>IF(项目基本情况!B8="抵押","4.本次评估估价师所知悉的法定优先受偿款情况说明如下：","——")</f>
        <v>——</v>
      </c>
      <c r="B14" s="3500"/>
      <c r="C14" s="3500"/>
      <c r="D14" s="3500"/>
    </row>
    <row r="15" spans="1:4" ht="42" customHeight="1">
      <c r="A15" s="3499" t="str">
        <f>IF(项目基本情况!B8="抵押","（1）"&amp;CONCATENATE(项目基本情况!L20,项目基本情况!L21,项目基本情况!L22),"——")</f>
        <v>——</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租金</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2025-06-26T09:34:13Z</dcterms:modified>
</cp:coreProperties>
</file>